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92" windowWidth="14940" windowHeight="8028" firstSheet="6" activeTab="8"/>
  </bookViews>
  <sheets>
    <sheet name="Index" sheetId="30" r:id="rId1"/>
    <sheet name="Bill Determinants" sheetId="12" r:id="rId2"/>
    <sheet name="Tariff Summary" sheetId="1" r:id="rId3"/>
    <sheet name="Distribution Revenue" sheetId="8" r:id="rId4"/>
    <sheet name="Dist Line Transformers 2017" sheetId="2" r:id="rId5"/>
    <sheet name="Distribution Feeders 2017" sheetId="6" r:id="rId6"/>
    <sheet name="Distribution Subs 2017" sheetId="7" r:id="rId7"/>
    <sheet name="Sub Net Book 9-16" sheetId="10" r:id="rId8"/>
    <sheet name="2017 Sub &amp; Feeder NCP %" sheetId="34" r:id="rId9"/>
    <sheet name="2016 Coincident Demand Fac" sheetId="33" r:id="rId10"/>
    <sheet name="2017 FCR Rates" sheetId="5" r:id="rId11"/>
    <sheet name="2017 Handy Whitman" sheetId="32" r:id="rId12"/>
    <sheet name="LR - 2017 Loss Factor by Class" sheetId="36" r:id="rId13"/>
    <sheet name="Sch 40 Feeder OH 2017" sheetId="23" r:id="rId14"/>
    <sheet name="Sch 40 Substation O&amp;M 2017" sheetId="24" r:id="rId15"/>
    <sheet name="Sch 40 Substation A&amp;G 2017" sheetId="25" r:id="rId16"/>
    <sheet name="Sch 40 Interim Energy Rates " sheetId="29" r:id="rId17"/>
  </sheets>
  <externalReferences>
    <externalReference r:id="rId18"/>
    <externalReference r:id="rId19"/>
    <externalReference r:id="rId20"/>
    <externalReference r:id="rId21"/>
  </externalReferences>
  <definedNames>
    <definedName name="_Order1">255</definedName>
    <definedName name="_Order2">255</definedName>
    <definedName name="AccessDatabase">"I:\COMTREL\FINICLE\TradeSummary.mdb"</definedName>
    <definedName name="_xlnm.Print_Area" localSheetId="8">'2017 Sub &amp; Feeder NCP %'!$A$1:$F$45</definedName>
    <definedName name="_xlnm.Print_Area" localSheetId="1">'Bill Determinants'!$A$1:$K$41</definedName>
    <definedName name="_xlnm.Print_Area" localSheetId="4">'Dist Line Transformers 2017'!$A$1:$AF$36</definedName>
    <definedName name="_xlnm.Print_Area" localSheetId="5">'Distribution Feeders 2017'!$A$1:$FB$50</definedName>
    <definedName name="_xlnm.Print_Area" localSheetId="3">'Distribution Revenue'!$A$1:$O$30</definedName>
    <definedName name="_xlnm.Print_Area" localSheetId="6">'Distribution Subs 2017'!$A$5:$CD$47</definedName>
    <definedName name="_xlnm.Print_Area" localSheetId="0">Index!$A$1:$B$22</definedName>
    <definedName name="_xlnm.Print_Area" localSheetId="12">'LR - 2017 Loss Factor by Class'!$A$1:$K$58</definedName>
    <definedName name="_xlnm.Print_Area" localSheetId="13">'Sch 40 Feeder OH 2017'!$A$1:$G$29</definedName>
    <definedName name="_xlnm.Print_Area" localSheetId="16">'Sch 40 Interim Energy Rates '!$A$1:$F$16</definedName>
    <definedName name="_xlnm.Print_Area" localSheetId="15">'Sch 40 Substation A&amp;G 2017'!$A$1:$C$21</definedName>
    <definedName name="_xlnm.Print_Area" localSheetId="14">'Sch 40 Substation O&amp;M 2017'!$A$1:$C$31</definedName>
    <definedName name="_xlnm.Print_Area" localSheetId="7">'Sub Net Book 9-16'!$A$1:$P$56</definedName>
    <definedName name="_xlnm.Print_Area" localSheetId="2">'Tariff Summary'!$A$1:$J$57</definedName>
    <definedName name="_xlnm.Print_Titles" localSheetId="11">'2017 Handy Whitman'!$1:$2</definedName>
    <definedName name="_xlnm.Print_Titles" localSheetId="4">'Dist Line Transformers 2017'!$A:$D</definedName>
    <definedName name="_xlnm.Print_Titles" localSheetId="5">'Distribution Feeders 2017'!$A:$B</definedName>
    <definedName name="_xlnm.Print_Titles" localSheetId="6">'Distribution Subs 2017'!$A:$B,'Distribution Subs 2017'!$1:$7</definedName>
    <definedName name="_xlnm.Print_Titles" localSheetId="13">'Sch 40 Feeder OH 2017'!$B:$G,'Sch 40 Feeder OH 2017'!$3:$4</definedName>
    <definedName name="_xlnm.Print_Titles" localSheetId="16">'Sch 40 Interim Energy Rates '!$A:$C</definedName>
    <definedName name="_xlnm.Print_Titles" localSheetId="15">'Sch 40 Substation A&amp;G 2017'!$B:$C,'Sch 40 Substation A&amp;G 2017'!$3:$4</definedName>
    <definedName name="_xlnm.Print_Titles" localSheetId="14">'Sch 40 Substation O&amp;M 2017'!$B:$C,'Sch 40 Substation O&amp;M 2017'!$3:$4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6" i="1" l="1"/>
  <c r="C15" i="1"/>
  <c r="C14" i="1"/>
  <c r="F39" i="12"/>
  <c r="C39" i="12"/>
  <c r="G37" i="12"/>
  <c r="F33" i="12"/>
  <c r="C33" i="12"/>
  <c r="F32" i="12"/>
  <c r="C32" i="12"/>
  <c r="H29" i="12"/>
  <c r="F29" i="12"/>
  <c r="H28" i="12"/>
  <c r="F28" i="12"/>
  <c r="F24" i="12"/>
  <c r="C24" i="12"/>
  <c r="F23" i="12"/>
  <c r="C23" i="12"/>
  <c r="F19" i="12"/>
  <c r="C19" i="12"/>
  <c r="F18" i="12"/>
  <c r="C18" i="12"/>
  <c r="F14" i="12"/>
  <c r="C14" i="12"/>
  <c r="F13" i="12"/>
  <c r="C13" i="12"/>
  <c r="F12" i="12"/>
  <c r="C12" i="12"/>
  <c r="C21" i="25"/>
  <c r="C19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31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F24" i="23"/>
  <c r="D24" i="23"/>
  <c r="G23" i="23"/>
  <c r="F23" i="23"/>
  <c r="E23" i="23"/>
  <c r="D23" i="23"/>
  <c r="C23" i="23"/>
  <c r="C17" i="23"/>
  <c r="G12" i="23"/>
  <c r="E12" i="23"/>
  <c r="C12" i="23"/>
  <c r="D53" i="5" l="1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AB34" i="2"/>
  <c r="Z34" i="2"/>
  <c r="X34" i="2"/>
  <c r="V34" i="2"/>
  <c r="T34" i="2"/>
  <c r="R34" i="2"/>
  <c r="P34" i="2"/>
  <c r="N34" i="2"/>
  <c r="L34" i="2"/>
  <c r="J34" i="2"/>
  <c r="H34" i="2"/>
  <c r="F34" i="2"/>
  <c r="AB28" i="2"/>
  <c r="V28" i="2"/>
  <c r="T28" i="2"/>
  <c r="AB27" i="2"/>
  <c r="Z27" i="2"/>
  <c r="X27" i="2"/>
  <c r="V27" i="2"/>
  <c r="T27" i="2"/>
  <c r="R28" i="2"/>
  <c r="P28" i="2"/>
  <c r="N28" i="2"/>
  <c r="N27" i="2"/>
  <c r="L28" i="2"/>
  <c r="J28" i="2"/>
  <c r="H28" i="2"/>
  <c r="F28" i="2"/>
  <c r="H27" i="2"/>
  <c r="F27" i="2"/>
  <c r="E29" i="12"/>
  <c r="D29" i="12"/>
  <c r="C29" i="12"/>
  <c r="E28" i="12"/>
  <c r="D28" i="12"/>
  <c r="C28" i="12"/>
  <c r="B15" i="8" l="1"/>
  <c r="A13" i="33"/>
  <c r="A24" i="8" l="1"/>
  <c r="A25" i="8"/>
  <c r="A26" i="8"/>
  <c r="A27" i="8" s="1"/>
  <c r="A28" i="8" s="1"/>
  <c r="A29" i="8" s="1"/>
  <c r="A30" i="8" s="1"/>
  <c r="CI15" i="7" l="1"/>
  <c r="G12" i="5" l="1"/>
  <c r="G11" i="5"/>
  <c r="G10" i="5"/>
  <c r="A29" i="7" l="1"/>
  <c r="A30" i="7"/>
  <c r="A31" i="7" s="1"/>
  <c r="A32" i="7" s="1"/>
  <c r="CH54" i="7" l="1"/>
  <c r="CG54" i="7"/>
  <c r="CF54" i="7"/>
  <c r="CE54" i="7"/>
  <c r="CI53" i="7"/>
  <c r="CH53" i="7"/>
  <c r="CG53" i="7"/>
  <c r="CF53" i="7"/>
  <c r="CE53" i="7"/>
  <c r="CI52" i="7"/>
  <c r="CH52" i="7"/>
  <c r="CH51" i="7" s="1"/>
  <c r="CG52" i="7"/>
  <c r="CG51" i="7" s="1"/>
  <c r="CF52" i="7"/>
  <c r="CF51" i="7" s="1"/>
  <c r="CE52" i="7"/>
  <c r="CE51" i="7"/>
  <c r="BW45" i="6" l="1"/>
  <c r="BW40" i="6"/>
  <c r="BZ58" i="6"/>
  <c r="BY58" i="6"/>
  <c r="BZ10" i="6"/>
  <c r="BY10" i="6"/>
  <c r="BX10" i="6"/>
  <c r="BW7" i="6" l="1"/>
  <c r="BX7" i="6" s="1"/>
  <c r="BY7" i="6" s="1"/>
  <c r="BW6" i="6"/>
  <c r="BX28" i="6"/>
  <c r="BW28" i="6"/>
  <c r="BW29" i="6" s="1"/>
  <c r="BZ23" i="6"/>
  <c r="BY23" i="6"/>
  <c r="BX23" i="6"/>
  <c r="BW23" i="6"/>
  <c r="BZ17" i="6"/>
  <c r="BY17" i="6"/>
  <c r="BX17" i="6"/>
  <c r="BW17" i="6"/>
  <c r="BZ13" i="6"/>
  <c r="BY13" i="6"/>
  <c r="BX13" i="6"/>
  <c r="BW13" i="6"/>
  <c r="BX12" i="6"/>
  <c r="I36" i="1"/>
  <c r="CE46" i="7"/>
  <c r="CE38" i="7"/>
  <c r="CE33" i="7"/>
  <c r="D15" i="8"/>
  <c r="R32" i="2"/>
  <c r="BW41" i="6"/>
  <c r="CE34" i="7" l="1"/>
  <c r="BX29" i="6"/>
  <c r="BW43" i="6"/>
  <c r="BZ7" i="6"/>
  <c r="BY12" i="6"/>
  <c r="BY28" i="6"/>
  <c r="BY29" i="6" s="1"/>
  <c r="BX14" i="6"/>
  <c r="BX15" i="6" s="1"/>
  <c r="BW52" i="6"/>
  <c r="BW54" i="6" s="1"/>
  <c r="BW12" i="6"/>
  <c r="BZ12" i="6"/>
  <c r="BZ28" i="6"/>
  <c r="BZ29" i="6" s="1"/>
  <c r="BZ14" i="6" l="1"/>
  <c r="BZ15" i="6" s="1"/>
  <c r="BY14" i="6"/>
  <c r="BY15" i="6" s="1"/>
  <c r="BX59" i="6"/>
  <c r="BW14" i="6"/>
  <c r="BW15" i="6" s="1"/>
  <c r="R30" i="2" l="1"/>
  <c r="G15" i="8" s="1"/>
  <c r="Q25" i="2"/>
  <c r="Q6" i="2"/>
  <c r="I9" i="10" l="1"/>
  <c r="CI54" i="7"/>
  <c r="A45" i="34"/>
  <c r="C45" i="34"/>
  <c r="B45" i="34"/>
  <c r="CF12" i="7"/>
  <c r="CI51" i="7" l="1"/>
  <c r="CE36" i="7"/>
  <c r="CE40" i="7" s="1"/>
  <c r="CF10" i="7"/>
  <c r="CI10" i="7" s="1"/>
  <c r="CE45" i="7" l="1"/>
  <c r="CE47" i="7" s="1"/>
  <c r="A39" i="34"/>
  <c r="A9" i="33" s="1"/>
  <c r="A24" i="34"/>
  <c r="A7" i="33" s="1"/>
  <c r="A23" i="34"/>
  <c r="A8" i="33" s="1"/>
  <c r="A20" i="34"/>
  <c r="A6" i="33" s="1"/>
  <c r="A17" i="34"/>
  <c r="A12" i="33" s="1"/>
  <c r="A14" i="34"/>
  <c r="A11" i="33" s="1"/>
  <c r="A13" i="34"/>
  <c r="A10" i="33" s="1"/>
  <c r="A12" i="34"/>
  <c r="A5" i="33" s="1"/>
  <c r="A10" i="34"/>
  <c r="A4" i="33" s="1"/>
  <c r="A5" i="34"/>
  <c r="A3" i="33" s="1"/>
  <c r="A4" i="34"/>
  <c r="A14" i="33" s="1"/>
  <c r="S9" i="7" l="1"/>
  <c r="U9" i="6"/>
  <c r="O80" i="34" l="1"/>
  <c r="E19" i="34" s="1"/>
  <c r="BO9" i="6" s="1"/>
  <c r="O78" i="34"/>
  <c r="E18" i="34" s="1"/>
  <c r="O76" i="34"/>
  <c r="E17" i="34" s="1"/>
  <c r="O74" i="34"/>
  <c r="E23" i="34" s="1"/>
  <c r="O72" i="34"/>
  <c r="E38" i="34" s="1"/>
  <c r="O66" i="34"/>
  <c r="E22" i="34" s="1"/>
  <c r="CJ9" i="6" s="1"/>
  <c r="O64" i="34"/>
  <c r="O62" i="34"/>
  <c r="E13" i="34" s="1"/>
  <c r="O60" i="34"/>
  <c r="E37" i="34" s="1"/>
  <c r="O59" i="34"/>
  <c r="E36" i="34" s="1"/>
  <c r="O57" i="34"/>
  <c r="O49" i="34"/>
  <c r="E6" i="34" s="1"/>
  <c r="O47" i="34"/>
  <c r="E5" i="34" s="1"/>
  <c r="O45" i="34"/>
  <c r="E45" i="34" s="1"/>
  <c r="BW9" i="6" s="1"/>
  <c r="O44" i="34"/>
  <c r="O42" i="34"/>
  <c r="E34" i="34" s="1"/>
  <c r="O40" i="34"/>
  <c r="E33" i="34" s="1"/>
  <c r="O39" i="34"/>
  <c r="E44" i="34" s="1"/>
  <c r="O38" i="34"/>
  <c r="O36" i="34"/>
  <c r="O35" i="34"/>
  <c r="E30" i="34" s="1"/>
  <c r="O33" i="34"/>
  <c r="E43" i="34" s="1"/>
  <c r="O32" i="34"/>
  <c r="O30" i="34"/>
  <c r="E20" i="34" s="1"/>
  <c r="O28" i="34"/>
  <c r="E11" i="34" s="1"/>
  <c r="O26" i="34"/>
  <c r="E10" i="34" s="1"/>
  <c r="O24" i="34"/>
  <c r="O23" i="34"/>
  <c r="O21" i="34"/>
  <c r="E41" i="34" s="1"/>
  <c r="O20" i="34"/>
  <c r="E40" i="34" s="1"/>
  <c r="O19" i="34"/>
  <c r="O18" i="34"/>
  <c r="O17" i="34"/>
  <c r="E27" i="34" s="1"/>
  <c r="R9" i="6" s="1"/>
  <c r="O15" i="34"/>
  <c r="E26" i="34" s="1"/>
  <c r="O9" i="6" s="1"/>
  <c r="O13" i="34"/>
  <c r="O11" i="34"/>
  <c r="O9" i="34"/>
  <c r="E24" i="34" s="1"/>
  <c r="L9" i="6" s="1"/>
  <c r="O7" i="34"/>
  <c r="E4" i="34" s="1"/>
  <c r="J41" i="34"/>
  <c r="D17" i="34" s="1"/>
  <c r="J39" i="34"/>
  <c r="D23" i="34" s="1"/>
  <c r="J38" i="34"/>
  <c r="D38" i="34" s="1"/>
  <c r="J34" i="34"/>
  <c r="D14" i="34" s="1"/>
  <c r="J33" i="34"/>
  <c r="J31" i="34"/>
  <c r="D13" i="34" s="1"/>
  <c r="J29" i="34"/>
  <c r="D36" i="34" s="1"/>
  <c r="J27" i="34"/>
  <c r="D12" i="34" s="1"/>
  <c r="J23" i="34"/>
  <c r="J21" i="34"/>
  <c r="D45" i="34" s="1"/>
  <c r="CE9" i="7" s="1"/>
  <c r="J19" i="34"/>
  <c r="J18" i="34"/>
  <c r="D30" i="34" s="1"/>
  <c r="J16" i="34"/>
  <c r="D20" i="34" s="1"/>
  <c r="J14" i="34"/>
  <c r="J12" i="34"/>
  <c r="D40" i="34" s="1"/>
  <c r="J10" i="34"/>
  <c r="J9" i="34"/>
  <c r="J7" i="34"/>
  <c r="D4" i="34" s="1"/>
  <c r="D43" i="34"/>
  <c r="D39" i="34"/>
  <c r="AF9" i="7" s="1"/>
  <c r="D24" i="34"/>
  <c r="V9" i="7" s="1"/>
  <c r="D22" i="34"/>
  <c r="BJ9" i="7" s="1"/>
  <c r="D10" i="34"/>
  <c r="D5" i="34"/>
  <c r="E42" i="34"/>
  <c r="E39" i="34"/>
  <c r="AJ9" i="6" s="1"/>
  <c r="E35" i="34"/>
  <c r="E32" i="34"/>
  <c r="E31" i="34"/>
  <c r="E28" i="34"/>
  <c r="S9" i="6" s="1"/>
  <c r="E25" i="34"/>
  <c r="N9" i="6" s="1"/>
  <c r="E21" i="34"/>
  <c r="E14" i="34"/>
  <c r="E12" i="34"/>
  <c r="D9" i="7" l="1"/>
  <c r="BR9" i="6"/>
  <c r="V9" i="6"/>
  <c r="AY9" i="7"/>
  <c r="BM9" i="7"/>
  <c r="AI9" i="7"/>
  <c r="CC9" i="6"/>
  <c r="J9" i="6"/>
  <c r="DA9" i="6"/>
  <c r="AA9" i="6"/>
  <c r="BG9" i="7"/>
  <c r="CN9" i="6"/>
  <c r="CF9" i="6"/>
  <c r="E9" i="6"/>
  <c r="K9" i="6"/>
  <c r="BP9" i="7"/>
  <c r="CS9" i="6"/>
  <c r="AR9" i="6"/>
  <c r="H9" i="6"/>
  <c r="Y9" i="6"/>
  <c r="AF9" i="6"/>
  <c r="BS9" i="7"/>
  <c r="H9" i="7"/>
  <c r="CE58" i="7"/>
  <c r="CE57" i="7"/>
  <c r="CE59" i="7"/>
  <c r="CG9" i="7"/>
  <c r="CF9" i="7"/>
  <c r="AS9" i="6"/>
  <c r="D9" i="6"/>
  <c r="M9" i="7"/>
  <c r="AT9" i="7"/>
  <c r="AO9" i="7"/>
  <c r="BC9" i="7"/>
  <c r="AB9" i="6"/>
  <c r="DJ9" i="6"/>
  <c r="AM9" i="6"/>
  <c r="AP9" i="6"/>
  <c r="BX9" i="6"/>
  <c r="BY9" i="6"/>
  <c r="BZ9" i="6"/>
  <c r="AY9" i="6"/>
  <c r="CA9" i="6"/>
  <c r="F9" i="6"/>
  <c r="AC9" i="6"/>
  <c r="Y9" i="7"/>
  <c r="AC9" i="7"/>
  <c r="DQ9" i="6"/>
  <c r="BG9" i="6"/>
  <c r="CE56" i="7" l="1"/>
  <c r="CG58" i="7"/>
  <c r="CG57" i="7"/>
  <c r="CG59" i="7"/>
  <c r="CF59" i="7"/>
  <c r="CI9" i="7"/>
  <c r="CF58" i="7"/>
  <c r="CF57" i="7"/>
  <c r="CH9" i="7"/>
  <c r="CI58" i="7" l="1"/>
  <c r="CI57" i="7"/>
  <c r="CI59" i="7"/>
  <c r="CH58" i="7"/>
  <c r="CH57" i="7"/>
  <c r="CH59" i="7"/>
  <c r="CF56" i="7"/>
  <c r="CG56" i="7"/>
  <c r="CH56" i="7" l="1"/>
  <c r="CI56" i="7"/>
  <c r="A39" i="2" l="1"/>
  <c r="A40" i="2"/>
  <c r="A41" i="2" s="1"/>
  <c r="A42" i="2" s="1"/>
  <c r="A43" i="2" s="1"/>
  <c r="A44" i="2" s="1"/>
  <c r="A45" i="2" s="1"/>
  <c r="A46" i="2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31" i="8" s="1"/>
  <c r="A32" i="8" s="1"/>
  <c r="A33" i="8" s="1"/>
  <c r="A10" i="8"/>
  <c r="A9" i="8"/>
  <c r="N23" i="8" l="1"/>
  <c r="AI21" i="2" l="1"/>
  <c r="AI22" i="2" s="1"/>
  <c r="AI23" i="2" s="1"/>
  <c r="AI11" i="2"/>
  <c r="H7" i="5" l="1"/>
  <c r="G8" i="7" l="1"/>
  <c r="K8" i="7"/>
  <c r="L8" i="7" s="1"/>
  <c r="P8" i="7"/>
  <c r="Q8" i="7" s="1"/>
  <c r="AB8" i="7"/>
  <c r="AL8" i="7"/>
  <c r="AM8" i="7" s="1"/>
  <c r="AR8" i="7"/>
  <c r="AS8" i="7" s="1"/>
  <c r="AW8" i="7"/>
  <c r="AX8" i="7" s="1"/>
  <c r="BB8" i="7"/>
  <c r="BF8" i="7"/>
  <c r="AW7" i="6"/>
  <c r="AV7" i="6"/>
  <c r="AN8" i="7" l="1"/>
  <c r="R8" i="7"/>
  <c r="BJ15" i="7"/>
  <c r="BJ14" i="7"/>
  <c r="BJ13" i="7"/>
  <c r="P32" i="2" l="1"/>
  <c r="P40" i="2" s="1"/>
  <c r="P41" i="2" l="1"/>
  <c r="P42" i="2" s="1"/>
  <c r="H30" i="2" l="1"/>
  <c r="N32" i="2"/>
  <c r="T32" i="2"/>
  <c r="X32" i="2"/>
  <c r="H32" i="2"/>
  <c r="H41" i="2" s="1"/>
  <c r="J32" i="2"/>
  <c r="J40" i="2" s="1"/>
  <c r="F32" i="2"/>
  <c r="F41" i="2" s="1"/>
  <c r="V32" i="2"/>
  <c r="L32" i="2"/>
  <c r="L40" i="2" s="1"/>
  <c r="AB32" i="2"/>
  <c r="Z32" i="2"/>
  <c r="F40" i="2" l="1"/>
  <c r="F42" i="2" s="1"/>
  <c r="V40" i="2"/>
  <c r="V41" i="2"/>
  <c r="X41" i="2"/>
  <c r="X40" i="2"/>
  <c r="L41" i="2"/>
  <c r="L42" i="2" s="1"/>
  <c r="H40" i="2"/>
  <c r="AB40" i="2"/>
  <c r="AB41" i="2"/>
  <c r="N40" i="2"/>
  <c r="N41" i="2"/>
  <c r="Z41" i="2"/>
  <c r="Z40" i="2"/>
  <c r="T41" i="2"/>
  <c r="T40" i="2"/>
  <c r="J41" i="2"/>
  <c r="J42" i="2" s="1"/>
  <c r="X42" i="2" l="1"/>
  <c r="T42" i="2"/>
  <c r="D41" i="2"/>
  <c r="Z42" i="2"/>
  <c r="V42" i="2"/>
  <c r="AB42" i="2"/>
  <c r="H42" i="2"/>
  <c r="D40" i="2"/>
  <c r="N42" i="2"/>
  <c r="N11" i="6"/>
  <c r="N7" i="6"/>
  <c r="N34" i="6"/>
  <c r="N28" i="6"/>
  <c r="N29" i="6" s="1"/>
  <c r="N23" i="6"/>
  <c r="N13" i="6"/>
  <c r="N10" i="6"/>
  <c r="D42" i="2" l="1"/>
  <c r="N12" i="6"/>
  <c r="N14" i="6" l="1"/>
  <c r="N15" i="6" l="1"/>
  <c r="E107" i="32" l="1"/>
  <c r="B107" i="32" s="1"/>
  <c r="B105" i="32"/>
  <c r="BY16" i="6" l="1"/>
  <c r="BY18" i="6" s="1"/>
  <c r="BY30" i="6" s="1"/>
  <c r="BY31" i="6" s="1"/>
  <c r="BX16" i="6"/>
  <c r="BX18" i="6" s="1"/>
  <c r="BX30" i="6" s="1"/>
  <c r="BX31" i="6" s="1"/>
  <c r="BW16" i="6"/>
  <c r="BW18" i="6" s="1"/>
  <c r="BW30" i="6" s="1"/>
  <c r="BW31" i="6" s="1"/>
  <c r="BZ16" i="6"/>
  <c r="BZ18" i="6" s="1"/>
  <c r="BZ30" i="6" s="1"/>
  <c r="BZ31" i="6" s="1"/>
  <c r="AF11" i="7"/>
  <c r="BZ57" i="6" l="1"/>
  <c r="BZ35" i="6"/>
  <c r="BZ59" i="6"/>
  <c r="BW57" i="6"/>
  <c r="BW58" i="6"/>
  <c r="BW35" i="6"/>
  <c r="BW59" i="6"/>
  <c r="BX57" i="6"/>
  <c r="BX58" i="6"/>
  <c r="BX35" i="6"/>
  <c r="BY59" i="6"/>
  <c r="BY57" i="6"/>
  <c r="BY35" i="6"/>
  <c r="H11" i="5"/>
  <c r="H12" i="5"/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9" i="29" l="1"/>
  <c r="A10" i="29" s="1"/>
  <c r="A11" i="29" s="1"/>
  <c r="A12" i="29" s="1"/>
  <c r="A13" i="29" s="1"/>
  <c r="A14" i="29" s="1"/>
  <c r="A15" i="29" s="1"/>
  <c r="A16" i="29" s="1"/>
  <c r="C28" i="1" l="1"/>
  <c r="A22" i="24" l="1"/>
  <c r="A21" i="24"/>
  <c r="DT13" i="6" l="1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E13" i="6"/>
  <c r="D17" i="8" l="1"/>
  <c r="AH22" i="2" l="1"/>
  <c r="AJ22" i="2" s="1"/>
  <c r="AK22" i="2" s="1"/>
  <c r="AM22" i="2" s="1"/>
  <c r="AH16" i="2"/>
  <c r="AJ16" i="2" s="1"/>
  <c r="AK16" i="2" s="1"/>
  <c r="AM16" i="2" s="1"/>
  <c r="AH14" i="2"/>
  <c r="AJ14" i="2" s="1"/>
  <c r="AK14" i="2" s="1"/>
  <c r="AM14" i="2" s="1"/>
  <c r="AH13" i="2"/>
  <c r="AJ13" i="2" s="1"/>
  <c r="AK13" i="2" s="1"/>
  <c r="AM13" i="2" s="1"/>
  <c r="AH12" i="2"/>
  <c r="AJ12" i="2" s="1"/>
  <c r="AK12" i="2" s="1"/>
  <c r="AM12" i="2" s="1"/>
  <c r="AH11" i="2"/>
  <c r="AJ11" i="2" s="1"/>
  <c r="AK11" i="2" s="1"/>
  <c r="AL11" i="2" s="1"/>
  <c r="AH9" i="2"/>
  <c r="AJ9" i="2" s="1"/>
  <c r="AK9" i="2" s="1"/>
  <c r="AL9" i="2" s="1"/>
  <c r="AH8" i="2"/>
  <c r="AJ8" i="2" s="1"/>
  <c r="AK8" i="2" s="1"/>
  <c r="AL8" i="2" s="1"/>
  <c r="BW54" i="7" l="1"/>
  <c r="BV54" i="7"/>
  <c r="BU54" i="7"/>
  <c r="BS54" i="7"/>
  <c r="BM54" i="7"/>
  <c r="BL54" i="7"/>
  <c r="BK54" i="7"/>
  <c r="BG54" i="7"/>
  <c r="BE54" i="7"/>
  <c r="BC54" i="7"/>
  <c r="BA54" i="7"/>
  <c r="AY54" i="7"/>
  <c r="AW54" i="7"/>
  <c r="AV54" i="7"/>
  <c r="AT54" i="7"/>
  <c r="AR54" i="7"/>
  <c r="AQ54" i="7"/>
  <c r="AO54" i="7"/>
  <c r="AH54" i="7"/>
  <c r="AH59" i="7" s="1"/>
  <c r="AG54" i="7"/>
  <c r="AG59" i="7" s="1"/>
  <c r="X54" i="7"/>
  <c r="X59" i="7" s="1"/>
  <c r="W54" i="7"/>
  <c r="W59" i="7" s="1"/>
  <c r="S54" i="7"/>
  <c r="Q54" i="7"/>
  <c r="P54" i="7"/>
  <c r="O54" i="7"/>
  <c r="M54" i="7"/>
  <c r="K54" i="7"/>
  <c r="J54" i="7"/>
  <c r="H54" i="7"/>
  <c r="F54" i="7"/>
  <c r="D54" i="7"/>
  <c r="BX53" i="7"/>
  <c r="BW53" i="7"/>
  <c r="BV53" i="7"/>
  <c r="BU53" i="7"/>
  <c r="BT53" i="7"/>
  <c r="BS53" i="7"/>
  <c r="BR53" i="7"/>
  <c r="BQ53" i="7"/>
  <c r="BO53" i="7"/>
  <c r="BN53" i="7"/>
  <c r="BM53" i="7"/>
  <c r="BL53" i="7"/>
  <c r="BK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H53" i="7"/>
  <c r="AH58" i="7" s="1"/>
  <c r="AG53" i="7"/>
  <c r="AG58" i="7" s="1"/>
  <c r="X53" i="7"/>
  <c r="X58" i="7" s="1"/>
  <c r="W53" i="7"/>
  <c r="W58" i="7" s="1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BX52" i="7"/>
  <c r="BW52" i="7"/>
  <c r="BV52" i="7"/>
  <c r="BU52" i="7"/>
  <c r="BT52" i="7"/>
  <c r="BS52" i="7"/>
  <c r="BR52" i="7"/>
  <c r="BQ52" i="7"/>
  <c r="BO52" i="7"/>
  <c r="BN52" i="7"/>
  <c r="BM52" i="7"/>
  <c r="BM51" i="7" s="1"/>
  <c r="BL52" i="7"/>
  <c r="BL51" i="7" s="1"/>
  <c r="BK52" i="7"/>
  <c r="BK51" i="7" s="1"/>
  <c r="BI52" i="7"/>
  <c r="BH52" i="7"/>
  <c r="BG52" i="7"/>
  <c r="BG51" i="7" s="1"/>
  <c r="BF52" i="7"/>
  <c r="BE52" i="7"/>
  <c r="BD52" i="7"/>
  <c r="BC52" i="7"/>
  <c r="BC51" i="7" s="1"/>
  <c r="BB52" i="7"/>
  <c r="BA52" i="7"/>
  <c r="AZ52" i="7"/>
  <c r="AY52" i="7"/>
  <c r="AY51" i="7" s="1"/>
  <c r="AX52" i="7"/>
  <c r="AW52" i="7"/>
  <c r="AV52" i="7"/>
  <c r="AU52" i="7"/>
  <c r="AT52" i="7"/>
  <c r="AT51" i="7" s="1"/>
  <c r="AS52" i="7"/>
  <c r="AR52" i="7"/>
  <c r="AQ52" i="7"/>
  <c r="AP52" i="7"/>
  <c r="AO52" i="7"/>
  <c r="AO51" i="7" s="1"/>
  <c r="AH52" i="7"/>
  <c r="AH57" i="7" s="1"/>
  <c r="AH56" i="7" s="1"/>
  <c r="AG52" i="7"/>
  <c r="AG57" i="7" s="1"/>
  <c r="AG56" i="7" s="1"/>
  <c r="X52" i="7"/>
  <c r="X57" i="7" s="1"/>
  <c r="X56" i="7" s="1"/>
  <c r="W52" i="7"/>
  <c r="W57" i="7" s="1"/>
  <c r="W56" i="7" s="1"/>
  <c r="U52" i="7"/>
  <c r="T52" i="7"/>
  <c r="S52" i="7"/>
  <c r="S51" i="7" s="1"/>
  <c r="R52" i="7"/>
  <c r="Q52" i="7"/>
  <c r="P52" i="7"/>
  <c r="O52" i="7"/>
  <c r="N52" i="7"/>
  <c r="M52" i="7"/>
  <c r="M51" i="7" s="1"/>
  <c r="L52" i="7"/>
  <c r="K52" i="7"/>
  <c r="J52" i="7"/>
  <c r="I52" i="7"/>
  <c r="H52" i="7"/>
  <c r="H51" i="7" s="1"/>
  <c r="G52" i="7"/>
  <c r="F52" i="7"/>
  <c r="E52" i="7"/>
  <c r="D52" i="7"/>
  <c r="DR59" i="6"/>
  <c r="DQ59" i="6"/>
  <c r="DP59" i="6"/>
  <c r="DO59" i="6"/>
  <c r="DL59" i="6"/>
  <c r="DK59" i="6"/>
  <c r="DJ59" i="6"/>
  <c r="DA59" i="6"/>
  <c r="CS59" i="6"/>
  <c r="CQ59" i="6"/>
  <c r="CP59" i="6"/>
  <c r="CO59" i="6"/>
  <c r="BR59" i="6"/>
  <c r="BA59" i="6"/>
  <c r="AT59" i="6"/>
  <c r="DT58" i="6"/>
  <c r="DS58" i="6"/>
  <c r="DM58" i="6"/>
  <c r="DI58" i="6"/>
  <c r="DH58" i="6"/>
  <c r="DG58" i="6"/>
  <c r="DF58" i="6"/>
  <c r="DE58" i="6"/>
  <c r="DD58" i="6"/>
  <c r="DC58" i="6"/>
  <c r="DB58" i="6"/>
  <c r="CZ58" i="6"/>
  <c r="CY58" i="6"/>
  <c r="CX58" i="6"/>
  <c r="CW58" i="6"/>
  <c r="CV58" i="6"/>
  <c r="CU58" i="6"/>
  <c r="CR58" i="6"/>
  <c r="CM58" i="6"/>
  <c r="CL58" i="6"/>
  <c r="CK58" i="6"/>
  <c r="CJ58" i="6"/>
  <c r="CI58" i="6"/>
  <c r="CH58" i="6"/>
  <c r="CG58" i="6"/>
  <c r="CF58" i="6"/>
  <c r="CE58" i="6"/>
  <c r="CD58" i="6"/>
  <c r="CC58" i="6"/>
  <c r="CB58" i="6"/>
  <c r="CA58" i="6"/>
  <c r="BV58" i="6"/>
  <c r="BU58" i="6"/>
  <c r="BT58" i="6"/>
  <c r="BS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Z58" i="6"/>
  <c r="Y58" i="6"/>
  <c r="X58" i="6"/>
  <c r="W58" i="6"/>
  <c r="V58" i="6"/>
  <c r="U58" i="6"/>
  <c r="T58" i="6"/>
  <c r="S58" i="6"/>
  <c r="R58" i="6"/>
  <c r="Q58" i="6"/>
  <c r="P58" i="6"/>
  <c r="O58" i="6"/>
  <c r="M58" i="6"/>
  <c r="L58" i="6"/>
  <c r="K58" i="6"/>
  <c r="J58" i="6"/>
  <c r="I58" i="6"/>
  <c r="H58" i="6"/>
  <c r="G58" i="6"/>
  <c r="F58" i="6"/>
  <c r="E58" i="6"/>
  <c r="D58" i="6"/>
  <c r="AV51" i="7" l="1"/>
  <c r="BV51" i="7"/>
  <c r="K51" i="7"/>
  <c r="O51" i="7"/>
  <c r="F51" i="7"/>
  <c r="J51" i="7"/>
  <c r="AW51" i="7"/>
  <c r="BA51" i="7"/>
  <c r="BE51" i="7"/>
  <c r="BW51" i="7"/>
  <c r="P51" i="7"/>
  <c r="AQ51" i="7"/>
  <c r="BU51" i="7"/>
  <c r="D51" i="7"/>
  <c r="Q51" i="7"/>
  <c r="AR51" i="7"/>
  <c r="BS51" i="7"/>
  <c r="AH51" i="7"/>
  <c r="AG51" i="7"/>
  <c r="W51" i="7"/>
  <c r="X51" i="7"/>
  <c r="CI23" i="6"/>
  <c r="CH23" i="6"/>
  <c r="CG23" i="6"/>
  <c r="CI10" i="6"/>
  <c r="CH10" i="6"/>
  <c r="CG10" i="6"/>
  <c r="CI7" i="6"/>
  <c r="CH7" i="6"/>
  <c r="CG7" i="6"/>
  <c r="CG28" i="6" l="1"/>
  <c r="CG29" i="6" s="1"/>
  <c r="AH10" i="2"/>
  <c r="AJ10" i="2" s="1"/>
  <c r="AH19" i="2"/>
  <c r="AJ19" i="2" s="1"/>
  <c r="AK19" i="2" s="1"/>
  <c r="AM19" i="2" s="1"/>
  <c r="CG12" i="6"/>
  <c r="CH28" i="6"/>
  <c r="CH29" i="6" s="1"/>
  <c r="AH15" i="2"/>
  <c r="AJ15" i="2" s="1"/>
  <c r="AK15" i="2" s="1"/>
  <c r="AM15" i="2" s="1"/>
  <c r="AH20" i="2"/>
  <c r="AJ20" i="2" s="1"/>
  <c r="AK20" i="2" s="1"/>
  <c r="AM20" i="2" s="1"/>
  <c r="CI28" i="6"/>
  <c r="CI29" i="6" s="1"/>
  <c r="AH17" i="2"/>
  <c r="AJ17" i="2" s="1"/>
  <c r="AK17" i="2" s="1"/>
  <c r="AM17" i="2" s="1"/>
  <c r="AH23" i="2"/>
  <c r="AJ23" i="2" s="1"/>
  <c r="AK23" i="2" s="1"/>
  <c r="AM23" i="2" s="1"/>
  <c r="CI12" i="6"/>
  <c r="AH18" i="2"/>
  <c r="AJ18" i="2" s="1"/>
  <c r="AK18" i="2" s="1"/>
  <c r="AM18" i="2" s="1"/>
  <c r="AH21" i="2"/>
  <c r="AJ21" i="2" s="1"/>
  <c r="AK21" i="2" s="1"/>
  <c r="AM21" i="2" s="1"/>
  <c r="AK10" i="2"/>
  <c r="CH12" i="6"/>
  <c r="AM25" i="2" l="1"/>
  <c r="AJ25" i="2"/>
  <c r="CG14" i="6"/>
  <c r="CH14" i="6"/>
  <c r="CI14" i="6"/>
  <c r="AL10" i="2"/>
  <c r="AL25" i="2" s="1"/>
  <c r="AK25" i="2"/>
  <c r="CE7" i="6"/>
  <c r="CD7" i="6"/>
  <c r="CD28" i="6"/>
  <c r="CD29" i="6" s="1"/>
  <c r="CE23" i="6"/>
  <c r="CD23" i="6"/>
  <c r="CE10" i="6"/>
  <c r="CD10" i="6"/>
  <c r="CE28" i="6" l="1"/>
  <c r="CE29" i="6" s="1"/>
  <c r="CH15" i="6"/>
  <c r="CI15" i="6"/>
  <c r="CG15" i="6"/>
  <c r="CE12" i="6"/>
  <c r="CD12" i="6"/>
  <c r="CE14" i="6" l="1"/>
  <c r="CD14" i="6"/>
  <c r="CD15" i="6" s="1"/>
  <c r="CE15" i="6" l="1"/>
  <c r="AW23" i="6"/>
  <c r="AW10" i="6"/>
  <c r="AV23" i="6"/>
  <c r="AV10" i="6"/>
  <c r="AW12" i="6" l="1"/>
  <c r="AV12" i="6"/>
  <c r="AV28" i="6"/>
  <c r="AV29" i="6" s="1"/>
  <c r="AW28" i="6"/>
  <c r="AW29" i="6" s="1"/>
  <c r="AW14" i="6"/>
  <c r="AV14" i="6" l="1"/>
  <c r="AV15" i="6"/>
  <c r="AW15" i="6"/>
  <c r="B106" i="32" l="1"/>
  <c r="CG9" i="6" l="1"/>
  <c r="CD9" i="6"/>
  <c r="CH9" i="6" l="1"/>
  <c r="BG59" i="7"/>
  <c r="BG57" i="7"/>
  <c r="BG58" i="7"/>
  <c r="H58" i="7"/>
  <c r="H59" i="7"/>
  <c r="H57" i="7"/>
  <c r="D59" i="7"/>
  <c r="D58" i="7"/>
  <c r="D57" i="7"/>
  <c r="M58" i="7"/>
  <c r="M59" i="7"/>
  <c r="M57" i="7"/>
  <c r="CE9" i="6"/>
  <c r="BJ54" i="7"/>
  <c r="BX54" i="7"/>
  <c r="BX51" i="7" s="1"/>
  <c r="BR54" i="7"/>
  <c r="BR51" i="7" s="1"/>
  <c r="BO54" i="7"/>
  <c r="BO51" i="7" s="1"/>
  <c r="BI54" i="7"/>
  <c r="BI51" i="7" s="1"/>
  <c r="BF54" i="7"/>
  <c r="BF51" i="7" s="1"/>
  <c r="AE14" i="7"/>
  <c r="AE13" i="7"/>
  <c r="AD14" i="7"/>
  <c r="AD13" i="7"/>
  <c r="AC15" i="7"/>
  <c r="AC14" i="7"/>
  <c r="AC13" i="7"/>
  <c r="R54" i="7"/>
  <c r="R51" i="7" s="1"/>
  <c r="L54" i="7"/>
  <c r="L51" i="7" s="1"/>
  <c r="G54" i="7"/>
  <c r="G51" i="7" s="1"/>
  <c r="AS54" i="7"/>
  <c r="AS51" i="7" s="1"/>
  <c r="AX54" i="7"/>
  <c r="AX51" i="7" s="1"/>
  <c r="BB54" i="7"/>
  <c r="BB51" i="7" s="1"/>
  <c r="AD52" i="7" l="1"/>
  <c r="AE53" i="7"/>
  <c r="AC52" i="7"/>
  <c r="AD53" i="7"/>
  <c r="AC54" i="7"/>
  <c r="AC53" i="7"/>
  <c r="AE52" i="7"/>
  <c r="CI9" i="6"/>
  <c r="BJ53" i="7"/>
  <c r="D56" i="7"/>
  <c r="M56" i="7"/>
  <c r="H56" i="7"/>
  <c r="BJ52" i="7"/>
  <c r="AE15" i="7"/>
  <c r="U54" i="7"/>
  <c r="U51" i="7" s="1"/>
  <c r="BG56" i="7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F10" i="6"/>
  <c r="CC10" i="6"/>
  <c r="CB10" i="6"/>
  <c r="CA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E10" i="6"/>
  <c r="AC51" i="7" l="1"/>
  <c r="AE54" i="7"/>
  <c r="AE51" i="7" s="1"/>
  <c r="BJ51" i="7"/>
  <c r="AT9" i="6"/>
  <c r="AU9" i="6" l="1"/>
  <c r="DS9" i="6"/>
  <c r="DK9" i="6"/>
  <c r="DN9" i="6"/>
  <c r="S58" i="7"/>
  <c r="S57" i="7"/>
  <c r="S59" i="7"/>
  <c r="AO59" i="7"/>
  <c r="AO58" i="7"/>
  <c r="AO57" i="7"/>
  <c r="AY59" i="7"/>
  <c r="AY57" i="7"/>
  <c r="AY58" i="7"/>
  <c r="BJ58" i="7"/>
  <c r="BJ59" i="7"/>
  <c r="BJ57" i="7"/>
  <c r="AT58" i="7"/>
  <c r="AT59" i="7"/>
  <c r="AT57" i="7"/>
  <c r="BC59" i="7"/>
  <c r="BC57" i="7"/>
  <c r="BC58" i="7"/>
  <c r="BM59" i="7"/>
  <c r="BM57" i="7"/>
  <c r="BM58" i="7"/>
  <c r="BS59" i="7"/>
  <c r="BS57" i="7"/>
  <c r="BS58" i="7"/>
  <c r="DH7" i="6"/>
  <c r="AQ9" i="6"/>
  <c r="AN9" i="6"/>
  <c r="AK9" i="6"/>
  <c r="AG9" i="6"/>
  <c r="AE9" i="6"/>
  <c r="Z9" i="6"/>
  <c r="W9" i="6"/>
  <c r="T9" i="6"/>
  <c r="P9" i="6"/>
  <c r="M9" i="6"/>
  <c r="I9" i="6"/>
  <c r="G9" i="6"/>
  <c r="DL9" i="6" l="1"/>
  <c r="X9" i="6"/>
  <c r="AL9" i="6"/>
  <c r="DT9" i="6"/>
  <c r="AH9" i="6"/>
  <c r="AV9" i="6"/>
  <c r="AO9" i="6"/>
  <c r="Q9" i="6"/>
  <c r="BJ56" i="7"/>
  <c r="AY56" i="7"/>
  <c r="AO56" i="7"/>
  <c r="DO9" i="6"/>
  <c r="S56" i="7"/>
  <c r="BS56" i="7"/>
  <c r="BC56" i="7"/>
  <c r="AT56" i="7"/>
  <c r="BM56" i="7"/>
  <c r="AC58" i="7"/>
  <c r="AC57" i="7"/>
  <c r="AC59" i="7"/>
  <c r="U23" i="6"/>
  <c r="U12" i="6"/>
  <c r="U7" i="6"/>
  <c r="DP9" i="6" l="1"/>
  <c r="AW9" i="6"/>
  <c r="AX9" i="6"/>
  <c r="U14" i="6"/>
  <c r="AC56" i="7"/>
  <c r="U10" i="7"/>
  <c r="T10" i="7"/>
  <c r="U9" i="7"/>
  <c r="T9" i="7"/>
  <c r="U15" i="6" l="1"/>
  <c r="T58" i="7"/>
  <c r="T57" i="7"/>
  <c r="U59" i="7"/>
  <c r="U58" i="7"/>
  <c r="U57" i="7"/>
  <c r="BG28" i="6"/>
  <c r="BG29" i="6" s="1"/>
  <c r="BB28" i="6"/>
  <c r="BB29" i="6" s="1"/>
  <c r="BB23" i="6"/>
  <c r="BB12" i="6"/>
  <c r="BF7" i="6"/>
  <c r="BE7" i="6"/>
  <c r="BD7" i="6"/>
  <c r="BC7" i="6"/>
  <c r="BB7" i="6"/>
  <c r="BA7" i="6"/>
  <c r="AZ7" i="6"/>
  <c r="AZ28" i="6"/>
  <c r="AZ29" i="6" s="1"/>
  <c r="AZ9" i="6"/>
  <c r="BA23" i="6"/>
  <c r="AZ23" i="6"/>
  <c r="BA12" i="6"/>
  <c r="AZ12" i="6"/>
  <c r="BP9" i="6"/>
  <c r="BH9" i="6"/>
  <c r="BN7" i="6"/>
  <c r="BM7" i="6"/>
  <c r="BL7" i="6"/>
  <c r="BK7" i="6"/>
  <c r="BJ7" i="6"/>
  <c r="BI7" i="6"/>
  <c r="BH7" i="6"/>
  <c r="BG23" i="6"/>
  <c r="BG12" i="6"/>
  <c r="BG7" i="6"/>
  <c r="BA14" i="6" l="1"/>
  <c r="BA15" i="6" s="1"/>
  <c r="BI9" i="6"/>
  <c r="AZ14" i="6"/>
  <c r="BG14" i="6"/>
  <c r="BB14" i="6"/>
  <c r="BA9" i="6"/>
  <c r="BE9" i="6"/>
  <c r="U56" i="7"/>
  <c r="BA28" i="6"/>
  <c r="BA29" i="6" s="1"/>
  <c r="AZ15" i="6"/>
  <c r="BJ9" i="6" l="1"/>
  <c r="BG15" i="6"/>
  <c r="BB15" i="6"/>
  <c r="BB9" i="6"/>
  <c r="A9" i="2"/>
  <c r="AA25" i="2"/>
  <c r="W25" i="2"/>
  <c r="U25" i="2"/>
  <c r="S25" i="2"/>
  <c r="O25" i="2"/>
  <c r="M25" i="2"/>
  <c r="K25" i="2"/>
  <c r="I25" i="2"/>
  <c r="G25" i="2"/>
  <c r="E25" i="2"/>
  <c r="D8" i="2"/>
  <c r="BO7" i="6"/>
  <c r="BN28" i="6"/>
  <c r="BN29" i="6" s="1"/>
  <c r="BM28" i="6"/>
  <c r="BM29" i="6" s="1"/>
  <c r="BN23" i="6"/>
  <c r="BM23" i="6"/>
  <c r="BN12" i="6"/>
  <c r="BM12" i="6"/>
  <c r="BE28" i="6"/>
  <c r="BE29" i="6" s="1"/>
  <c r="BE23" i="6"/>
  <c r="BE12" i="6"/>
  <c r="R8" i="2" l="1"/>
  <c r="BL9" i="6"/>
  <c r="BM14" i="6"/>
  <c r="BN14" i="6"/>
  <c r="BE14" i="6"/>
  <c r="AY52" i="6"/>
  <c r="J8" i="2"/>
  <c r="T8" i="2"/>
  <c r="AB8" i="2"/>
  <c r="F8" i="2"/>
  <c r="N8" i="2"/>
  <c r="X8" i="2"/>
  <c r="H8" i="2"/>
  <c r="L8" i="2"/>
  <c r="P8" i="2"/>
  <c r="V8" i="2"/>
  <c r="Z8" i="2"/>
  <c r="BM15" i="6"/>
  <c r="BN15" i="6"/>
  <c r="BE15" i="6" l="1"/>
  <c r="D11" i="2"/>
  <c r="R11" i="2" l="1"/>
  <c r="X11" i="2"/>
  <c r="F11" i="2"/>
  <c r="N11" i="2"/>
  <c r="J11" i="2"/>
  <c r="T11" i="2"/>
  <c r="AB11" i="2"/>
  <c r="H11" i="2"/>
  <c r="L11" i="2"/>
  <c r="P11" i="2"/>
  <c r="V11" i="2"/>
  <c r="Z11" i="2"/>
  <c r="DH28" i="6"/>
  <c r="DH29" i="6" s="1"/>
  <c r="DH23" i="6"/>
  <c r="DH12" i="6"/>
  <c r="CS52" i="6"/>
  <c r="CS54" i="6" s="1"/>
  <c r="DH14" i="6" l="1"/>
  <c r="Y25" i="2"/>
  <c r="AH25" i="2" s="1"/>
  <c r="CR7" i="6"/>
  <c r="CQ7" i="6"/>
  <c r="CP7" i="6"/>
  <c r="CO7" i="6"/>
  <c r="DH15" i="6" l="1"/>
  <c r="CN52" i="6"/>
  <c r="CN54" i="6" s="1"/>
  <c r="AX23" i="6"/>
  <c r="AU23" i="6"/>
  <c r="AT23" i="6"/>
  <c r="AX12" i="6"/>
  <c r="AU12" i="6"/>
  <c r="AT12" i="6"/>
  <c r="AX7" i="6"/>
  <c r="AU7" i="6"/>
  <c r="AT7" i="6"/>
  <c r="AT14" i="6" l="1"/>
  <c r="AT15" i="6" s="1"/>
  <c r="AX14" i="6"/>
  <c r="AU14" i="6"/>
  <c r="AX15" i="6"/>
  <c r="AU15" i="6" l="1"/>
  <c r="DS7" i="6" l="1"/>
  <c r="DR7" i="6"/>
  <c r="DS23" i="6" l="1"/>
  <c r="DK23" i="6"/>
  <c r="DK12" i="6"/>
  <c r="DK7" i="6"/>
  <c r="DN23" i="6"/>
  <c r="DK28" i="6" l="1"/>
  <c r="DK29" i="6" s="1"/>
  <c r="DK14" i="6"/>
  <c r="DJ52" i="6"/>
  <c r="DJ54" i="6" s="1"/>
  <c r="DN28" i="6"/>
  <c r="DN29" i="6" s="1"/>
  <c r="DS28" i="6"/>
  <c r="DS29" i="6" s="1"/>
  <c r="CB28" i="6"/>
  <c r="CB29" i="6" s="1"/>
  <c r="CB9" i="6"/>
  <c r="CB23" i="6"/>
  <c r="CB12" i="6"/>
  <c r="CB7" i="6"/>
  <c r="CB14" i="6" l="1"/>
  <c r="DK15" i="6"/>
  <c r="CA52" i="6"/>
  <c r="CA54" i="6" s="1"/>
  <c r="CB15" i="6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Y17" i="6" s="1"/>
  <c r="AZ17" i="6" l="1"/>
  <c r="DA17" i="6"/>
  <c r="CP17" i="6"/>
  <c r="DL17" i="6"/>
  <c r="CT17" i="6"/>
  <c r="BO17" i="6"/>
  <c r="CJ17" i="6"/>
  <c r="BD17" i="6"/>
  <c r="AT17" i="6"/>
  <c r="DJ17" i="6"/>
  <c r="BA17" i="6"/>
  <c r="CN17" i="6"/>
  <c r="BJ17" i="6"/>
  <c r="BC17" i="6"/>
  <c r="A82" i="32"/>
  <c r="DD17" i="6" s="1"/>
  <c r="DK17" i="6"/>
  <c r="CU17" i="6"/>
  <c r="DB17" i="6"/>
  <c r="BR17" i="6"/>
  <c r="BB17" i="6"/>
  <c r="BT17" i="6"/>
  <c r="CS17" i="6"/>
  <c r="BI17" i="6"/>
  <c r="CO17" i="6"/>
  <c r="CA17" i="6"/>
  <c r="BG17" i="6"/>
  <c r="BH17" i="6"/>
  <c r="AS17" i="6"/>
  <c r="DQ17" i="6"/>
  <c r="BS17" i="6"/>
  <c r="DC17" i="6"/>
  <c r="BE17" i="6" l="1"/>
  <c r="CQ17" i="6"/>
  <c r="A83" i="32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DN17" i="6"/>
  <c r="DM17" i="6"/>
  <c r="CV17" i="6"/>
  <c r="CC52" i="6"/>
  <c r="CL28" i="6"/>
  <c r="CL29" i="6" s="1"/>
  <c r="CL23" i="6"/>
  <c r="CL12" i="6"/>
  <c r="CM9" i="6"/>
  <c r="CK9" i="6"/>
  <c r="CL14" i="6" l="1"/>
  <c r="CL9" i="6"/>
  <c r="A95" i="32"/>
  <c r="A96" i="32" s="1"/>
  <c r="A97" i="32" s="1"/>
  <c r="A98" i="32" s="1"/>
  <c r="A99" i="32" s="1"/>
  <c r="A100" i="32" s="1"/>
  <c r="A101" i="32" s="1"/>
  <c r="DF17" i="6"/>
  <c r="AF17" i="6"/>
  <c r="BP17" i="6"/>
  <c r="CY17" i="6"/>
  <c r="AD17" i="6"/>
  <c r="CC17" i="6"/>
  <c r="AK17" i="6"/>
  <c r="DE17" i="6"/>
  <c r="DS17" i="6"/>
  <c r="D17" i="6"/>
  <c r="AV17" i="6"/>
  <c r="CW17" i="6"/>
  <c r="H17" i="6"/>
  <c r="AP17" i="6"/>
  <c r="CF17" i="6"/>
  <c r="L17" i="6"/>
  <c r="E17" i="6"/>
  <c r="AR17" i="6"/>
  <c r="BU17" i="6"/>
  <c r="AM17" i="6"/>
  <c r="AL17" i="6"/>
  <c r="J17" i="6"/>
  <c r="AU17" i="6"/>
  <c r="V17" i="6"/>
  <c r="AN17" i="6"/>
  <c r="CX17" i="6"/>
  <c r="F17" i="6"/>
  <c r="O17" i="6"/>
  <c r="DR17" i="6"/>
  <c r="K17" i="6"/>
  <c r="Y17" i="6"/>
  <c r="AA17" i="6"/>
  <c r="BF17" i="6"/>
  <c r="BK17" i="6"/>
  <c r="CL15" i="6"/>
  <c r="A102" i="32" l="1"/>
  <c r="A103" i="32" s="1"/>
  <c r="A104" i="32" s="1"/>
  <c r="A105" i="32" s="1"/>
  <c r="A106" i="32" s="1"/>
  <c r="A107" i="32" s="1"/>
  <c r="DO17" i="6"/>
  <c r="DG17" i="6"/>
  <c r="CG17" i="6"/>
  <c r="AW17" i="6"/>
  <c r="AQ17" i="6"/>
  <c r="Q17" i="6"/>
  <c r="CE17" i="6"/>
  <c r="AE17" i="6"/>
  <c r="BV17" i="6"/>
  <c r="BQ17" i="6"/>
  <c r="CD17" i="6"/>
  <c r="DH17" i="6"/>
  <c r="G17" i="6"/>
  <c r="CI17" i="6"/>
  <c r="CK17" i="6"/>
  <c r="X17" i="6"/>
  <c r="AB17" i="6"/>
  <c r="CM17" i="6"/>
  <c r="I17" i="6"/>
  <c r="W17" i="6"/>
  <c r="CL17" i="6"/>
  <c r="AH17" i="6"/>
  <c r="AG17" i="6"/>
  <c r="AC17" i="6"/>
  <c r="CH17" i="6"/>
  <c r="AO17" i="6"/>
  <c r="Z17" i="6"/>
  <c r="BL17" i="6" l="1"/>
  <c r="U17" i="6"/>
  <c r="CB17" i="6"/>
  <c r="AI17" i="6"/>
  <c r="R17" i="6"/>
  <c r="P17" i="6"/>
  <c r="AX17" i="6"/>
  <c r="AJ17" i="6"/>
  <c r="S17" i="6"/>
  <c r="DT17" i="6"/>
  <c r="M17" i="6"/>
  <c r="CR17" i="6"/>
  <c r="T17" i="6"/>
  <c r="DI17" i="6"/>
  <c r="CZ17" i="6"/>
  <c r="BM17" i="6"/>
  <c r="N17" i="6"/>
  <c r="N16" i="6"/>
  <c r="CX16" i="6"/>
  <c r="V16" i="6"/>
  <c r="CI16" i="6"/>
  <c r="DR16" i="6"/>
  <c r="T16" i="6"/>
  <c r="AG16" i="6"/>
  <c r="AA16" i="6"/>
  <c r="CR16" i="6"/>
  <c r="DE16" i="6"/>
  <c r="CA16" i="6"/>
  <c r="F16" i="6"/>
  <c r="CC16" i="6"/>
  <c r="AJ16" i="6"/>
  <c r="BP16" i="6"/>
  <c r="BH16" i="6"/>
  <c r="BE16" i="6"/>
  <c r="S16" i="6"/>
  <c r="D16" i="6"/>
  <c r="DK16" i="6"/>
  <c r="I16" i="6"/>
  <c r="AX16" i="6"/>
  <c r="AO16" i="6"/>
  <c r="BV16" i="6"/>
  <c r="DB16" i="6"/>
  <c r="X16" i="6"/>
  <c r="DP17" i="6"/>
  <c r="CM16" i="6"/>
  <c r="BQ16" i="6"/>
  <c r="M16" i="6"/>
  <c r="CD16" i="6"/>
  <c r="DP16" i="6"/>
  <c r="CJ16" i="6"/>
  <c r="J16" i="6"/>
  <c r="BA16" i="6"/>
  <c r="AV16" i="6"/>
  <c r="CU16" i="6"/>
  <c r="Y16" i="6"/>
  <c r="CL16" i="6"/>
  <c r="W16" i="6"/>
  <c r="Q16" i="6"/>
  <c r="BM16" i="6"/>
  <c r="BF16" i="6"/>
  <c r="AF16" i="6"/>
  <c r="DO16" i="6"/>
  <c r="E16" i="6"/>
  <c r="AB16" i="6"/>
  <c r="DQ16" i="6"/>
  <c r="BL16" i="6"/>
  <c r="AM16" i="6"/>
  <c r="DM16" i="6"/>
  <c r="Z16" i="6"/>
  <c r="DI16" i="6"/>
  <c r="CV16" i="6"/>
  <c r="AD16" i="6"/>
  <c r="CH16" i="6"/>
  <c r="BK16" i="6"/>
  <c r="L16" i="6"/>
  <c r="AN16" i="6"/>
  <c r="CE16" i="6"/>
  <c r="AS16" i="6"/>
  <c r="R16" i="6"/>
  <c r="DS16" i="6"/>
  <c r="AT16" i="6"/>
  <c r="DJ16" i="6"/>
  <c r="AI16" i="6"/>
  <c r="DH16" i="6"/>
  <c r="U16" i="6"/>
  <c r="P16" i="6"/>
  <c r="K16" i="6"/>
  <c r="O16" i="6"/>
  <c r="CP16" i="6"/>
  <c r="DD16" i="6"/>
  <c r="DG16" i="6"/>
  <c r="AL16" i="6"/>
  <c r="AK16" i="6"/>
  <c r="BT16" i="6"/>
  <c r="CG16" i="6"/>
  <c r="AR16" i="6"/>
  <c r="CK16" i="6"/>
  <c r="AE16" i="6"/>
  <c r="AC16" i="6"/>
  <c r="DL16" i="6"/>
  <c r="DN16" i="6"/>
  <c r="BC16" i="6"/>
  <c r="BR16" i="6"/>
  <c r="BS16" i="6"/>
  <c r="CN16" i="6"/>
  <c r="BJ16" i="6"/>
  <c r="CB16" i="6"/>
  <c r="DA16" i="6"/>
  <c r="BD16" i="6"/>
  <c r="CQ16" i="6"/>
  <c r="G16" i="6"/>
  <c r="CW16" i="6"/>
  <c r="DC16" i="6"/>
  <c r="AW16" i="6"/>
  <c r="AQ16" i="6"/>
  <c r="DF16" i="6"/>
  <c r="BU16" i="6"/>
  <c r="AH16" i="6"/>
  <c r="BN16" i="6"/>
  <c r="AU16" i="6"/>
  <c r="AZ16" i="6"/>
  <c r="CS16" i="6"/>
  <c r="CO16" i="6"/>
  <c r="CZ16" i="6"/>
  <c r="AP16" i="6"/>
  <c r="CF16" i="6"/>
  <c r="H16" i="6"/>
  <c r="BN17" i="6"/>
  <c r="BO16" i="6"/>
  <c r="DT16" i="6"/>
  <c r="AY16" i="6"/>
  <c r="BB16" i="6"/>
  <c r="CY16" i="6"/>
  <c r="BI16" i="6"/>
  <c r="BG16" i="6"/>
  <c r="CT16" i="6"/>
  <c r="CK28" i="6"/>
  <c r="CK29" i="6" s="1"/>
  <c r="CJ28" i="6"/>
  <c r="CJ29" i="6" s="1"/>
  <c r="CK23" i="6"/>
  <c r="CJ23" i="6"/>
  <c r="CK12" i="6"/>
  <c r="CJ12" i="6"/>
  <c r="CF28" i="6"/>
  <c r="CF29" i="6" s="1"/>
  <c r="CF23" i="6"/>
  <c r="CF12" i="6"/>
  <c r="CF7" i="6"/>
  <c r="AU18" i="6" l="1"/>
  <c r="CB18" i="6"/>
  <c r="AT18" i="6"/>
  <c r="CE18" i="6"/>
  <c r="CH18" i="6"/>
  <c r="BM18" i="6"/>
  <c r="BM30" i="6" s="1"/>
  <c r="BA18" i="6"/>
  <c r="DK18" i="6"/>
  <c r="BE18" i="6"/>
  <c r="CJ14" i="6"/>
  <c r="CJ18" i="6"/>
  <c r="CF14" i="6"/>
  <c r="CF18" i="6"/>
  <c r="CK18" i="6"/>
  <c r="CD18" i="6"/>
  <c r="CI18" i="6"/>
  <c r="N18" i="6"/>
  <c r="AZ18" i="6"/>
  <c r="CG18" i="6"/>
  <c r="DH18" i="6"/>
  <c r="CL18" i="6"/>
  <c r="CK14" i="6"/>
  <c r="BG18" i="6"/>
  <c r="BB18" i="6"/>
  <c r="AW18" i="6"/>
  <c r="U18" i="6"/>
  <c r="AV18" i="6"/>
  <c r="AX18" i="6"/>
  <c r="BN18" i="6"/>
  <c r="CE30" i="6"/>
  <c r="CE31" i="6" s="1"/>
  <c r="CJ15" i="6"/>
  <c r="CF15" i="6" l="1"/>
  <c r="CF30" i="6" s="1"/>
  <c r="CF31" i="6" s="1"/>
  <c r="CF59" i="6" s="1"/>
  <c r="CK15" i="6"/>
  <c r="CI30" i="6"/>
  <c r="CI31" i="6" s="1"/>
  <c r="CI59" i="6" s="1"/>
  <c r="BA30" i="6"/>
  <c r="BA31" i="6" s="1"/>
  <c r="CH30" i="6"/>
  <c r="CH31" i="6" s="1"/>
  <c r="AW30" i="6"/>
  <c r="AW31" i="6" s="1"/>
  <c r="CL30" i="6"/>
  <c r="CL31" i="6" s="1"/>
  <c r="DH30" i="6"/>
  <c r="N30" i="6"/>
  <c r="N31" i="6" s="1"/>
  <c r="BN30" i="6"/>
  <c r="DK30" i="6"/>
  <c r="DK31" i="6" s="1"/>
  <c r="CK30" i="6"/>
  <c r="CK31" i="6" s="1"/>
  <c r="CK59" i="6" s="1"/>
  <c r="BE30" i="6"/>
  <c r="CB30" i="6"/>
  <c r="CB31" i="6" s="1"/>
  <c r="CJ30" i="6"/>
  <c r="CJ31" i="6" s="1"/>
  <c r="CJ35" i="6" s="1"/>
  <c r="AV30" i="6"/>
  <c r="AV31" i="6" s="1"/>
  <c r="BB30" i="6"/>
  <c r="BB31" i="6" s="1"/>
  <c r="BG30" i="6"/>
  <c r="BG31" i="6" s="1"/>
  <c r="CG30" i="6"/>
  <c r="CG31" i="6" s="1"/>
  <c r="AZ30" i="6"/>
  <c r="AZ31" i="6" s="1"/>
  <c r="CD30" i="6"/>
  <c r="CD31" i="6" s="1"/>
  <c r="CE57" i="6"/>
  <c r="CE35" i="6"/>
  <c r="CE59" i="6"/>
  <c r="AL23" i="6"/>
  <c r="AL18" i="6"/>
  <c r="AL12" i="6"/>
  <c r="AL7" i="6"/>
  <c r="AK7" i="6"/>
  <c r="AK23" i="6"/>
  <c r="AK18" i="6"/>
  <c r="AK12" i="6"/>
  <c r="AJ7" i="6"/>
  <c r="AJ23" i="6"/>
  <c r="AJ18" i="6"/>
  <c r="AJ12" i="6"/>
  <c r="AI23" i="6"/>
  <c r="AI18" i="6"/>
  <c r="AI12" i="6"/>
  <c r="AI7" i="6"/>
  <c r="I23" i="6"/>
  <c r="I18" i="6"/>
  <c r="I12" i="6"/>
  <c r="I7" i="6"/>
  <c r="H7" i="6"/>
  <c r="H23" i="6"/>
  <c r="H18" i="6"/>
  <c r="H12" i="6"/>
  <c r="CJ59" i="6" l="1"/>
  <c r="CJ57" i="6"/>
  <c r="CI57" i="6"/>
  <c r="CI35" i="6"/>
  <c r="CK35" i="6"/>
  <c r="CK57" i="6"/>
  <c r="I14" i="6"/>
  <c r="AL14" i="6"/>
  <c r="CL57" i="6"/>
  <c r="CL59" i="6"/>
  <c r="CL35" i="6"/>
  <c r="CH59" i="6"/>
  <c r="CH57" i="6"/>
  <c r="CH35" i="6"/>
  <c r="CD35" i="6"/>
  <c r="CD59" i="6"/>
  <c r="CD57" i="6"/>
  <c r="AZ57" i="6"/>
  <c r="AZ35" i="6"/>
  <c r="AZ59" i="6"/>
  <c r="BB59" i="6"/>
  <c r="BB35" i="6"/>
  <c r="BB57" i="6"/>
  <c r="N35" i="6"/>
  <c r="AW35" i="6"/>
  <c r="AW57" i="6"/>
  <c r="AW59" i="6"/>
  <c r="CF57" i="6"/>
  <c r="BA58" i="6"/>
  <c r="BA57" i="6"/>
  <c r="BA35" i="6"/>
  <c r="AI14" i="6"/>
  <c r="AV59" i="6"/>
  <c r="AV57" i="6"/>
  <c r="AV35" i="6"/>
  <c r="H14" i="6"/>
  <c r="H15" i="6" s="1"/>
  <c r="AJ14" i="6"/>
  <c r="AJ15" i="6" s="1"/>
  <c r="AK14" i="6"/>
  <c r="CF35" i="6"/>
  <c r="CG35" i="6"/>
  <c r="CG57" i="6"/>
  <c r="CG59" i="6"/>
  <c r="BG57" i="6"/>
  <c r="BG59" i="6"/>
  <c r="BG35" i="6"/>
  <c r="CB57" i="6"/>
  <c r="CB59" i="6"/>
  <c r="CB35" i="6"/>
  <c r="DK35" i="6"/>
  <c r="DK57" i="6"/>
  <c r="DK58" i="6"/>
  <c r="AL15" i="6"/>
  <c r="AK15" i="6"/>
  <c r="I15" i="6"/>
  <c r="AI15" i="6" l="1"/>
  <c r="S7" i="6"/>
  <c r="S23" i="6"/>
  <c r="S18" i="6"/>
  <c r="S12" i="6"/>
  <c r="R7" i="6"/>
  <c r="R23" i="6"/>
  <c r="R18" i="6"/>
  <c r="R12" i="6"/>
  <c r="R14" i="6" l="1"/>
  <c r="R15" i="6" s="1"/>
  <c r="S14" i="6"/>
  <c r="S15" i="6" s="1"/>
  <c r="O7" i="6"/>
  <c r="Q7" i="6"/>
  <c r="Q23" i="6"/>
  <c r="Q18" i="6"/>
  <c r="Q12" i="6"/>
  <c r="T7" i="6"/>
  <c r="T23" i="6"/>
  <c r="T18" i="6"/>
  <c r="T12" i="6"/>
  <c r="L7" i="6"/>
  <c r="P7" i="6"/>
  <c r="P23" i="6"/>
  <c r="P18" i="6"/>
  <c r="P12" i="6"/>
  <c r="O23" i="6"/>
  <c r="O18" i="6"/>
  <c r="O12" i="6"/>
  <c r="M23" i="6"/>
  <c r="M18" i="6"/>
  <c r="M12" i="6"/>
  <c r="M7" i="6"/>
  <c r="T14" i="6" l="1"/>
  <c r="Q14" i="6"/>
  <c r="Q15" i="6" s="1"/>
  <c r="O14" i="6"/>
  <c r="M14" i="6"/>
  <c r="P14" i="6"/>
  <c r="P15" i="6" s="1"/>
  <c r="T15" i="6"/>
  <c r="O15" i="6"/>
  <c r="M15" i="6"/>
  <c r="K7" i="6"/>
  <c r="J7" i="6"/>
  <c r="DR28" i="6" l="1"/>
  <c r="DR29" i="6" s="1"/>
  <c r="DR23" i="6"/>
  <c r="DQ7" i="6"/>
  <c r="DQ28" i="6"/>
  <c r="DQ29" i="6" s="1"/>
  <c r="DQ23" i="6"/>
  <c r="DQ18" i="6"/>
  <c r="DQ12" i="6"/>
  <c r="DP28" i="6"/>
  <c r="DP29" i="6" s="1"/>
  <c r="DO28" i="6"/>
  <c r="DO29" i="6" s="1"/>
  <c r="DM28" i="6"/>
  <c r="DM29" i="6" s="1"/>
  <c r="DL28" i="6"/>
  <c r="DL29" i="6" s="1"/>
  <c r="DP23" i="6"/>
  <c r="DP18" i="6"/>
  <c r="DP12" i="6"/>
  <c r="DO12" i="6"/>
  <c r="DO23" i="6"/>
  <c r="DM23" i="6"/>
  <c r="DL23" i="6"/>
  <c r="DO18" i="6"/>
  <c r="DJ7" i="6"/>
  <c r="DO14" i="6" l="1"/>
  <c r="DQ14" i="6"/>
  <c r="DP14" i="6"/>
  <c r="DT7" i="6"/>
  <c r="BR52" i="6"/>
  <c r="BR54" i="6" s="1"/>
  <c r="DM12" i="6"/>
  <c r="DL18" i="6"/>
  <c r="DR12" i="6"/>
  <c r="DR18" i="6"/>
  <c r="DQ15" i="6"/>
  <c r="DL12" i="6"/>
  <c r="DP15" i="6"/>
  <c r="DO15" i="6"/>
  <c r="DP30" i="6" l="1"/>
  <c r="DP31" i="6" s="1"/>
  <c r="DP58" i="6" s="1"/>
  <c r="DR14" i="6"/>
  <c r="DL14" i="6"/>
  <c r="DL15" i="6" s="1"/>
  <c r="DQ30" i="6"/>
  <c r="DQ31" i="6" s="1"/>
  <c r="DQ58" i="6" s="1"/>
  <c r="DM14" i="6"/>
  <c r="DO30" i="6"/>
  <c r="DO31" i="6" s="1"/>
  <c r="DO57" i="6" s="1"/>
  <c r="DN12" i="6"/>
  <c r="DR15" i="6"/>
  <c r="DM18" i="6"/>
  <c r="DS12" i="6"/>
  <c r="DS18" i="6"/>
  <c r="DM15" i="6"/>
  <c r="DN18" i="6"/>
  <c r="DP35" i="6" l="1"/>
  <c r="DP57" i="6"/>
  <c r="DQ57" i="6"/>
  <c r="DQ35" i="6"/>
  <c r="DO35" i="6"/>
  <c r="DO58" i="6"/>
  <c r="DR30" i="6"/>
  <c r="DR31" i="6" s="1"/>
  <c r="DR58" i="6" s="1"/>
  <c r="DL30" i="6"/>
  <c r="DL31" i="6" s="1"/>
  <c r="DL57" i="6" s="1"/>
  <c r="DN14" i="6"/>
  <c r="DS14" i="6"/>
  <c r="DM30" i="6"/>
  <c r="DM31" i="6" s="1"/>
  <c r="DS15" i="6"/>
  <c r="DR57" i="6" l="1"/>
  <c r="DL58" i="6"/>
  <c r="DL35" i="6"/>
  <c r="DR35" i="6"/>
  <c r="DS30" i="6"/>
  <c r="DS31" i="6" s="1"/>
  <c r="DS59" i="6" s="1"/>
  <c r="DN15" i="6"/>
  <c r="DM35" i="6"/>
  <c r="DM59" i="6"/>
  <c r="DM57" i="6"/>
  <c r="DS35" i="6" l="1"/>
  <c r="DS57" i="6"/>
  <c r="DN30" i="6"/>
  <c r="DN31" i="6" s="1"/>
  <c r="X25" i="7"/>
  <c r="W25" i="7"/>
  <c r="X24" i="7"/>
  <c r="W24" i="7"/>
  <c r="X23" i="7"/>
  <c r="W23" i="7"/>
  <c r="AH25" i="7"/>
  <c r="AG25" i="7"/>
  <c r="AH24" i="7"/>
  <c r="AG24" i="7"/>
  <c r="AH23" i="7"/>
  <c r="AG23" i="7"/>
  <c r="BL25" i="7"/>
  <c r="BK25" i="7"/>
  <c r="BL24" i="7"/>
  <c r="BK24" i="7"/>
  <c r="BL23" i="7"/>
  <c r="BK23" i="7"/>
  <c r="BK10" i="7"/>
  <c r="BK9" i="7"/>
  <c r="BJ7" i="7"/>
  <c r="V15" i="7"/>
  <c r="V14" i="7"/>
  <c r="V13" i="7"/>
  <c r="AF12" i="7"/>
  <c r="BQ10" i="7"/>
  <c r="BQ9" i="7"/>
  <c r="BN10" i="7"/>
  <c r="BN9" i="7"/>
  <c r="BH10" i="7"/>
  <c r="BH9" i="7"/>
  <c r="BD10" i="7"/>
  <c r="BD9" i="7"/>
  <c r="BE10" i="7"/>
  <c r="BE9" i="7"/>
  <c r="AZ11" i="7"/>
  <c r="AZ12" i="7"/>
  <c r="AZ10" i="7"/>
  <c r="AZ9" i="7"/>
  <c r="BA10" i="7"/>
  <c r="BA9" i="7"/>
  <c r="AM15" i="7"/>
  <c r="AM14" i="7"/>
  <c r="AM13" i="7"/>
  <c r="AM12" i="7"/>
  <c r="AM11" i="7"/>
  <c r="AA15" i="7"/>
  <c r="AA14" i="7"/>
  <c r="AA13" i="7"/>
  <c r="AA12" i="7"/>
  <c r="AA11" i="7"/>
  <c r="W27" i="7" l="1"/>
  <c r="AH27" i="7"/>
  <c r="AM53" i="7"/>
  <c r="AM51" i="7" s="1"/>
  <c r="V53" i="7"/>
  <c r="AM54" i="7"/>
  <c r="BI10" i="7"/>
  <c r="BR10" i="7"/>
  <c r="V54" i="7"/>
  <c r="V59" i="7" s="1"/>
  <c r="CJ7" i="6"/>
  <c r="X27" i="7"/>
  <c r="AA54" i="7"/>
  <c r="BL10" i="7"/>
  <c r="DN57" i="6"/>
  <c r="DN59" i="6"/>
  <c r="DN35" i="6"/>
  <c r="DN58" i="6"/>
  <c r="AA52" i="7"/>
  <c r="AA53" i="7"/>
  <c r="AM52" i="7"/>
  <c r="BO10" i="7"/>
  <c r="O9" i="10"/>
  <c r="AG27" i="7"/>
  <c r="V52" i="7"/>
  <c r="BL9" i="7"/>
  <c r="BK59" i="7"/>
  <c r="BK57" i="7"/>
  <c r="BK58" i="7"/>
  <c r="BA59" i="7"/>
  <c r="BA57" i="7"/>
  <c r="BA58" i="7"/>
  <c r="AZ58" i="7"/>
  <c r="AZ57" i="7"/>
  <c r="BE59" i="7"/>
  <c r="BE57" i="7"/>
  <c r="BE58" i="7"/>
  <c r="BD58" i="7"/>
  <c r="BD57" i="7"/>
  <c r="BI9" i="7"/>
  <c r="BH58" i="7"/>
  <c r="BH57" i="7"/>
  <c r="BO9" i="7"/>
  <c r="BN58" i="7"/>
  <c r="BN57" i="7"/>
  <c r="BR9" i="7"/>
  <c r="BQ57" i="7"/>
  <c r="BQ58" i="7"/>
  <c r="R6" i="10"/>
  <c r="R5" i="10"/>
  <c r="R7" i="10"/>
  <c r="BK27" i="7"/>
  <c r="W26" i="7"/>
  <c r="X26" i="7"/>
  <c r="AG26" i="7"/>
  <c r="AH26" i="7"/>
  <c r="BK26" i="7"/>
  <c r="BL26" i="7"/>
  <c r="S46" i="7"/>
  <c r="BS46" i="7"/>
  <c r="BM46" i="7"/>
  <c r="AI46" i="7"/>
  <c r="AO46" i="7"/>
  <c r="AY46" i="7"/>
  <c r="AF46" i="7"/>
  <c r="H46" i="7"/>
  <c r="AT46" i="7"/>
  <c r="BP46" i="7"/>
  <c r="M4" i="10"/>
  <c r="L4" i="10"/>
  <c r="K4" i="10"/>
  <c r="J4" i="10"/>
  <c r="G4" i="10"/>
  <c r="D4" i="10"/>
  <c r="C4" i="10"/>
  <c r="F4" i="10"/>
  <c r="O4" i="10"/>
  <c r="B4" i="10"/>
  <c r="E4" i="10"/>
  <c r="DJ6" i="6"/>
  <c r="F7" i="6"/>
  <c r="V58" i="7" l="1"/>
  <c r="AA51" i="7"/>
  <c r="BL27" i="7"/>
  <c r="CK7" i="6"/>
  <c r="BK56" i="7"/>
  <c r="BC46" i="7"/>
  <c r="BG46" i="7"/>
  <c r="V51" i="7"/>
  <c r="V57" i="7"/>
  <c r="BE56" i="7"/>
  <c r="BA56" i="7"/>
  <c r="BR58" i="7"/>
  <c r="BR59" i="7"/>
  <c r="BR57" i="7"/>
  <c r="BO59" i="7"/>
  <c r="BO57" i="7"/>
  <c r="BO58" i="7"/>
  <c r="BI59" i="7"/>
  <c r="BI57" i="7"/>
  <c r="BI58" i="7"/>
  <c r="BL58" i="7"/>
  <c r="BL59" i="7"/>
  <c r="BL57" i="7"/>
  <c r="T15" i="7"/>
  <c r="V46" i="7"/>
  <c r="BH15" i="7"/>
  <c r="M46" i="7"/>
  <c r="N15" i="7"/>
  <c r="BN15" i="7"/>
  <c r="AU15" i="7"/>
  <c r="N4" i="10"/>
  <c r="Y46" i="7"/>
  <c r="E15" i="7"/>
  <c r="BT15" i="7"/>
  <c r="BD15" i="7"/>
  <c r="AC46" i="7"/>
  <c r="AZ15" i="7"/>
  <c r="AP15" i="7"/>
  <c r="I15" i="7"/>
  <c r="D46" i="7"/>
  <c r="R8" i="10"/>
  <c r="C46" i="7" l="1"/>
  <c r="V56" i="7"/>
  <c r="D63" i="7"/>
  <c r="N9" i="10"/>
  <c r="L9" i="10"/>
  <c r="F9" i="10"/>
  <c r="G9" i="10"/>
  <c r="H9" i="10"/>
  <c r="D9" i="10"/>
  <c r="E9" i="10"/>
  <c r="CM7" i="6"/>
  <c r="CL7" i="6"/>
  <c r="C9" i="10"/>
  <c r="J9" i="10"/>
  <c r="K9" i="10"/>
  <c r="BG45" i="7"/>
  <c r="B9" i="10"/>
  <c r="BR56" i="7"/>
  <c r="AP54" i="7"/>
  <c r="AP51" i="7" s="1"/>
  <c r="I54" i="7"/>
  <c r="I51" i="7" s="1"/>
  <c r="AZ54" i="7"/>
  <c r="BD54" i="7"/>
  <c r="E54" i="7"/>
  <c r="BM45" i="7"/>
  <c r="BN54" i="7"/>
  <c r="BT54" i="7"/>
  <c r="BT51" i="7" s="1"/>
  <c r="AU54" i="7"/>
  <c r="AU51" i="7" s="1"/>
  <c r="N54" i="7"/>
  <c r="N51" i="7" s="1"/>
  <c r="BH54" i="7"/>
  <c r="T54" i="7"/>
  <c r="BO56" i="7"/>
  <c r="BL56" i="7"/>
  <c r="BI56" i="7"/>
  <c r="S45" i="7"/>
  <c r="S47" i="7" s="1"/>
  <c r="AD15" i="7"/>
  <c r="T51" i="7" l="1"/>
  <c r="T59" i="7"/>
  <c r="T56" i="7" s="1"/>
  <c r="E51" i="7"/>
  <c r="BD51" i="7"/>
  <c r="BD59" i="7"/>
  <c r="BD56" i="7" s="1"/>
  <c r="AZ51" i="7"/>
  <c r="AZ59" i="7"/>
  <c r="AZ56" i="7" s="1"/>
  <c r="AD54" i="7"/>
  <c r="AD51" i="7" s="1"/>
  <c r="BH51" i="7"/>
  <c r="BH59" i="7"/>
  <c r="BH56" i="7" s="1"/>
  <c r="BN51" i="7"/>
  <c r="BN59" i="7"/>
  <c r="BN56" i="7" s="1"/>
  <c r="O33" i="8" l="1"/>
  <c r="O32" i="8"/>
  <c r="O31" i="8"/>
  <c r="O30" i="8"/>
  <c r="J22" i="8"/>
  <c r="J15" i="8"/>
  <c r="J16" i="8"/>
  <c r="J17" i="8"/>
  <c r="J19" i="8"/>
  <c r="J20" i="8"/>
  <c r="K22" i="8" l="1"/>
  <c r="N8" i="8"/>
  <c r="K16" i="8"/>
  <c r="K17" i="8"/>
  <c r="K19" i="8"/>
  <c r="K20" i="8"/>
  <c r="K15" i="8"/>
  <c r="N21" i="8"/>
  <c r="N9" i="8"/>
  <c r="N10" i="8"/>
  <c r="N32" i="8" l="1"/>
  <c r="D28" i="2"/>
  <c r="V30" i="2"/>
  <c r="G17" i="8" l="1"/>
  <c r="D27" i="2"/>
  <c r="D30" i="2" s="1"/>
  <c r="DJ41" i="6" l="1"/>
  <c r="BS34" i="7"/>
  <c r="BS33" i="7" l="1"/>
  <c r="DJ40" i="6"/>
  <c r="DJ43" i="6" s="1"/>
  <c r="AA6" i="2"/>
  <c r="AB30" i="2"/>
  <c r="DT18" i="6"/>
  <c r="DT12" i="6"/>
  <c r="DL7" i="6"/>
  <c r="DT28" i="6"/>
  <c r="DT29" i="6" s="1"/>
  <c r="DJ28" i="6"/>
  <c r="DJ29" i="6" s="1"/>
  <c r="DT23" i="6"/>
  <c r="DJ23" i="6"/>
  <c r="DJ18" i="6"/>
  <c r="DJ12" i="6"/>
  <c r="BU9" i="7"/>
  <c r="BT9" i="7"/>
  <c r="BX9" i="7"/>
  <c r="BS45" i="7"/>
  <c r="BX10" i="7"/>
  <c r="J9" i="7"/>
  <c r="BF10" i="7"/>
  <c r="BF9" i="7"/>
  <c r="BB10" i="7"/>
  <c r="BB9" i="7"/>
  <c r="AX10" i="7"/>
  <c r="AV10" i="7"/>
  <c r="AU10" i="7"/>
  <c r="AX9" i="7"/>
  <c r="AV9" i="7"/>
  <c r="AU9" i="7"/>
  <c r="AS10" i="7"/>
  <c r="AQ10" i="7"/>
  <c r="AP10" i="7"/>
  <c r="AS9" i="7"/>
  <c r="AQ9" i="7"/>
  <c r="AP9" i="7"/>
  <c r="AE10" i="7"/>
  <c r="AD10" i="7"/>
  <c r="AE9" i="7"/>
  <c r="AD9" i="7"/>
  <c r="P10" i="7"/>
  <c r="O10" i="7"/>
  <c r="N10" i="7"/>
  <c r="P9" i="7"/>
  <c r="O9" i="7"/>
  <c r="N9" i="7"/>
  <c r="L10" i="7"/>
  <c r="J10" i="7"/>
  <c r="I10" i="7"/>
  <c r="L9" i="7"/>
  <c r="G10" i="7"/>
  <c r="G9" i="7"/>
  <c r="E10" i="7"/>
  <c r="E9" i="7"/>
  <c r="DM7" i="6" l="1"/>
  <c r="K10" i="7"/>
  <c r="AW10" i="7"/>
  <c r="DT14" i="6"/>
  <c r="AR10" i="7"/>
  <c r="F9" i="7"/>
  <c r="Q9" i="7"/>
  <c r="DJ14" i="6"/>
  <c r="G22" i="8"/>
  <c r="O59" i="7"/>
  <c r="O58" i="7"/>
  <c r="O57" i="7"/>
  <c r="E59" i="7"/>
  <c r="E58" i="7"/>
  <c r="E57" i="7"/>
  <c r="G59" i="7"/>
  <c r="G58" i="7"/>
  <c r="G57" i="7"/>
  <c r="N58" i="7"/>
  <c r="N59" i="7"/>
  <c r="N57" i="7"/>
  <c r="P58" i="7"/>
  <c r="P59" i="7"/>
  <c r="P57" i="7"/>
  <c r="AE59" i="7"/>
  <c r="AE58" i="7"/>
  <c r="AE57" i="7"/>
  <c r="AQ59" i="7"/>
  <c r="AQ58" i="7"/>
  <c r="AQ57" i="7"/>
  <c r="AV58" i="7"/>
  <c r="AV59" i="7"/>
  <c r="AV57" i="7"/>
  <c r="BX58" i="7"/>
  <c r="BX59" i="7"/>
  <c r="BX57" i="7"/>
  <c r="BW9" i="7"/>
  <c r="BU59" i="7"/>
  <c r="BU57" i="7"/>
  <c r="BU58" i="7"/>
  <c r="L58" i="7"/>
  <c r="L59" i="7"/>
  <c r="L57" i="7"/>
  <c r="AD58" i="7"/>
  <c r="AD59" i="7"/>
  <c r="AD57" i="7"/>
  <c r="AR9" i="7"/>
  <c r="AP58" i="7"/>
  <c r="AP59" i="7"/>
  <c r="AP57" i="7"/>
  <c r="AS59" i="7"/>
  <c r="AS58" i="7"/>
  <c r="AS57" i="7"/>
  <c r="AW9" i="7"/>
  <c r="AU59" i="7"/>
  <c r="AU58" i="7"/>
  <c r="AU57" i="7"/>
  <c r="AX58" i="7"/>
  <c r="AX59" i="7"/>
  <c r="AX57" i="7"/>
  <c r="BB58" i="7"/>
  <c r="BB59" i="7"/>
  <c r="BB57" i="7"/>
  <c r="BF58" i="7"/>
  <c r="BF59" i="7"/>
  <c r="BF57" i="7"/>
  <c r="J58" i="7"/>
  <c r="J59" i="7"/>
  <c r="J57" i="7"/>
  <c r="BV9" i="7"/>
  <c r="BT58" i="7"/>
  <c r="BT59" i="7"/>
  <c r="BT57" i="7"/>
  <c r="Q10" i="7"/>
  <c r="F10" i="7"/>
  <c r="DT15" i="6"/>
  <c r="DJ15" i="6"/>
  <c r="DO7" i="6"/>
  <c r="B22" i="8"/>
  <c r="I9" i="7"/>
  <c r="BS36" i="7"/>
  <c r="BS47" i="7"/>
  <c r="BR7" i="6"/>
  <c r="AS7" i="6"/>
  <c r="DI9" i="6"/>
  <c r="DG9" i="6"/>
  <c r="DF9" i="6"/>
  <c r="DE9" i="6"/>
  <c r="DD9" i="6"/>
  <c r="DC9" i="6"/>
  <c r="DB9" i="6"/>
  <c r="CZ9" i="6"/>
  <c r="CY9" i="6"/>
  <c r="CX9" i="6"/>
  <c r="CW9" i="6"/>
  <c r="CV9" i="6"/>
  <c r="CU9" i="6"/>
  <c r="CR9" i="6"/>
  <c r="CQ9" i="6"/>
  <c r="CP9" i="6"/>
  <c r="CO9" i="6"/>
  <c r="BV9" i="6"/>
  <c r="BU9" i="6"/>
  <c r="BT9" i="6"/>
  <c r="BS9" i="6"/>
  <c r="BQ9" i="6"/>
  <c r="BN9" i="6"/>
  <c r="BM9" i="6"/>
  <c r="BD9" i="6"/>
  <c r="BC9" i="6"/>
  <c r="B41" i="1" l="1"/>
  <c r="B57" i="1" s="1"/>
  <c r="B23" i="8"/>
  <c r="DN7" i="6"/>
  <c r="DT30" i="6"/>
  <c r="DT31" i="6" s="1"/>
  <c r="DT57" i="6" s="1"/>
  <c r="BE31" i="6"/>
  <c r="BE35" i="6" s="1"/>
  <c r="BM31" i="6"/>
  <c r="BM59" i="6" s="1"/>
  <c r="DP7" i="6"/>
  <c r="BN31" i="6"/>
  <c r="BN59" i="6" s="1"/>
  <c r="DH9" i="6"/>
  <c r="DJ30" i="6"/>
  <c r="DJ31" i="6" s="1"/>
  <c r="DJ58" i="6" s="1"/>
  <c r="R9" i="7"/>
  <c r="AQ56" i="7"/>
  <c r="AE56" i="7"/>
  <c r="N56" i="7"/>
  <c r="O56" i="7"/>
  <c r="AD56" i="7"/>
  <c r="BX56" i="7"/>
  <c r="BT56" i="7"/>
  <c r="J56" i="7"/>
  <c r="BB56" i="7"/>
  <c r="AU56" i="7"/>
  <c r="AP56" i="7"/>
  <c r="F58" i="7"/>
  <c r="F59" i="7"/>
  <c r="F57" i="7"/>
  <c r="Q59" i="7"/>
  <c r="Q58" i="7"/>
  <c r="Q57" i="7"/>
  <c r="AS56" i="7"/>
  <c r="AR58" i="7"/>
  <c r="AR59" i="7"/>
  <c r="AR57" i="7"/>
  <c r="L56" i="7"/>
  <c r="BU56" i="7"/>
  <c r="BW59" i="7"/>
  <c r="BW57" i="7"/>
  <c r="BW58" i="7"/>
  <c r="AV56" i="7"/>
  <c r="K9" i="7"/>
  <c r="I59" i="7"/>
  <c r="I58" i="7"/>
  <c r="I57" i="7"/>
  <c r="BV58" i="7"/>
  <c r="BV59" i="7"/>
  <c r="BV57" i="7"/>
  <c r="BF56" i="7"/>
  <c r="AX56" i="7"/>
  <c r="AW59" i="7"/>
  <c r="AW58" i="7"/>
  <c r="AW57" i="7"/>
  <c r="P56" i="7"/>
  <c r="R10" i="7"/>
  <c r="E56" i="7"/>
  <c r="G56" i="7"/>
  <c r="D22" i="8"/>
  <c r="I41" i="1"/>
  <c r="CY28" i="6"/>
  <c r="CY29" i="6" s="1"/>
  <c r="CY23" i="6"/>
  <c r="CY18" i="6"/>
  <c r="CY12" i="6"/>
  <c r="CY7" i="6"/>
  <c r="CS6" i="6"/>
  <c r="Y6" i="2"/>
  <c r="DT35" i="6" l="1"/>
  <c r="DT59" i="6"/>
  <c r="BE57" i="6"/>
  <c r="BE59" i="6"/>
  <c r="BM57" i="6"/>
  <c r="BM35" i="6"/>
  <c r="DJ35" i="6"/>
  <c r="BN35" i="6"/>
  <c r="DJ57" i="6"/>
  <c r="BN57" i="6"/>
  <c r="CY14" i="6"/>
  <c r="B20" i="8"/>
  <c r="B40" i="1" s="1"/>
  <c r="B56" i="1" s="1"/>
  <c r="DH31" i="6"/>
  <c r="AW56" i="7"/>
  <c r="I56" i="7"/>
  <c r="BW56" i="7"/>
  <c r="AR56" i="7"/>
  <c r="Q56" i="7"/>
  <c r="R58" i="7"/>
  <c r="R59" i="7"/>
  <c r="R57" i="7"/>
  <c r="BV56" i="7"/>
  <c r="K59" i="7"/>
  <c r="K58" i="7"/>
  <c r="K57" i="7"/>
  <c r="F56" i="7"/>
  <c r="CY15" i="6"/>
  <c r="BP15" i="7"/>
  <c r="BP14" i="7"/>
  <c r="C14" i="7" s="1"/>
  <c r="BP13" i="7"/>
  <c r="C13" i="7" s="1"/>
  <c r="DI7" i="6"/>
  <c r="DG7" i="6"/>
  <c r="DF7" i="6"/>
  <c r="DE7" i="6"/>
  <c r="DD7" i="6"/>
  <c r="DC7" i="6"/>
  <c r="DB7" i="6"/>
  <c r="DA7" i="6"/>
  <c r="CZ7" i="6"/>
  <c r="CX7" i="6"/>
  <c r="CW7" i="6"/>
  <c r="CV7" i="6"/>
  <c r="CU7" i="6"/>
  <c r="CT7" i="6"/>
  <c r="CS7" i="6"/>
  <c r="DG28" i="6"/>
  <c r="DG29" i="6" s="1"/>
  <c r="DG23" i="6"/>
  <c r="DG18" i="6"/>
  <c r="DG12" i="6"/>
  <c r="CW28" i="6"/>
  <c r="CW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DF23" i="6"/>
  <c r="DE23" i="6"/>
  <c r="DD23" i="6"/>
  <c r="DC23" i="6"/>
  <c r="DB23" i="6"/>
  <c r="DA23" i="6"/>
  <c r="DF18" i="6"/>
  <c r="DE18" i="6"/>
  <c r="DD18" i="6"/>
  <c r="DC18" i="6"/>
  <c r="DB18" i="6"/>
  <c r="DA18" i="6"/>
  <c r="DF12" i="6"/>
  <c r="DE12" i="6"/>
  <c r="DD12" i="6"/>
  <c r="DC12" i="6"/>
  <c r="DB12" i="6"/>
  <c r="DA12" i="6"/>
  <c r="CT9" i="6"/>
  <c r="CZ28" i="6"/>
  <c r="CZ29" i="6" s="1"/>
  <c r="CX28" i="6"/>
  <c r="CX29" i="6" s="1"/>
  <c r="CV28" i="6"/>
  <c r="CV29" i="6" s="1"/>
  <c r="CU28" i="6"/>
  <c r="CU29" i="6" s="1"/>
  <c r="CT28" i="6"/>
  <c r="CT29" i="6" s="1"/>
  <c r="CZ23" i="6"/>
  <c r="CX23" i="6"/>
  <c r="CW23" i="6"/>
  <c r="CV23" i="6"/>
  <c r="CU23" i="6"/>
  <c r="CT23" i="6"/>
  <c r="CZ18" i="6"/>
  <c r="CX18" i="6"/>
  <c r="CW18" i="6"/>
  <c r="CV18" i="6"/>
  <c r="CU18" i="6"/>
  <c r="CT18" i="6"/>
  <c r="CZ12" i="6"/>
  <c r="CX12" i="6"/>
  <c r="CW12" i="6"/>
  <c r="CV12" i="6"/>
  <c r="CU12" i="6"/>
  <c r="CT12" i="6"/>
  <c r="DI28" i="6"/>
  <c r="DI29" i="6" s="1"/>
  <c r="CS28" i="6"/>
  <c r="CS29" i="6" s="1"/>
  <c r="DI23" i="6"/>
  <c r="CS23" i="6"/>
  <c r="DI18" i="6"/>
  <c r="CS18" i="6"/>
  <c r="DI12" i="6"/>
  <c r="CS12" i="6"/>
  <c r="CZ14" i="6" l="1"/>
  <c r="BP53" i="7"/>
  <c r="BP58" i="7" s="1"/>
  <c r="DC14" i="6"/>
  <c r="CU14" i="6"/>
  <c r="DF14" i="6"/>
  <c r="DG14" i="6"/>
  <c r="CY30" i="6"/>
  <c r="DD14" i="6"/>
  <c r="DD15" i="6" s="1"/>
  <c r="B21" i="8"/>
  <c r="DH57" i="6"/>
  <c r="DH35" i="6"/>
  <c r="DH59" i="6"/>
  <c r="DI14" i="6"/>
  <c r="DB14" i="6"/>
  <c r="CV14" i="6"/>
  <c r="CW14" i="6"/>
  <c r="CS14" i="6"/>
  <c r="CT14" i="6"/>
  <c r="CX14" i="6"/>
  <c r="DA14" i="6"/>
  <c r="DE14" i="6"/>
  <c r="BP52" i="7"/>
  <c r="BP57" i="7" s="1"/>
  <c r="R56" i="7"/>
  <c r="BP54" i="7"/>
  <c r="K56" i="7"/>
  <c r="BQ15" i="7"/>
  <c r="C15" i="7" s="1"/>
  <c r="CY31" i="6"/>
  <c r="DB15" i="6"/>
  <c r="DF15" i="6"/>
  <c r="CV15" i="6"/>
  <c r="CS15" i="6"/>
  <c r="DI15" i="6" l="1"/>
  <c r="DI30" i="6" s="1"/>
  <c r="DI31" i="6" s="1"/>
  <c r="CX15" i="6"/>
  <c r="CX30" i="6" s="1"/>
  <c r="CX31" i="6" s="1"/>
  <c r="CU15" i="6"/>
  <c r="DE15" i="6"/>
  <c r="DE30" i="6" s="1"/>
  <c r="DE31" i="6" s="1"/>
  <c r="DE35" i="6" s="1"/>
  <c r="CZ15" i="6"/>
  <c r="CZ30" i="6" s="1"/>
  <c r="CZ31" i="6" s="1"/>
  <c r="DC15" i="6"/>
  <c r="DC30" i="6" s="1"/>
  <c r="DC31" i="6" s="1"/>
  <c r="DG15" i="6"/>
  <c r="DG30" i="6" s="1"/>
  <c r="DG31" i="6" s="1"/>
  <c r="DG57" i="6" s="1"/>
  <c r="CW15" i="6"/>
  <c r="DA15" i="6"/>
  <c r="DB30" i="6"/>
  <c r="DB31" i="6" s="1"/>
  <c r="DB57" i="6" s="1"/>
  <c r="CU30" i="6"/>
  <c r="CU31" i="6" s="1"/>
  <c r="CU57" i="6" s="1"/>
  <c r="CT15" i="6"/>
  <c r="DF30" i="6"/>
  <c r="DF31" i="6" s="1"/>
  <c r="DF59" i="6" s="1"/>
  <c r="CV30" i="6"/>
  <c r="CV31" i="6" s="1"/>
  <c r="CV35" i="6" s="1"/>
  <c r="CS30" i="6"/>
  <c r="CS31" i="6" s="1"/>
  <c r="CS58" i="6" s="1"/>
  <c r="DD30" i="6"/>
  <c r="DD31" i="6" s="1"/>
  <c r="DD57" i="6" s="1"/>
  <c r="M9" i="10"/>
  <c r="R9" i="10" s="1"/>
  <c r="BP45" i="7"/>
  <c r="BP47" i="7" s="1"/>
  <c r="BQ54" i="7"/>
  <c r="BP51" i="7"/>
  <c r="BP59" i="7"/>
  <c r="BP56" i="7" s="1"/>
  <c r="CY35" i="6"/>
  <c r="CY59" i="6"/>
  <c r="CY57" i="6"/>
  <c r="BP34" i="7"/>
  <c r="CS41" i="6"/>
  <c r="Z30" i="2"/>
  <c r="BP33" i="7"/>
  <c r="CS40" i="6"/>
  <c r="CU59" i="6" l="1"/>
  <c r="DB59" i="6"/>
  <c r="DB35" i="6"/>
  <c r="DG59" i="6"/>
  <c r="CU35" i="6"/>
  <c r="DD59" i="6"/>
  <c r="DC57" i="6"/>
  <c r="DC59" i="6"/>
  <c r="DC35" i="6"/>
  <c r="CX59" i="6"/>
  <c r="CX57" i="6"/>
  <c r="CX35" i="6"/>
  <c r="CZ57" i="6"/>
  <c r="CZ35" i="6"/>
  <c r="CZ59" i="6"/>
  <c r="DI59" i="6"/>
  <c r="DI57" i="6"/>
  <c r="DI35" i="6"/>
  <c r="DF57" i="6"/>
  <c r="CV57" i="6"/>
  <c r="DF35" i="6"/>
  <c r="CS57" i="6"/>
  <c r="DD35" i="6"/>
  <c r="CW30" i="6"/>
  <c r="CW31" i="6" s="1"/>
  <c r="CS35" i="6"/>
  <c r="DG35" i="6"/>
  <c r="DE57" i="6"/>
  <c r="CV59" i="6"/>
  <c r="DA30" i="6"/>
  <c r="DA31" i="6" s="1"/>
  <c r="DE59" i="6"/>
  <c r="CT30" i="6"/>
  <c r="CT31" i="6" s="1"/>
  <c r="G20" i="8"/>
  <c r="BQ51" i="7"/>
  <c r="BQ59" i="7"/>
  <c r="D20" i="8"/>
  <c r="BP36" i="7"/>
  <c r="CS43" i="6"/>
  <c r="D19" i="7"/>
  <c r="D20" i="7"/>
  <c r="CG20" i="7" l="1"/>
  <c r="CH20" i="7"/>
  <c r="CH19" i="7"/>
  <c r="CH24" i="7" s="1"/>
  <c r="CG19" i="7"/>
  <c r="CG24" i="7" s="1"/>
  <c r="BQ56" i="7"/>
  <c r="CI20" i="7"/>
  <c r="CE20" i="7"/>
  <c r="CF20" i="7"/>
  <c r="CF19" i="7"/>
  <c r="CF24" i="7" s="1"/>
  <c r="CI19" i="7"/>
  <c r="CI24" i="7" s="1"/>
  <c r="CE19" i="7"/>
  <c r="CE24" i="7" s="1"/>
  <c r="DA57" i="6"/>
  <c r="DA35" i="6"/>
  <c r="DA58" i="6"/>
  <c r="CT35" i="6"/>
  <c r="CT59" i="6"/>
  <c r="CT57" i="6"/>
  <c r="CT58" i="6"/>
  <c r="CW59" i="6"/>
  <c r="CW57" i="6"/>
  <c r="CW35" i="6"/>
  <c r="T20" i="7"/>
  <c r="U20" i="7"/>
  <c r="S20" i="7"/>
  <c r="U19" i="7"/>
  <c r="U24" i="7" s="1"/>
  <c r="S19" i="7"/>
  <c r="S24" i="7" s="1"/>
  <c r="T19" i="7"/>
  <c r="T24" i="7" s="1"/>
  <c r="BJ20" i="7"/>
  <c r="BJ19" i="7"/>
  <c r="BJ24" i="7" s="1"/>
  <c r="BW20" i="7"/>
  <c r="BW19" i="7"/>
  <c r="BW24" i="7" s="1"/>
  <c r="BQ20" i="7"/>
  <c r="BR20" i="7"/>
  <c r="BQ19" i="7"/>
  <c r="BQ24" i="7" s="1"/>
  <c r="BR19" i="7"/>
  <c r="BR24" i="7" s="1"/>
  <c r="BN19" i="7"/>
  <c r="BN24" i="7" s="1"/>
  <c r="BO19" i="7"/>
  <c r="BO24" i="7" s="1"/>
  <c r="BN20" i="7"/>
  <c r="BO20" i="7"/>
  <c r="BD20" i="7"/>
  <c r="BI20" i="7"/>
  <c r="BH20" i="7"/>
  <c r="BD19" i="7"/>
  <c r="BD24" i="7" s="1"/>
  <c r="BH19" i="7"/>
  <c r="BH24" i="7" s="1"/>
  <c r="BI19" i="7"/>
  <c r="BI24" i="7" s="1"/>
  <c r="BE19" i="7"/>
  <c r="BE24" i="7" s="1"/>
  <c r="BE20" i="7"/>
  <c r="BA20" i="7"/>
  <c r="AZ20" i="7"/>
  <c r="BA19" i="7"/>
  <c r="BA24" i="7" s="1"/>
  <c r="AZ19" i="7"/>
  <c r="AZ24" i="7" s="1"/>
  <c r="AR20" i="7"/>
  <c r="AW20" i="7"/>
  <c r="AR19" i="7"/>
  <c r="AR24" i="7" s="1"/>
  <c r="AW19" i="7"/>
  <c r="AW24" i="7" s="1"/>
  <c r="AA20" i="7"/>
  <c r="AM20" i="7"/>
  <c r="AA19" i="7"/>
  <c r="AA24" i="7" s="1"/>
  <c r="AM19" i="7"/>
  <c r="AM24" i="7" s="1"/>
  <c r="K20" i="7"/>
  <c r="Q20" i="7"/>
  <c r="K19" i="7"/>
  <c r="K24" i="7" s="1"/>
  <c r="Q19" i="7"/>
  <c r="Q24" i="7" s="1"/>
  <c r="BV20" i="7"/>
  <c r="F20" i="7"/>
  <c r="BV19" i="7"/>
  <c r="BV24" i="7" s="1"/>
  <c r="F19" i="7"/>
  <c r="F24" i="7" s="1"/>
  <c r="BT20" i="7"/>
  <c r="BU20" i="7"/>
  <c r="BT19" i="7"/>
  <c r="BT24" i="7" s="1"/>
  <c r="BU19" i="7"/>
  <c r="BU24" i="7" s="1"/>
  <c r="BP20" i="7"/>
  <c r="BX20" i="7"/>
  <c r="BS20" i="7"/>
  <c r="BP19" i="7"/>
  <c r="BP24" i="7" s="1"/>
  <c r="BX19" i="7"/>
  <c r="BX24" i="7" s="1"/>
  <c r="BS19" i="7"/>
  <c r="BS24" i="7" s="1"/>
  <c r="D21" i="7"/>
  <c r="CH21" i="7" l="1"/>
  <c r="CH25" i="7" s="1"/>
  <c r="CG21" i="7"/>
  <c r="CG25" i="7" s="1"/>
  <c r="D25" i="7"/>
  <c r="CF21" i="7"/>
  <c r="CF25" i="7" s="1"/>
  <c r="CE21" i="7"/>
  <c r="CE25" i="7" s="1"/>
  <c r="CI21" i="7"/>
  <c r="CI25" i="7" s="1"/>
  <c r="U21" i="7"/>
  <c r="U25" i="7" s="1"/>
  <c r="S21" i="7"/>
  <c r="S25" i="7" s="1"/>
  <c r="T21" i="7"/>
  <c r="T25" i="7" s="1"/>
  <c r="BJ21" i="7"/>
  <c r="BJ25" i="7" s="1"/>
  <c r="BW21" i="7"/>
  <c r="BW25" i="7" s="1"/>
  <c r="BQ21" i="7"/>
  <c r="BQ25" i="7" s="1"/>
  <c r="BR21" i="7"/>
  <c r="BR25" i="7" s="1"/>
  <c r="BN21" i="7"/>
  <c r="BN25" i="7" s="1"/>
  <c r="BO21" i="7"/>
  <c r="BO25" i="7" s="1"/>
  <c r="BD21" i="7"/>
  <c r="BD25" i="7" s="1"/>
  <c r="BH21" i="7"/>
  <c r="BH25" i="7" s="1"/>
  <c r="BI21" i="7"/>
  <c r="BI25" i="7" s="1"/>
  <c r="BE21" i="7"/>
  <c r="BE25" i="7" s="1"/>
  <c r="BA21" i="7"/>
  <c r="BA25" i="7" s="1"/>
  <c r="AZ21" i="7"/>
  <c r="AZ25" i="7" s="1"/>
  <c r="AR21" i="7"/>
  <c r="AR25" i="7" s="1"/>
  <c r="AW21" i="7"/>
  <c r="AW25" i="7" s="1"/>
  <c r="AA21" i="7"/>
  <c r="AA25" i="7" s="1"/>
  <c r="AM21" i="7"/>
  <c r="AM25" i="7" s="1"/>
  <c r="K21" i="7"/>
  <c r="K25" i="7" s="1"/>
  <c r="Q21" i="7"/>
  <c r="Q25" i="7" s="1"/>
  <c r="BV21" i="7"/>
  <c r="BV25" i="7" s="1"/>
  <c r="F21" i="7"/>
  <c r="F25" i="7" s="1"/>
  <c r="BT21" i="7"/>
  <c r="BT25" i="7" s="1"/>
  <c r="BU21" i="7"/>
  <c r="BU25" i="7" s="1"/>
  <c r="BP21" i="7"/>
  <c r="BP25" i="7" s="1"/>
  <c r="BX21" i="7"/>
  <c r="BX25" i="7" s="1"/>
  <c r="BS21" i="7"/>
  <c r="BS25" i="7" s="1"/>
  <c r="BU28" i="6"/>
  <c r="BU29" i="6" s="1"/>
  <c r="BU23" i="6"/>
  <c r="BU18" i="6"/>
  <c r="BU12" i="6"/>
  <c r="BQ28" i="6"/>
  <c r="BQ29" i="6" s="1"/>
  <c r="BQ23" i="6"/>
  <c r="BQ18" i="6"/>
  <c r="BQ12" i="6"/>
  <c r="CR28" i="6"/>
  <c r="CR29" i="6" s="1"/>
  <c r="CQ28" i="6"/>
  <c r="CQ29" i="6" s="1"/>
  <c r="CP28" i="6"/>
  <c r="CP29" i="6" s="1"/>
  <c r="CR23" i="6"/>
  <c r="CQ23" i="6"/>
  <c r="CP23" i="6"/>
  <c r="CR18" i="6"/>
  <c r="CQ18" i="6"/>
  <c r="CP18" i="6"/>
  <c r="CR12" i="6"/>
  <c r="CQ12" i="6"/>
  <c r="CP12" i="6"/>
  <c r="CO28" i="6"/>
  <c r="CO29" i="6" s="1"/>
  <c r="CO23" i="6"/>
  <c r="CO18" i="6"/>
  <c r="CO12" i="6"/>
  <c r="CN7" i="6"/>
  <c r="CN6" i="6"/>
  <c r="CN28" i="6"/>
  <c r="CN29" i="6" s="1"/>
  <c r="CN23" i="6"/>
  <c r="CN18" i="6"/>
  <c r="CN12" i="6"/>
  <c r="CC7" i="6"/>
  <c r="CC6" i="6"/>
  <c r="CM28" i="6"/>
  <c r="CM29" i="6" s="1"/>
  <c r="CM23" i="6"/>
  <c r="CM18" i="6"/>
  <c r="CM12" i="6"/>
  <c r="CC28" i="6"/>
  <c r="CC29" i="6" s="1"/>
  <c r="CC23" i="6"/>
  <c r="CC18" i="6"/>
  <c r="CC12" i="6"/>
  <c r="CA7" i="6"/>
  <c r="D23" i="2"/>
  <c r="R23" i="2" s="1"/>
  <c r="BP28" i="6"/>
  <c r="BP29" i="6" s="1"/>
  <c r="BP23" i="6"/>
  <c r="BP18" i="6"/>
  <c r="BP12" i="6"/>
  <c r="BP7" i="6"/>
  <c r="AY6" i="6"/>
  <c r="AY7" i="6"/>
  <c r="AY12" i="6"/>
  <c r="BC12" i="6"/>
  <c r="BD12" i="6"/>
  <c r="BF12" i="6"/>
  <c r="AY18" i="6"/>
  <c r="BC18" i="6"/>
  <c r="BD18" i="6"/>
  <c r="BF18" i="6"/>
  <c r="AY23" i="6"/>
  <c r="BC23" i="6"/>
  <c r="BD23" i="6"/>
  <c r="BF23" i="6"/>
  <c r="AY28" i="6"/>
  <c r="AY29" i="6" s="1"/>
  <c r="BC28" i="6"/>
  <c r="BC29" i="6" s="1"/>
  <c r="BD28" i="6"/>
  <c r="BD29" i="6" s="1"/>
  <c r="BF28" i="6"/>
  <c r="BF29" i="6" s="1"/>
  <c r="AR7" i="6"/>
  <c r="AP7" i="6"/>
  <c r="AM7" i="6"/>
  <c r="AN23" i="6"/>
  <c r="AM23" i="6"/>
  <c r="AH23" i="6"/>
  <c r="AG23" i="6"/>
  <c r="AF23" i="6"/>
  <c r="AE23" i="6"/>
  <c r="AD23" i="6"/>
  <c r="AG18" i="6"/>
  <c r="AG12" i="6"/>
  <c r="AG7" i="6"/>
  <c r="AF7" i="6"/>
  <c r="AD7" i="6"/>
  <c r="AC7" i="6"/>
  <c r="AB7" i="6"/>
  <c r="AA7" i="6"/>
  <c r="Y7" i="6"/>
  <c r="V7" i="6"/>
  <c r="E7" i="6"/>
  <c r="D7" i="6"/>
  <c r="CP14" i="6" l="1"/>
  <c r="CP15" i="6" s="1"/>
  <c r="BU14" i="6"/>
  <c r="BC14" i="6"/>
  <c r="BQ7" i="6"/>
  <c r="CQ14" i="6"/>
  <c r="CC14" i="6"/>
  <c r="AG14" i="6"/>
  <c r="AY14" i="6"/>
  <c r="BP14" i="6"/>
  <c r="CN14" i="6"/>
  <c r="CN15" i="6" s="1"/>
  <c r="CR14" i="6"/>
  <c r="BD14" i="6"/>
  <c r="CM14" i="6"/>
  <c r="CM15" i="6" s="1"/>
  <c r="CO14" i="6"/>
  <c r="CO15" i="6" s="1"/>
  <c r="BQ14" i="6"/>
  <c r="Z7" i="6"/>
  <c r="BF14" i="6"/>
  <c r="AY15" i="6"/>
  <c r="AB23" i="2"/>
  <c r="X23" i="2"/>
  <c r="T23" i="2"/>
  <c r="P23" i="2"/>
  <c r="L23" i="2"/>
  <c r="Z23" i="2"/>
  <c r="V23" i="2"/>
  <c r="N23" i="2"/>
  <c r="J23" i="2"/>
  <c r="H23" i="2"/>
  <c r="F23" i="2"/>
  <c r="BU15" i="6"/>
  <c r="BP15" i="6"/>
  <c r="CC15" i="6"/>
  <c r="AG15" i="6" l="1"/>
  <c r="CR15" i="6"/>
  <c r="CR30" i="6" s="1"/>
  <c r="CR31" i="6" s="1"/>
  <c r="BF15" i="6"/>
  <c r="CQ15" i="6"/>
  <c r="BC15" i="6"/>
  <c r="BC30" i="6"/>
  <c r="BC31" i="6" s="1"/>
  <c r="BC59" i="6" s="1"/>
  <c r="BD15" i="6"/>
  <c r="CP30" i="6"/>
  <c r="CP31" i="6" s="1"/>
  <c r="CP58" i="6" s="1"/>
  <c r="BU30" i="6"/>
  <c r="BU31" i="6" s="1"/>
  <c r="BU57" i="6" s="1"/>
  <c r="AY30" i="6"/>
  <c r="AY31" i="6" s="1"/>
  <c r="AY35" i="6" s="1"/>
  <c r="CC30" i="6"/>
  <c r="CC31" i="6" s="1"/>
  <c r="CC35" i="6" s="1"/>
  <c r="CQ30" i="6"/>
  <c r="CQ31" i="6" s="1"/>
  <c r="CQ58" i="6" s="1"/>
  <c r="CO30" i="6"/>
  <c r="CO31" i="6" s="1"/>
  <c r="CO58" i="6" s="1"/>
  <c r="BQ15" i="6"/>
  <c r="BP30" i="6"/>
  <c r="BP31" i="6" s="1"/>
  <c r="BP58" i="6" s="1"/>
  <c r="CM30" i="6"/>
  <c r="CM31" i="6" s="1"/>
  <c r="CM35" i="6" s="1"/>
  <c r="CN30" i="6"/>
  <c r="CN31" i="6" s="1"/>
  <c r="BF30" i="6"/>
  <c r="BF31" i="6" s="1"/>
  <c r="BF35" i="6" s="1"/>
  <c r="CC57" i="6"/>
  <c r="CQ57" i="6"/>
  <c r="AY41" i="6"/>
  <c r="AY40" i="6"/>
  <c r="AY59" i="6" l="1"/>
  <c r="BU59" i="6"/>
  <c r="BC35" i="6"/>
  <c r="BU35" i="6"/>
  <c r="CO57" i="6"/>
  <c r="AY57" i="6"/>
  <c r="BF57" i="6"/>
  <c r="BF59" i="6"/>
  <c r="CO35" i="6"/>
  <c r="CM57" i="6"/>
  <c r="CQ35" i="6"/>
  <c r="CM59" i="6"/>
  <c r="BP59" i="6"/>
  <c r="CR57" i="6"/>
  <c r="CR35" i="6"/>
  <c r="CR59" i="6"/>
  <c r="CC59" i="6"/>
  <c r="BC57" i="6"/>
  <c r="CP57" i="6"/>
  <c r="CP35" i="6"/>
  <c r="BQ30" i="6"/>
  <c r="BQ31" i="6" s="1"/>
  <c r="BP57" i="6"/>
  <c r="BD30" i="6"/>
  <c r="BD31" i="6" s="1"/>
  <c r="BP35" i="6"/>
  <c r="CN35" i="6"/>
  <c r="CN59" i="6"/>
  <c r="CN58" i="6"/>
  <c r="CN57" i="6"/>
  <c r="BG34" i="7"/>
  <c r="CC41" i="6"/>
  <c r="BM33" i="7"/>
  <c r="CN40" i="6"/>
  <c r="BG33" i="7"/>
  <c r="CC40" i="6"/>
  <c r="BM34" i="7"/>
  <c r="CN41" i="6"/>
  <c r="AY43" i="6"/>
  <c r="D22" i="2"/>
  <c r="R22" i="2" s="1"/>
  <c r="W6" i="2"/>
  <c r="X30" i="2"/>
  <c r="U6" i="2"/>
  <c r="D45" i="7"/>
  <c r="H4" i="10"/>
  <c r="AL15" i="7"/>
  <c r="AL14" i="7"/>
  <c r="AL13" i="7"/>
  <c r="AL12" i="7"/>
  <c r="AL11" i="7"/>
  <c r="Z13" i="7"/>
  <c r="AB13" i="7"/>
  <c r="Z14" i="7"/>
  <c r="AB14" i="7"/>
  <c r="Z15" i="7"/>
  <c r="AB15" i="7"/>
  <c r="AB12" i="7"/>
  <c r="AB11" i="7"/>
  <c r="AB52" i="7" l="1"/>
  <c r="Z52" i="7"/>
  <c r="AL53" i="7"/>
  <c r="B17" i="8"/>
  <c r="B38" i="1" s="1"/>
  <c r="B54" i="1" s="1"/>
  <c r="BD59" i="6"/>
  <c r="BD57" i="6"/>
  <c r="BD35" i="6"/>
  <c r="BQ59" i="6"/>
  <c r="BQ35" i="6"/>
  <c r="BQ58" i="6"/>
  <c r="BQ57" i="6"/>
  <c r="AL54" i="7"/>
  <c r="AB54" i="7"/>
  <c r="AL52" i="7"/>
  <c r="AB53" i="7"/>
  <c r="Z53" i="7"/>
  <c r="B19" i="8"/>
  <c r="B39" i="1" s="1"/>
  <c r="B55" i="1" s="1"/>
  <c r="G19" i="8"/>
  <c r="Z54" i="7"/>
  <c r="Z22" i="2"/>
  <c r="V22" i="2"/>
  <c r="N22" i="2"/>
  <c r="J22" i="2"/>
  <c r="AB22" i="2"/>
  <c r="X22" i="2"/>
  <c r="T22" i="2"/>
  <c r="P22" i="2"/>
  <c r="L22" i="2"/>
  <c r="F22" i="2"/>
  <c r="H22" i="2"/>
  <c r="BM36" i="7"/>
  <c r="BG36" i="7"/>
  <c r="CN43" i="6"/>
  <c r="CC43" i="6"/>
  <c r="BG47" i="7"/>
  <c r="BM47" i="7"/>
  <c r="B18" i="8" l="1"/>
  <c r="AL51" i="7"/>
  <c r="AB51" i="7"/>
  <c r="Z51" i="7"/>
  <c r="D19" i="8"/>
  <c r="E6" i="2"/>
  <c r="AY19" i="7"/>
  <c r="AY24" i="7" s="1"/>
  <c r="AY33" i="7"/>
  <c r="AY34" i="7"/>
  <c r="BR40" i="6"/>
  <c r="BR41" i="6"/>
  <c r="AT33" i="7"/>
  <c r="AT34" i="7"/>
  <c r="AO33" i="7"/>
  <c r="AO34" i="7"/>
  <c r="AS40" i="6"/>
  <c r="AS41" i="6"/>
  <c r="AI33" i="7"/>
  <c r="AI34" i="7"/>
  <c r="AR40" i="6"/>
  <c r="AR41" i="6"/>
  <c r="Y33" i="7"/>
  <c r="Y34" i="7"/>
  <c r="AB40" i="6"/>
  <c r="AB41" i="6"/>
  <c r="D33" i="7"/>
  <c r="D34" i="7"/>
  <c r="D40" i="6"/>
  <c r="D41" i="6"/>
  <c r="BC33" i="7"/>
  <c r="BC34" i="7"/>
  <c r="CA40" i="6"/>
  <c r="CA41" i="6"/>
  <c r="AQ7" i="6"/>
  <c r="AN7" i="6"/>
  <c r="AH7" i="6"/>
  <c r="AE7" i="6"/>
  <c r="W7" i="6"/>
  <c r="G7" i="6"/>
  <c r="AI7" i="7"/>
  <c r="AF7" i="7"/>
  <c r="Y7" i="7"/>
  <c r="D12" i="6"/>
  <c r="D18" i="6"/>
  <c r="E12" i="6"/>
  <c r="E18" i="6"/>
  <c r="E23" i="6"/>
  <c r="F12" i="6"/>
  <c r="F18" i="6"/>
  <c r="F23" i="6"/>
  <c r="G12" i="6"/>
  <c r="G18" i="6"/>
  <c r="G23" i="6"/>
  <c r="J12" i="6"/>
  <c r="J18" i="6"/>
  <c r="J23" i="6"/>
  <c r="K12" i="6"/>
  <c r="K18" i="6"/>
  <c r="K23" i="6"/>
  <c r="L12" i="6"/>
  <c r="L18" i="6"/>
  <c r="L23" i="6"/>
  <c r="V12" i="6"/>
  <c r="V18" i="6"/>
  <c r="V23" i="6"/>
  <c r="W12" i="6"/>
  <c r="W18" i="6"/>
  <c r="W23" i="6"/>
  <c r="X12" i="6"/>
  <c r="X18" i="6"/>
  <c r="X23" i="6"/>
  <c r="Y12" i="6"/>
  <c r="Y18" i="6"/>
  <c r="Y23" i="6"/>
  <c r="Z12" i="6"/>
  <c r="Z18" i="6"/>
  <c r="Z23" i="6"/>
  <c r="AA12" i="6"/>
  <c r="AA18" i="6"/>
  <c r="AA23" i="6"/>
  <c r="F30" i="2"/>
  <c r="D9" i="2"/>
  <c r="R9" i="2" s="1"/>
  <c r="D10" i="2"/>
  <c r="R10" i="2" s="1"/>
  <c r="D12" i="2"/>
  <c r="R12" i="2" s="1"/>
  <c r="D13" i="2"/>
  <c r="R13" i="2" s="1"/>
  <c r="D14" i="2"/>
  <c r="R14" i="2" s="1"/>
  <c r="D15" i="2"/>
  <c r="R15" i="2" s="1"/>
  <c r="D16" i="2"/>
  <c r="R16" i="2" s="1"/>
  <c r="D17" i="2"/>
  <c r="R17" i="2" s="1"/>
  <c r="D18" i="2"/>
  <c r="R18" i="2" s="1"/>
  <c r="D19" i="2"/>
  <c r="R19" i="2" s="1"/>
  <c r="D20" i="2"/>
  <c r="R20" i="2" s="1"/>
  <c r="D21" i="2"/>
  <c r="R21" i="2" s="1"/>
  <c r="AB12" i="6"/>
  <c r="AB18" i="6"/>
  <c r="AB23" i="6"/>
  <c r="AC12" i="6"/>
  <c r="AC18" i="6"/>
  <c r="AC23" i="6"/>
  <c r="AD12" i="6"/>
  <c r="AD18" i="6"/>
  <c r="AE12" i="6"/>
  <c r="AE18" i="6"/>
  <c r="AF12" i="6"/>
  <c r="AF18" i="6"/>
  <c r="AH12" i="6"/>
  <c r="AH18" i="6"/>
  <c r="AM12" i="6"/>
  <c r="AM18" i="6"/>
  <c r="AN12" i="6"/>
  <c r="AN18" i="6"/>
  <c r="AO12" i="6"/>
  <c r="AO18" i="6"/>
  <c r="AO23" i="6"/>
  <c r="AP12" i="6"/>
  <c r="AP18" i="6"/>
  <c r="AP23" i="6"/>
  <c r="AQ12" i="6"/>
  <c r="AQ18" i="6"/>
  <c r="AQ23" i="6"/>
  <c r="AR12" i="6"/>
  <c r="AR18" i="6"/>
  <c r="AR23" i="6"/>
  <c r="J30" i="2"/>
  <c r="AS12" i="6"/>
  <c r="AS18" i="6"/>
  <c r="AS23" i="6"/>
  <c r="L30" i="2"/>
  <c r="BH12" i="6"/>
  <c r="BH18" i="6"/>
  <c r="BH28" i="6"/>
  <c r="BH29" i="6" s="1"/>
  <c r="BH23" i="6"/>
  <c r="BI12" i="6"/>
  <c r="BI18" i="6"/>
  <c r="BI28" i="6"/>
  <c r="BI29" i="6" s="1"/>
  <c r="BI23" i="6"/>
  <c r="BJ12" i="6"/>
  <c r="BJ18" i="6"/>
  <c r="BJ28" i="6"/>
  <c r="BJ29" i="6" s="1"/>
  <c r="BJ23" i="6"/>
  <c r="BK12" i="6"/>
  <c r="BK18" i="6"/>
  <c r="BK28" i="6"/>
  <c r="BK29" i="6" s="1"/>
  <c r="BK23" i="6"/>
  <c r="BL12" i="6"/>
  <c r="BL18" i="6"/>
  <c r="BL28" i="6"/>
  <c r="BL29" i="6" s="1"/>
  <c r="BL23" i="6"/>
  <c r="BO12" i="6"/>
  <c r="BO18" i="6"/>
  <c r="BO28" i="6"/>
  <c r="BO29" i="6" s="1"/>
  <c r="BO23" i="6"/>
  <c r="N30" i="2"/>
  <c r="BR12" i="6"/>
  <c r="BR18" i="6"/>
  <c r="BR23" i="6"/>
  <c r="BS12" i="6"/>
  <c r="BS18" i="6"/>
  <c r="BS28" i="6"/>
  <c r="BS29" i="6" s="1"/>
  <c r="BS23" i="6"/>
  <c r="BT12" i="6"/>
  <c r="BT18" i="6"/>
  <c r="BT28" i="6"/>
  <c r="BT29" i="6" s="1"/>
  <c r="BT23" i="6"/>
  <c r="BV12" i="6"/>
  <c r="BV18" i="6"/>
  <c r="BV28" i="6"/>
  <c r="BV29" i="6" s="1"/>
  <c r="BV23" i="6"/>
  <c r="P30" i="2"/>
  <c r="CA12" i="6"/>
  <c r="CA18" i="6"/>
  <c r="CA28" i="6"/>
  <c r="CA29" i="6" s="1"/>
  <c r="CA23" i="6"/>
  <c r="T30" i="2"/>
  <c r="A8" i="7"/>
  <c r="A9" i="7" s="1"/>
  <c r="A10" i="7" s="1"/>
  <c r="A11" i="7" s="1"/>
  <c r="A12" i="7" s="1"/>
  <c r="A13" i="7" s="1"/>
  <c r="A14" i="7" s="1"/>
  <c r="A15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10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2"/>
  <c r="A15" i="12"/>
  <c r="A17" i="12"/>
  <c r="A19" i="12"/>
  <c r="A21" i="12"/>
  <c r="A23" i="12"/>
  <c r="A25" i="12"/>
  <c r="A28" i="12"/>
  <c r="A30" i="12"/>
  <c r="A32" i="12"/>
  <c r="A34" i="12"/>
  <c r="A36" i="12"/>
  <c r="A38" i="12"/>
  <c r="A40" i="12"/>
  <c r="A11" i="12"/>
  <c r="E20" i="7"/>
  <c r="G20" i="7"/>
  <c r="H20" i="7"/>
  <c r="I20" i="7"/>
  <c r="L20" i="7"/>
  <c r="M20" i="7"/>
  <c r="N20" i="7"/>
  <c r="O20" i="7"/>
  <c r="R20" i="7"/>
  <c r="V20" i="7"/>
  <c r="AC20" i="7"/>
  <c r="AD20" i="7"/>
  <c r="AE20" i="7"/>
  <c r="Y20" i="7"/>
  <c r="Z20" i="7"/>
  <c r="AF20" i="7"/>
  <c r="H45" i="7"/>
  <c r="AC45" i="7"/>
  <c r="B36" i="1"/>
  <c r="B52" i="1" s="1"/>
  <c r="S6" i="2"/>
  <c r="O6" i="2"/>
  <c r="M6" i="2"/>
  <c r="K6" i="2"/>
  <c r="I6" i="2"/>
  <c r="G6" i="2"/>
  <c r="CA6" i="6"/>
  <c r="BR6" i="6"/>
  <c r="AS6" i="6"/>
  <c r="AR6" i="6"/>
  <c r="AB6" i="6"/>
  <c r="D6" i="6"/>
  <c r="AI20" i="7"/>
  <c r="AJ20" i="7"/>
  <c r="AK20" i="7"/>
  <c r="AN20" i="7"/>
  <c r="AO20" i="7"/>
  <c r="AP20" i="7"/>
  <c r="AS20" i="7"/>
  <c r="AT20" i="7"/>
  <c r="AU20" i="7"/>
  <c r="AX20" i="7"/>
  <c r="AY20" i="7"/>
  <c r="BB20" i="7"/>
  <c r="BC20" i="7"/>
  <c r="BF20" i="7"/>
  <c r="BC45" i="7"/>
  <c r="BC47" i="7" s="1"/>
  <c r="AO45" i="7"/>
  <c r="AT45" i="7"/>
  <c r="AY45" i="7"/>
  <c r="AJ13" i="7"/>
  <c r="AK13" i="7"/>
  <c r="AN13" i="7"/>
  <c r="AJ14" i="7"/>
  <c r="AK14" i="7"/>
  <c r="AN14" i="7"/>
  <c r="AK15" i="7"/>
  <c r="AN12" i="7"/>
  <c r="AN11" i="7"/>
  <c r="AK12" i="7"/>
  <c r="AI12" i="7"/>
  <c r="AK11" i="7"/>
  <c r="AJ11" i="7"/>
  <c r="AI11" i="7"/>
  <c r="Y12" i="7"/>
  <c r="Z11" i="7"/>
  <c r="Y11" i="7"/>
  <c r="AI15" i="7"/>
  <c r="AI14" i="7"/>
  <c r="AI13" i="7"/>
  <c r="AF15" i="7"/>
  <c r="AF14" i="7"/>
  <c r="AF13" i="7"/>
  <c r="Y15" i="7"/>
  <c r="Y14" i="7"/>
  <c r="Y13" i="7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3" i="24"/>
  <c r="A24" i="24"/>
  <c r="A25" i="24"/>
  <c r="A26" i="24"/>
  <c r="A27" i="24"/>
  <c r="A28" i="24"/>
  <c r="A29" i="24"/>
  <c r="A30" i="24"/>
  <c r="A31" i="24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33" i="7"/>
  <c r="B34" i="7"/>
  <c r="BS7" i="6"/>
  <c r="B40" i="6"/>
  <c r="B41" i="6"/>
  <c r="Z12" i="7"/>
  <c r="AN15" i="7"/>
  <c r="AJ12" i="7"/>
  <c r="J14" i="8"/>
  <c r="K14" i="8" s="1"/>
  <c r="J13" i="8"/>
  <c r="K13" i="8" s="1"/>
  <c r="J12" i="8"/>
  <c r="K12" i="8" s="1"/>
  <c r="J9" i="8"/>
  <c r="K9" i="8" s="1"/>
  <c r="J8" i="8"/>
  <c r="K8" i="8" s="1"/>
  <c r="AJ15" i="7"/>
  <c r="M45" i="7"/>
  <c r="M47" i="7" s="1"/>
  <c r="V45" i="7"/>
  <c r="V47" i="7" s="1"/>
  <c r="H47" i="7" l="1"/>
  <c r="R25" i="2"/>
  <c r="AF53" i="7"/>
  <c r="AN53" i="7"/>
  <c r="AK52" i="7"/>
  <c r="B12" i="8"/>
  <c r="B33" i="1" s="1"/>
  <c r="B49" i="1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Y53" i="7"/>
  <c r="Y58" i="7" s="1"/>
  <c r="AF54" i="7"/>
  <c r="AF59" i="7" s="1"/>
  <c r="AK53" i="7"/>
  <c r="AJ52" i="7"/>
  <c r="B13" i="8"/>
  <c r="B34" i="1" s="1"/>
  <c r="B50" i="1" s="1"/>
  <c r="CA14" i="6"/>
  <c r="BR14" i="6"/>
  <c r="AQ14" i="6"/>
  <c r="AN14" i="6"/>
  <c r="AH14" i="6"/>
  <c r="AE14" i="6"/>
  <c r="AB14" i="6"/>
  <c r="AA14" i="6"/>
  <c r="W14" i="6"/>
  <c r="J14" i="6"/>
  <c r="X7" i="6"/>
  <c r="AN54" i="7"/>
  <c r="AI54" i="7"/>
  <c r="AI59" i="7" s="1"/>
  <c r="Z14" i="6"/>
  <c r="V14" i="6"/>
  <c r="D14" i="6"/>
  <c r="AO7" i="6"/>
  <c r="B8" i="8"/>
  <c r="Y54" i="7"/>
  <c r="Y59" i="7" s="1"/>
  <c r="AI52" i="7"/>
  <c r="AI57" i="7" s="1"/>
  <c r="AJ53" i="7"/>
  <c r="B9" i="8"/>
  <c r="B14" i="8"/>
  <c r="B35" i="1" s="1"/>
  <c r="B51" i="1" s="1"/>
  <c r="BV14" i="6"/>
  <c r="BT14" i="6"/>
  <c r="BS14" i="6"/>
  <c r="BO14" i="6"/>
  <c r="BL14" i="6"/>
  <c r="BK14" i="6"/>
  <c r="BJ14" i="6"/>
  <c r="BI14" i="6"/>
  <c r="BH14" i="6"/>
  <c r="AS14" i="6"/>
  <c r="AS15" i="6" s="1"/>
  <c r="AR14" i="6"/>
  <c r="AC14" i="6"/>
  <c r="X14" i="6"/>
  <c r="K14" i="6"/>
  <c r="E14" i="6"/>
  <c r="BT7" i="6"/>
  <c r="BU7" i="6" s="1"/>
  <c r="Y52" i="7"/>
  <c r="Y57" i="7" s="1"/>
  <c r="AP14" i="6"/>
  <c r="G14" i="6"/>
  <c r="G15" i="6" s="1"/>
  <c r="A22" i="5"/>
  <c r="A23" i="5" s="1"/>
  <c r="A24" i="5" s="1"/>
  <c r="A25" i="5" s="1"/>
  <c r="A26" i="5" s="1"/>
  <c r="A27" i="5" s="1"/>
  <c r="A28" i="5" s="1"/>
  <c r="AI53" i="7"/>
  <c r="AI58" i="7" s="1"/>
  <c r="AK54" i="7"/>
  <c r="AN52" i="7"/>
  <c r="B11" i="8"/>
  <c r="B32" i="1" s="1"/>
  <c r="B48" i="1" s="1"/>
  <c r="B16" i="8"/>
  <c r="B37" i="1" s="1"/>
  <c r="B53" i="1" s="1"/>
  <c r="AO14" i="6"/>
  <c r="AO15" i="6" s="1"/>
  <c r="AM14" i="6"/>
  <c r="AF14" i="6"/>
  <c r="AD14" i="6"/>
  <c r="AD15" i="6" s="1"/>
  <c r="Y14" i="6"/>
  <c r="L14" i="6"/>
  <c r="F14" i="6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G16" i="8"/>
  <c r="G12" i="8"/>
  <c r="G11" i="8"/>
  <c r="G14" i="8"/>
  <c r="G13" i="8"/>
  <c r="G8" i="8"/>
  <c r="AF52" i="7"/>
  <c r="C52" i="7" s="1"/>
  <c r="AJ54" i="7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O15" i="6"/>
  <c r="BR15" i="6"/>
  <c r="AA15" i="6"/>
  <c r="V15" i="6"/>
  <c r="J15" i="6"/>
  <c r="E15" i="6"/>
  <c r="G9" i="8"/>
  <c r="AI45" i="7"/>
  <c r="AI47" i="7" s="1"/>
  <c r="AF45" i="7"/>
  <c r="AF47" i="7" s="1"/>
  <c r="Z20" i="2"/>
  <c r="V20" i="2"/>
  <c r="N20" i="2"/>
  <c r="J20" i="2"/>
  <c r="AB20" i="2"/>
  <c r="X20" i="2"/>
  <c r="T20" i="2"/>
  <c r="P20" i="2"/>
  <c r="L20" i="2"/>
  <c r="F20" i="2"/>
  <c r="H20" i="2"/>
  <c r="Z18" i="2"/>
  <c r="V18" i="2"/>
  <c r="N18" i="2"/>
  <c r="AB18" i="2"/>
  <c r="X18" i="2"/>
  <c r="T18" i="2"/>
  <c r="P18" i="2"/>
  <c r="L18" i="2"/>
  <c r="J18" i="2"/>
  <c r="F18" i="2"/>
  <c r="H18" i="2"/>
  <c r="Z16" i="2"/>
  <c r="V16" i="2"/>
  <c r="N16" i="2"/>
  <c r="AB16" i="2"/>
  <c r="X16" i="2"/>
  <c r="T16" i="2"/>
  <c r="P16" i="2"/>
  <c r="L16" i="2"/>
  <c r="J16" i="2"/>
  <c r="F16" i="2"/>
  <c r="H16" i="2"/>
  <c r="Z14" i="2"/>
  <c r="V14" i="2"/>
  <c r="N14" i="2"/>
  <c r="AB14" i="2"/>
  <c r="X14" i="2"/>
  <c r="T14" i="2"/>
  <c r="P14" i="2"/>
  <c r="L14" i="2"/>
  <c r="J14" i="2"/>
  <c r="F14" i="2"/>
  <c r="H14" i="2"/>
  <c r="Z12" i="2"/>
  <c r="V12" i="2"/>
  <c r="N12" i="2"/>
  <c r="AB12" i="2"/>
  <c r="X12" i="2"/>
  <c r="T12" i="2"/>
  <c r="P12" i="2"/>
  <c r="L12" i="2"/>
  <c r="J12" i="2"/>
  <c r="F12" i="2"/>
  <c r="H12" i="2"/>
  <c r="Z9" i="2"/>
  <c r="V9" i="2"/>
  <c r="N9" i="2"/>
  <c r="AB9" i="2"/>
  <c r="X9" i="2"/>
  <c r="T9" i="2"/>
  <c r="P9" i="2"/>
  <c r="L9" i="2"/>
  <c r="J9" i="2"/>
  <c r="F9" i="2"/>
  <c r="H9" i="2"/>
  <c r="AB21" i="2"/>
  <c r="X21" i="2"/>
  <c r="T21" i="2"/>
  <c r="P21" i="2"/>
  <c r="L21" i="2"/>
  <c r="Z21" i="2"/>
  <c r="V21" i="2"/>
  <c r="N21" i="2"/>
  <c r="J21" i="2"/>
  <c r="H21" i="2"/>
  <c r="F21" i="2"/>
  <c r="AB19" i="2"/>
  <c r="X19" i="2"/>
  <c r="T19" i="2"/>
  <c r="P19" i="2"/>
  <c r="L19" i="2"/>
  <c r="V19" i="2"/>
  <c r="N19" i="2"/>
  <c r="J19" i="2"/>
  <c r="H19" i="2"/>
  <c r="F19" i="2"/>
  <c r="Z19" i="2"/>
  <c r="AB17" i="2"/>
  <c r="X17" i="2"/>
  <c r="T17" i="2"/>
  <c r="P17" i="2"/>
  <c r="L17" i="2"/>
  <c r="Z17" i="2"/>
  <c r="V17" i="2"/>
  <c r="N17" i="2"/>
  <c r="H17" i="2"/>
  <c r="J17" i="2"/>
  <c r="F17" i="2"/>
  <c r="AB15" i="2"/>
  <c r="X15" i="2"/>
  <c r="T15" i="2"/>
  <c r="P15" i="2"/>
  <c r="L15" i="2"/>
  <c r="Z15" i="2"/>
  <c r="V15" i="2"/>
  <c r="N15" i="2"/>
  <c r="H15" i="2"/>
  <c r="J15" i="2"/>
  <c r="F15" i="2"/>
  <c r="AB13" i="2"/>
  <c r="X13" i="2"/>
  <c r="T13" i="2"/>
  <c r="P13" i="2"/>
  <c r="L13" i="2"/>
  <c r="Z13" i="2"/>
  <c r="V13" i="2"/>
  <c r="N13" i="2"/>
  <c r="H13" i="2"/>
  <c r="J13" i="2"/>
  <c r="F13" i="2"/>
  <c r="AB10" i="2"/>
  <c r="X10" i="2"/>
  <c r="T10" i="2"/>
  <c r="P10" i="2"/>
  <c r="L10" i="2"/>
  <c r="Z10" i="2"/>
  <c r="V10" i="2"/>
  <c r="N10" i="2"/>
  <c r="H10" i="2"/>
  <c r="J10" i="2"/>
  <c r="F10" i="2"/>
  <c r="D8" i="8"/>
  <c r="D16" i="8"/>
  <c r="AN10" i="7"/>
  <c r="AK10" i="7"/>
  <c r="AL10" i="7"/>
  <c r="AJ10" i="7"/>
  <c r="AN9" i="7"/>
  <c r="AK9" i="7"/>
  <c r="AL9" i="7"/>
  <c r="AJ9" i="7"/>
  <c r="Z10" i="7"/>
  <c r="AB10" i="7"/>
  <c r="Z9" i="7"/>
  <c r="AB9" i="7"/>
  <c r="BR28" i="6"/>
  <c r="BR29" i="6" s="1"/>
  <c r="AN19" i="7"/>
  <c r="AN24" i="7" s="1"/>
  <c r="AK19" i="7"/>
  <c r="AK24" i="7" s="1"/>
  <c r="AJ19" i="7"/>
  <c r="AJ24" i="7" s="1"/>
  <c r="AI19" i="7"/>
  <c r="AI24" i="7" s="1"/>
  <c r="AS19" i="7"/>
  <c r="AS24" i="7" s="1"/>
  <c r="AP19" i="7"/>
  <c r="AP24" i="7" s="1"/>
  <c r="AO19" i="7"/>
  <c r="AO24" i="7" s="1"/>
  <c r="AX19" i="7"/>
  <c r="AX24" i="7" s="1"/>
  <c r="AU19" i="7"/>
  <c r="AU24" i="7" s="1"/>
  <c r="AT19" i="7"/>
  <c r="AT24" i="7" s="1"/>
  <c r="J11" i="8"/>
  <c r="K11" i="8" s="1"/>
  <c r="BG20" i="7"/>
  <c r="BM20" i="7"/>
  <c r="BF19" i="7"/>
  <c r="BF24" i="7" s="1"/>
  <c r="BC19" i="7"/>
  <c r="BC24" i="7" s="1"/>
  <c r="V19" i="7"/>
  <c r="V24" i="7" s="1"/>
  <c r="R19" i="7"/>
  <c r="R24" i="7" s="1"/>
  <c r="O19" i="7"/>
  <c r="O24" i="7" s="1"/>
  <c r="N19" i="7"/>
  <c r="N24" i="7" s="1"/>
  <c r="M19" i="7"/>
  <c r="M24" i="7" s="1"/>
  <c r="L19" i="7"/>
  <c r="L24" i="7" s="1"/>
  <c r="I19" i="7"/>
  <c r="I24" i="7" s="1"/>
  <c r="H19" i="7"/>
  <c r="H24" i="7" s="1"/>
  <c r="G19" i="7"/>
  <c r="G24" i="7" s="1"/>
  <c r="E19" i="7"/>
  <c r="E24" i="7" s="1"/>
  <c r="D24" i="7"/>
  <c r="AF19" i="7"/>
  <c r="AF24" i="7" s="1"/>
  <c r="Z19" i="7"/>
  <c r="Z24" i="7" s="1"/>
  <c r="Y19" i="7"/>
  <c r="Y24" i="7" s="1"/>
  <c r="AE19" i="7"/>
  <c r="AE24" i="7" s="1"/>
  <c r="AD19" i="7"/>
  <c r="AD24" i="7" s="1"/>
  <c r="AC19" i="7"/>
  <c r="AC24" i="7" s="1"/>
  <c r="BB19" i="7"/>
  <c r="BB24" i="7" s="1"/>
  <c r="BM19" i="7"/>
  <c r="BM24" i="7" s="1"/>
  <c r="BG19" i="7"/>
  <c r="BG24" i="7" s="1"/>
  <c r="AV20" i="7"/>
  <c r="AO47" i="7"/>
  <c r="AC47" i="7"/>
  <c r="D47" i="7"/>
  <c r="AV19" i="7"/>
  <c r="AV24" i="7" s="1"/>
  <c r="AQ19" i="7"/>
  <c r="AQ24" i="7" s="1"/>
  <c r="AQ20" i="7"/>
  <c r="AB19" i="7"/>
  <c r="AB24" i="7" s="1"/>
  <c r="AL19" i="7"/>
  <c r="AL24" i="7" s="1"/>
  <c r="AB20" i="7"/>
  <c r="AL20" i="7"/>
  <c r="P19" i="7"/>
  <c r="P24" i="7" s="1"/>
  <c r="P20" i="7"/>
  <c r="J19" i="7"/>
  <c r="J24" i="7" s="1"/>
  <c r="J20" i="7"/>
  <c r="D36" i="7"/>
  <c r="BC36" i="7"/>
  <c r="AT47" i="7"/>
  <c r="Y36" i="7"/>
  <c r="AY47" i="7"/>
  <c r="CA43" i="6"/>
  <c r="AR43" i="6"/>
  <c r="AI36" i="7"/>
  <c r="AS43" i="6"/>
  <c r="AO36" i="7"/>
  <c r="BR43" i="6"/>
  <c r="AY36" i="7"/>
  <c r="D43" i="6"/>
  <c r="AB43" i="6"/>
  <c r="AT36" i="7"/>
  <c r="Y45" i="7"/>
  <c r="AC21" i="7"/>
  <c r="AC25" i="7" s="1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C45" i="7"/>
  <c r="C54" i="7"/>
  <c r="C53" i="7"/>
  <c r="C36" i="7"/>
  <c r="AF58" i="7"/>
  <c r="B31" i="1"/>
  <c r="B47" i="1" s="1"/>
  <c r="B10" i="8"/>
  <c r="AI56" i="7"/>
  <c r="B30" i="1"/>
  <c r="B46" i="1" s="1"/>
  <c r="AN51" i="7"/>
  <c r="AF15" i="6"/>
  <c r="W15" i="6"/>
  <c r="K15" i="6"/>
  <c r="BI15" i="6"/>
  <c r="BI30" i="6" s="1"/>
  <c r="BI31" i="6" s="1"/>
  <c r="AJ51" i="7"/>
  <c r="AI51" i="7"/>
  <c r="AE15" i="6"/>
  <c r="F15" i="6"/>
  <c r="L15" i="6"/>
  <c r="AC15" i="6"/>
  <c r="BK15" i="6"/>
  <c r="BV7" i="6"/>
  <c r="Y15" i="6"/>
  <c r="BT15" i="6"/>
  <c r="BT30" i="6" s="1"/>
  <c r="BT31" i="6" s="1"/>
  <c r="BT59" i="6" s="1"/>
  <c r="D15" i="6"/>
  <c r="BJ15" i="6"/>
  <c r="BS15" i="6"/>
  <c r="AM15" i="6"/>
  <c r="AP15" i="6"/>
  <c r="AR15" i="6"/>
  <c r="BK30" i="6"/>
  <c r="BK31" i="6" s="1"/>
  <c r="BK35" i="6" s="1"/>
  <c r="Y51" i="7"/>
  <c r="AN15" i="6"/>
  <c r="AA9" i="7"/>
  <c r="BO30" i="6"/>
  <c r="BO31" i="6" s="1"/>
  <c r="BO58" i="6" s="1"/>
  <c r="Z15" i="6"/>
  <c r="AH15" i="6"/>
  <c r="AM9" i="7"/>
  <c r="CA15" i="6"/>
  <c r="X15" i="6"/>
  <c r="AB15" i="6"/>
  <c r="AQ15" i="6"/>
  <c r="BH15" i="6"/>
  <c r="BL15" i="6"/>
  <c r="BV15" i="6"/>
  <c r="AK51" i="7"/>
  <c r="J25" i="2"/>
  <c r="P25" i="2"/>
  <c r="L25" i="2"/>
  <c r="AF51" i="7"/>
  <c r="AF57" i="7"/>
  <c r="AB58" i="7"/>
  <c r="AB59" i="7"/>
  <c r="AB57" i="7"/>
  <c r="AJ58" i="7"/>
  <c r="AJ59" i="7"/>
  <c r="AJ57" i="7"/>
  <c r="AK59" i="7"/>
  <c r="AK58" i="7"/>
  <c r="AK57" i="7"/>
  <c r="Z58" i="7"/>
  <c r="Z59" i="7"/>
  <c r="Z57" i="7"/>
  <c r="AL58" i="7"/>
  <c r="AL59" i="7"/>
  <c r="AL57" i="7"/>
  <c r="AN58" i="7"/>
  <c r="AN59" i="7"/>
  <c r="AN57" i="7"/>
  <c r="AM10" i="7"/>
  <c r="Y56" i="7"/>
  <c r="AA10" i="7"/>
  <c r="F25" i="2"/>
  <c r="F46" i="2" s="1"/>
  <c r="H25" i="2"/>
  <c r="AB25" i="2"/>
  <c r="X25" i="2"/>
  <c r="V25" i="2"/>
  <c r="T25" i="2"/>
  <c r="BR30" i="6"/>
  <c r="BR31" i="6" s="1"/>
  <c r="Z25" i="2"/>
  <c r="N25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43" i="6"/>
  <c r="D38" i="7"/>
  <c r="D40" i="7" s="1"/>
  <c r="D45" i="6"/>
  <c r="I30" i="1"/>
  <c r="A51" i="1"/>
  <c r="A52" i="1" s="1"/>
  <c r="A53" i="1" s="1"/>
  <c r="A54" i="1" s="1"/>
  <c r="A55" i="1" s="1"/>
  <c r="A56" i="1" s="1"/>
  <c r="A57" i="1" s="1"/>
  <c r="BM21" i="7"/>
  <c r="BM25" i="7" s="1"/>
  <c r="BG21" i="7"/>
  <c r="BG25" i="7" s="1"/>
  <c r="O21" i="7"/>
  <c r="O25" i="7" s="1"/>
  <c r="AD21" i="7"/>
  <c r="AD25" i="7" s="1"/>
  <c r="AT21" i="7"/>
  <c r="AT25" i="7" s="1"/>
  <c r="AS21" i="7"/>
  <c r="AS25" i="7" s="1"/>
  <c r="BC21" i="7"/>
  <c r="BC25" i="7" s="1"/>
  <c r="V21" i="7"/>
  <c r="V25" i="7" s="1"/>
  <c r="M21" i="7"/>
  <c r="M25" i="7" s="1"/>
  <c r="G21" i="7"/>
  <c r="G25" i="7" s="1"/>
  <c r="Y21" i="7"/>
  <c r="Y25" i="7" s="1"/>
  <c r="AI21" i="7"/>
  <c r="AI25" i="7" s="1"/>
  <c r="AX21" i="7"/>
  <c r="AX25" i="7" s="1"/>
  <c r="AQ21" i="7"/>
  <c r="AQ25" i="7" s="1"/>
  <c r="AV21" i="7"/>
  <c r="AV25" i="7" s="1"/>
  <c r="AL21" i="7"/>
  <c r="AL25" i="7" s="1"/>
  <c r="AB21" i="7"/>
  <c r="AB25" i="7" s="1"/>
  <c r="J21" i="7"/>
  <c r="J25" i="7" s="1"/>
  <c r="P21" i="7"/>
  <c r="P25" i="7" s="1"/>
  <c r="AK21" i="7"/>
  <c r="AK25" i="7" s="1"/>
  <c r="R21" i="7"/>
  <c r="R25" i="7" s="1"/>
  <c r="N21" i="7"/>
  <c r="N25" i="7" s="1"/>
  <c r="I21" i="7"/>
  <c r="I25" i="7" s="1"/>
  <c r="H21" i="7"/>
  <c r="H25" i="7" s="1"/>
  <c r="E21" i="7"/>
  <c r="E25" i="7" s="1"/>
  <c r="AF21" i="7"/>
  <c r="AF25" i="7" s="1"/>
  <c r="Z21" i="7"/>
  <c r="Z25" i="7" s="1"/>
  <c r="AE21" i="7"/>
  <c r="AE25" i="7" s="1"/>
  <c r="AN21" i="7"/>
  <c r="AN25" i="7" s="1"/>
  <c r="AO21" i="7"/>
  <c r="AO25" i="7" s="1"/>
  <c r="BB21" i="7"/>
  <c r="BB25" i="7" s="1"/>
  <c r="AJ21" i="7"/>
  <c r="AJ25" i="7" s="1"/>
  <c r="AP21" i="7"/>
  <c r="AP25" i="7" s="1"/>
  <c r="AU21" i="7"/>
  <c r="AU25" i="7" s="1"/>
  <c r="AY21" i="7"/>
  <c r="AY25" i="7" s="1"/>
  <c r="BF21" i="7"/>
  <c r="BF25" i="7" s="1"/>
  <c r="L21" i="7"/>
  <c r="L25" i="7" s="1"/>
  <c r="Y47" i="7"/>
  <c r="C47" i="7" s="1"/>
  <c r="AF56" i="7" l="1"/>
  <c r="C51" i="7"/>
  <c r="BK57" i="6"/>
  <c r="X46" i="2"/>
  <c r="P46" i="2"/>
  <c r="T46" i="2"/>
  <c r="AB46" i="2"/>
  <c r="J46" i="2"/>
  <c r="N46" i="2"/>
  <c r="H46" i="2"/>
  <c r="L46" i="2"/>
  <c r="V46" i="2"/>
  <c r="Z46" i="2"/>
  <c r="BT57" i="6"/>
  <c r="BO59" i="6"/>
  <c r="BT35" i="6"/>
  <c r="BK59" i="6"/>
  <c r="BO57" i="6"/>
  <c r="BI59" i="6"/>
  <c r="BI35" i="6"/>
  <c r="BI57" i="6"/>
  <c r="BO35" i="6"/>
  <c r="BV30" i="6"/>
  <c r="BV31" i="6" s="1"/>
  <c r="BJ30" i="6"/>
  <c r="BJ31" i="6" s="1"/>
  <c r="BS30" i="6"/>
  <c r="BS31" i="6" s="1"/>
  <c r="BL30" i="6"/>
  <c r="BL31" i="6" s="1"/>
  <c r="BH30" i="6"/>
  <c r="BH31" i="6" s="1"/>
  <c r="CA30" i="6"/>
  <c r="CA31" i="6" s="1"/>
  <c r="AK56" i="7"/>
  <c r="AN56" i="7"/>
  <c r="AB56" i="7"/>
  <c r="AM59" i="7"/>
  <c r="AM58" i="7"/>
  <c r="C58" i="7" s="1"/>
  <c r="AM57" i="7"/>
  <c r="AA59" i="7"/>
  <c r="AA58" i="7"/>
  <c r="AA57" i="7"/>
  <c r="AJ56" i="7"/>
  <c r="AL56" i="7"/>
  <c r="Z56" i="7"/>
  <c r="BR35" i="6"/>
  <c r="BR58" i="6"/>
  <c r="BR57" i="6"/>
  <c r="D25" i="2"/>
  <c r="C57" i="7" l="1"/>
  <c r="C59" i="7"/>
  <c r="CA35" i="6"/>
  <c r="CA57" i="6"/>
  <c r="CA59" i="6"/>
  <c r="BS35" i="6"/>
  <c r="BS59" i="6"/>
  <c r="BS57" i="6"/>
  <c r="BJ59" i="6"/>
  <c r="BJ57" i="6"/>
  <c r="BJ35" i="6"/>
  <c r="BV57" i="6"/>
  <c r="BV35" i="6"/>
  <c r="BV59" i="6"/>
  <c r="BH59" i="6"/>
  <c r="BH57" i="6"/>
  <c r="BH35" i="6"/>
  <c r="BL57" i="6"/>
  <c r="BL35" i="6"/>
  <c r="BL59" i="6"/>
  <c r="AM56" i="7"/>
  <c r="AA56" i="7"/>
  <c r="C56" i="7" l="1"/>
  <c r="D9" i="8" l="1"/>
  <c r="AB45" i="6"/>
  <c r="I31" i="1"/>
  <c r="Y38" i="7"/>
  <c r="Y40" i="7" s="1"/>
  <c r="I32" i="1"/>
  <c r="AR45" i="6" l="1"/>
  <c r="D11" i="8"/>
  <c r="AI38" i="7"/>
  <c r="AI40" i="7" s="1"/>
  <c r="D12" i="8" l="1"/>
  <c r="I33" i="1" l="1"/>
  <c r="AO38" i="7"/>
  <c r="AO40" i="7" s="1"/>
  <c r="AS45" i="6"/>
  <c r="I34" i="1"/>
  <c r="AY45" i="6" l="1"/>
  <c r="D13" i="8"/>
  <c r="AT38" i="7"/>
  <c r="AT40" i="7" s="1"/>
  <c r="AY38" i="7" l="1"/>
  <c r="AY40" i="7" s="1"/>
  <c r="D14" i="8"/>
  <c r="BR45" i="6"/>
  <c r="I35" i="1"/>
  <c r="CA45" i="6" l="1"/>
  <c r="BC38" i="7"/>
  <c r="BC40" i="7" s="1"/>
  <c r="I37" i="1"/>
  <c r="CC45" i="6" l="1"/>
  <c r="I38" i="1" l="1"/>
  <c r="BG38" i="7"/>
  <c r="BG40" i="7" s="1"/>
  <c r="CN45" i="6"/>
  <c r="BM38" i="7"/>
  <c r="BM40" i="7" s="1"/>
  <c r="I39" i="1"/>
  <c r="CS45" i="6" l="1"/>
  <c r="I40" i="1"/>
  <c r="BP38" i="7" l="1"/>
  <c r="BP40" i="7" s="1"/>
  <c r="G30" i="8"/>
  <c r="DJ45" i="6"/>
  <c r="BS38" i="7"/>
  <c r="BS40" i="7" s="1"/>
  <c r="C40" i="7" l="1"/>
  <c r="N11" i="8"/>
  <c r="N12" i="8"/>
  <c r="N13" i="8"/>
  <c r="N14" i="8"/>
  <c r="N15" i="8"/>
  <c r="N16" i="8"/>
  <c r="N17" i="8"/>
  <c r="N18" i="8"/>
  <c r="N33" i="8" s="1"/>
  <c r="N19" i="8"/>
  <c r="N20" i="8"/>
  <c r="N22" i="8"/>
  <c r="M30" i="8"/>
  <c r="N31" i="8" l="1"/>
  <c r="N30" i="8"/>
  <c r="AO28" i="6" l="1"/>
  <c r="AO29" i="6" s="1"/>
  <c r="AO30" i="6" s="1"/>
  <c r="AO31" i="6" s="1"/>
  <c r="AO57" i="6" s="1"/>
  <c r="G28" i="6"/>
  <c r="G29" i="6" s="1"/>
  <c r="G30" i="6" s="1"/>
  <c r="G31" i="6" s="1"/>
  <c r="G57" i="6" s="1"/>
  <c r="AK28" i="6"/>
  <c r="AK29" i="6" s="1"/>
  <c r="AK30" i="6" s="1"/>
  <c r="AK31" i="6" s="1"/>
  <c r="AK57" i="6" s="1"/>
  <c r="W28" i="6"/>
  <c r="W29" i="6" s="1"/>
  <c r="W30" i="6" s="1"/>
  <c r="W31" i="6" s="1"/>
  <c r="W35" i="6" s="1"/>
  <c r="F28" i="6"/>
  <c r="F29" i="6" s="1"/>
  <c r="F30" i="6" s="1"/>
  <c r="F31" i="6" s="1"/>
  <c r="F35" i="6" s="1"/>
  <c r="AF28" i="6"/>
  <c r="AF29" i="6" s="1"/>
  <c r="AF30" i="6" s="1"/>
  <c r="AF31" i="6" s="1"/>
  <c r="AF57" i="6" s="1"/>
  <c r="R28" i="6"/>
  <c r="R29" i="6" s="1"/>
  <c r="R30" i="6" s="1"/>
  <c r="R31" i="6" s="1"/>
  <c r="R57" i="6" s="1"/>
  <c r="O28" i="6"/>
  <c r="O29" i="6" s="1"/>
  <c r="O30" i="6" s="1"/>
  <c r="O31" i="6" s="1"/>
  <c r="O57" i="6" s="1"/>
  <c r="Y28" i="6"/>
  <c r="Y29" i="6" s="1"/>
  <c r="Y30" i="6" s="1"/>
  <c r="Y31" i="6" s="1"/>
  <c r="Y57" i="6" s="1"/>
  <c r="V28" i="6"/>
  <c r="V29" i="6" s="1"/>
  <c r="V30" i="6" s="1"/>
  <c r="V31" i="6" s="1"/>
  <c r="V35" i="6" s="1"/>
  <c r="K28" i="6"/>
  <c r="K29" i="6" s="1"/>
  <c r="K30" i="6" s="1"/>
  <c r="K31" i="6" s="1"/>
  <c r="K57" i="6" s="1"/>
  <c r="E28" i="6"/>
  <c r="E29" i="6" s="1"/>
  <c r="E30" i="6" s="1"/>
  <c r="E31" i="6" s="1"/>
  <c r="E57" i="6" s="1"/>
  <c r="AL28" i="6"/>
  <c r="AL29" i="6" s="1"/>
  <c r="AL30" i="6" s="1"/>
  <c r="AL31" i="6" s="1"/>
  <c r="AL57" i="6" s="1"/>
  <c r="I28" i="6"/>
  <c r="I29" i="6" s="1"/>
  <c r="I30" i="6" s="1"/>
  <c r="I31" i="6" s="1"/>
  <c r="I57" i="6" s="1"/>
  <c r="X28" i="6"/>
  <c r="X29" i="6" s="1"/>
  <c r="X30" i="6" s="1"/>
  <c r="X31" i="6" s="1"/>
  <c r="X57" i="6" s="1"/>
  <c r="AB28" i="6"/>
  <c r="AB29" i="6" s="1"/>
  <c r="AB30" i="6" s="1"/>
  <c r="AB31" i="6" s="1"/>
  <c r="AB57" i="6" s="1"/>
  <c r="AN28" i="6"/>
  <c r="AN29" i="6" s="1"/>
  <c r="AN30" i="6" s="1"/>
  <c r="AN31" i="6" s="1"/>
  <c r="AN57" i="6" s="1"/>
  <c r="H28" i="6"/>
  <c r="H29" i="6" s="1"/>
  <c r="H30" i="6" s="1"/>
  <c r="H31" i="6" s="1"/>
  <c r="H57" i="6" s="1"/>
  <c r="Z28" i="6"/>
  <c r="Z29" i="6" s="1"/>
  <c r="Z30" i="6" s="1"/>
  <c r="Z31" i="6" s="1"/>
  <c r="Z57" i="6" s="1"/>
  <c r="AH28" i="6"/>
  <c r="AH29" i="6" s="1"/>
  <c r="AH30" i="6" s="1"/>
  <c r="AH31" i="6" s="1"/>
  <c r="AH57" i="6" s="1"/>
  <c r="AE28" i="6"/>
  <c r="AE29" i="6" s="1"/>
  <c r="AE30" i="6" s="1"/>
  <c r="AE31" i="6" s="1"/>
  <c r="AE59" i="6" s="1"/>
  <c r="AM28" i="6"/>
  <c r="AM29" i="6" s="1"/>
  <c r="AM30" i="6" s="1"/>
  <c r="AM31" i="6" s="1"/>
  <c r="AM57" i="6" s="1"/>
  <c r="S28" i="6"/>
  <c r="S29" i="6" s="1"/>
  <c r="S30" i="6" s="1"/>
  <c r="S31" i="6" s="1"/>
  <c r="S59" i="6" s="1"/>
  <c r="AG28" i="6"/>
  <c r="AG29" i="6" s="1"/>
  <c r="AG30" i="6" s="1"/>
  <c r="AG31" i="6" s="1"/>
  <c r="AG57" i="6" s="1"/>
  <c r="AD28" i="6"/>
  <c r="AD29" i="6" s="1"/>
  <c r="AD30" i="6" s="1"/>
  <c r="AD31" i="6" s="1"/>
  <c r="AD57" i="6" s="1"/>
  <c r="AP28" i="6"/>
  <c r="AP29" i="6" s="1"/>
  <c r="AP30" i="6" s="1"/>
  <c r="AP31" i="6" s="1"/>
  <c r="AP57" i="6" s="1"/>
  <c r="U28" i="6"/>
  <c r="U29" i="6" s="1"/>
  <c r="U30" i="6" s="1"/>
  <c r="U31" i="6" s="1"/>
  <c r="U57" i="6" s="1"/>
  <c r="Q28" i="6"/>
  <c r="Q29" i="6" s="1"/>
  <c r="Q30" i="6" s="1"/>
  <c r="Q31" i="6" s="1"/>
  <c r="Q57" i="6" s="1"/>
  <c r="T28" i="6"/>
  <c r="T29" i="6" s="1"/>
  <c r="T30" i="6" s="1"/>
  <c r="T31" i="6" s="1"/>
  <c r="T57" i="6" s="1"/>
  <c r="P28" i="6"/>
  <c r="P29" i="6" s="1"/>
  <c r="P30" i="6" s="1"/>
  <c r="P31" i="6" s="1"/>
  <c r="P57" i="6" s="1"/>
  <c r="J28" i="6"/>
  <c r="J29" i="6" s="1"/>
  <c r="J30" i="6" s="1"/>
  <c r="J31" i="6" s="1"/>
  <c r="J57" i="6" s="1"/>
  <c r="D28" i="6"/>
  <c r="D29" i="6" s="1"/>
  <c r="D30" i="6" s="1"/>
  <c r="D31" i="6" s="1"/>
  <c r="D35" i="6" s="1"/>
  <c r="AE57" i="6"/>
  <c r="I35" i="6"/>
  <c r="AI28" i="6"/>
  <c r="AI29" i="6" s="1"/>
  <c r="AI30" i="6" s="1"/>
  <c r="AI31" i="6" s="1"/>
  <c r="M28" i="6"/>
  <c r="M29" i="6" s="1"/>
  <c r="M30" i="6" s="1"/>
  <c r="M31" i="6" s="1"/>
  <c r="AN35" i="6" l="1"/>
  <c r="Y59" i="6"/>
  <c r="AD35" i="6"/>
  <c r="F57" i="6"/>
  <c r="AE35" i="6"/>
  <c r="AO59" i="6"/>
  <c r="AN59" i="6"/>
  <c r="T59" i="6"/>
  <c r="AL35" i="6"/>
  <c r="AO35" i="6"/>
  <c r="Y35" i="6"/>
  <c r="F59" i="6"/>
  <c r="AK35" i="6"/>
  <c r="Z35" i="6"/>
  <c r="AD59" i="6"/>
  <c r="AM59" i="6"/>
  <c r="T35" i="6"/>
  <c r="AK59" i="6"/>
  <c r="AL59" i="6"/>
  <c r="S35" i="6"/>
  <c r="E35" i="6"/>
  <c r="D57" i="6"/>
  <c r="K59" i="6"/>
  <c r="AG59" i="6"/>
  <c r="G35" i="6"/>
  <c r="V59" i="6"/>
  <c r="J59" i="6"/>
  <c r="Z59" i="6"/>
  <c r="R59" i="6"/>
  <c r="P35" i="6"/>
  <c r="AP35" i="6"/>
  <c r="U59" i="6"/>
  <c r="G59" i="6"/>
  <c r="I59" i="6"/>
  <c r="K35" i="6"/>
  <c r="J35" i="6"/>
  <c r="AM35" i="6"/>
  <c r="H59" i="6"/>
  <c r="X59" i="6"/>
  <c r="S57" i="6"/>
  <c r="AF59" i="6"/>
  <c r="E59" i="6"/>
  <c r="U35" i="6"/>
  <c r="X35" i="6"/>
  <c r="AB35" i="6"/>
  <c r="W57" i="6"/>
  <c r="Q59" i="6"/>
  <c r="Q35" i="6"/>
  <c r="O59" i="6"/>
  <c r="R35" i="6"/>
  <c r="AH35" i="6"/>
  <c r="AB59" i="6"/>
  <c r="O35" i="6"/>
  <c r="AF35" i="6"/>
  <c r="AG35" i="6"/>
  <c r="D59" i="6"/>
  <c r="W59" i="6"/>
  <c r="AP59" i="6"/>
  <c r="V57" i="6"/>
  <c r="H35" i="6"/>
  <c r="P59" i="6"/>
  <c r="AH59" i="6"/>
  <c r="AJ28" i="6"/>
  <c r="AJ29" i="6" s="1"/>
  <c r="AJ30" i="6" s="1"/>
  <c r="AJ31" i="6" s="1"/>
  <c r="AJ57" i="6" s="1"/>
  <c r="L28" i="6"/>
  <c r="L29" i="6" s="1"/>
  <c r="L30" i="6" s="1"/>
  <c r="L31" i="6" s="1"/>
  <c r="L57" i="6" s="1"/>
  <c r="AQ28" i="6"/>
  <c r="AQ29" i="6" s="1"/>
  <c r="AQ30" i="6" s="1"/>
  <c r="AQ31" i="6" s="1"/>
  <c r="AQ35" i="6" s="1"/>
  <c r="AC28" i="6"/>
  <c r="AC29" i="6" s="1"/>
  <c r="AC30" i="6" s="1"/>
  <c r="AC31" i="6" s="1"/>
  <c r="AC57" i="6" s="1"/>
  <c r="M59" i="6"/>
  <c r="M57" i="6"/>
  <c r="AI59" i="6"/>
  <c r="AI57" i="6"/>
  <c r="AA28" i="6"/>
  <c r="AA29" i="6" s="1"/>
  <c r="AA30" i="6" s="1"/>
  <c r="AA31" i="6" s="1"/>
  <c r="D52" i="6"/>
  <c r="D54" i="6" s="1"/>
  <c r="AR52" i="6"/>
  <c r="AR54" i="6" s="1"/>
  <c r="AR28" i="6"/>
  <c r="AR29" i="6" s="1"/>
  <c r="AR30" i="6" s="1"/>
  <c r="AR31" i="6" s="1"/>
  <c r="AB52" i="6"/>
  <c r="AB54" i="6" s="1"/>
  <c r="AI35" i="6"/>
  <c r="M35" i="6"/>
  <c r="AJ59" i="6" l="1"/>
  <c r="L35" i="6"/>
  <c r="L59" i="6"/>
  <c r="AQ57" i="6"/>
  <c r="AJ35" i="6"/>
  <c r="AQ59" i="6"/>
  <c r="AC35" i="6"/>
  <c r="AC59" i="6"/>
  <c r="AR59" i="6"/>
  <c r="AR57" i="6"/>
  <c r="AA35" i="6"/>
  <c r="AA59" i="6"/>
  <c r="AA58" i="6"/>
  <c r="AA57" i="6"/>
  <c r="AR35" i="6"/>
  <c r="AY54" i="6" l="1"/>
  <c r="AX28" i="6" l="1"/>
  <c r="AX29" i="6" s="1"/>
  <c r="AX30" i="6" s="1"/>
  <c r="AX31" i="6" s="1"/>
  <c r="AS28" i="6"/>
  <c r="AS29" i="6" s="1"/>
  <c r="AS30" i="6" s="1"/>
  <c r="AS31" i="6" s="1"/>
  <c r="AS59" i="6" l="1"/>
  <c r="AS57" i="6"/>
  <c r="AX59" i="6"/>
  <c r="AX57" i="6"/>
  <c r="AU28" i="6"/>
  <c r="AU29" i="6" s="1"/>
  <c r="AU30" i="6" s="1"/>
  <c r="AU31" i="6" s="1"/>
  <c r="AS35" i="6"/>
  <c r="AX35" i="6"/>
  <c r="AT28" i="6"/>
  <c r="AS52" i="6"/>
  <c r="AU35" i="6" l="1"/>
  <c r="AU59" i="6"/>
  <c r="AU57" i="6"/>
  <c r="AT29" i="6"/>
  <c r="AS54" i="6"/>
  <c r="AT30" i="6" l="1"/>
  <c r="AT31" i="6" l="1"/>
  <c r="AT58" i="6" l="1"/>
  <c r="AT57" i="6"/>
  <c r="AT35" i="6"/>
  <c r="CC54" i="6" l="1"/>
  <c r="C53" i="6" l="1"/>
  <c r="C54" i="6" l="1"/>
  <c r="C58" i="6" l="1"/>
  <c r="C52" i="6"/>
  <c r="C28" i="6"/>
  <c r="C29" i="6" l="1"/>
  <c r="C30" i="6" l="1"/>
  <c r="C57" i="6" l="1"/>
  <c r="C31" i="6"/>
  <c r="C59" i="6" l="1"/>
  <c r="C34" i="12" l="1"/>
  <c r="G32" i="12"/>
  <c r="C15" i="12" l="1"/>
  <c r="C25" i="12"/>
  <c r="M31" i="8" l="1"/>
  <c r="M32" i="8" s="1"/>
  <c r="C20" i="12" l="1"/>
  <c r="C41" i="12" s="1"/>
  <c r="G39" i="12" l="1"/>
  <c r="C30" i="12" l="1"/>
  <c r="G31" i="8" s="1"/>
  <c r="G32" i="8" s="1"/>
  <c r="D30" i="12" l="1"/>
  <c r="V36" i="2" l="1"/>
  <c r="F38" i="1" s="1"/>
  <c r="V38" i="2"/>
  <c r="F17" i="8"/>
  <c r="V43" i="2"/>
  <c r="V44" i="2" s="1"/>
  <c r="CC47" i="6"/>
  <c r="P36" i="2"/>
  <c r="F35" i="1" s="1"/>
  <c r="F14" i="8"/>
  <c r="BR47" i="6"/>
  <c r="P43" i="2"/>
  <c r="P44" i="2" s="1"/>
  <c r="P38" i="2"/>
  <c r="CN47" i="6"/>
  <c r="F19" i="8"/>
  <c r="X43" i="2"/>
  <c r="X44" i="2" s="1"/>
  <c r="X38" i="2"/>
  <c r="X36" i="2"/>
  <c r="F39" i="1" s="1"/>
  <c r="Z36" i="2"/>
  <c r="F40" i="1" s="1"/>
  <c r="Z38" i="2"/>
  <c r="F20" i="8"/>
  <c r="CS47" i="6"/>
  <c r="Z43" i="2"/>
  <c r="Z44" i="2" s="1"/>
  <c r="F15" i="8"/>
  <c r="R36" i="2"/>
  <c r="F36" i="1" s="1"/>
  <c r="BW47" i="6"/>
  <c r="AR47" i="6"/>
  <c r="F11" i="8"/>
  <c r="J43" i="2"/>
  <c r="J44" i="2" s="1"/>
  <c r="J38" i="2"/>
  <c r="J36" i="2"/>
  <c r="F32" i="1" s="1"/>
  <c r="F13" i="8" l="1"/>
  <c r="N38" i="2"/>
  <c r="N43" i="2"/>
  <c r="N44" i="2" s="1"/>
  <c r="N36" i="2"/>
  <c r="F34" i="1" s="1"/>
  <c r="AY47" i="6"/>
  <c r="L38" i="2"/>
  <c r="F12" i="8"/>
  <c r="AS47" i="6"/>
  <c r="L43" i="2"/>
  <c r="L44" i="2" s="1"/>
  <c r="L36" i="2"/>
  <c r="F33" i="1" s="1"/>
  <c r="T38" i="2"/>
  <c r="CA47" i="6"/>
  <c r="T43" i="2"/>
  <c r="T44" i="2" s="1"/>
  <c r="T36" i="2"/>
  <c r="F37" i="1" s="1"/>
  <c r="F16" i="8"/>
  <c r="F43" i="2" l="1"/>
  <c r="D47" i="6"/>
  <c r="F8" i="8"/>
  <c r="F36" i="2"/>
  <c r="F30" i="1" s="1"/>
  <c r="F38" i="2"/>
  <c r="AB47" i="6"/>
  <c r="H38" i="2"/>
  <c r="F9" i="8"/>
  <c r="H36" i="2"/>
  <c r="F31" i="1" s="1"/>
  <c r="H43" i="2"/>
  <c r="H44" i="2" s="1"/>
  <c r="F44" i="2" l="1"/>
  <c r="AB43" i="2" l="1"/>
  <c r="DJ47" i="6"/>
  <c r="AB36" i="2"/>
  <c r="F41" i="1" s="1"/>
  <c r="AB38" i="2"/>
  <c r="F22" i="8"/>
  <c r="F30" i="8" s="1"/>
  <c r="D34" i="2"/>
  <c r="C47" i="6" l="1"/>
  <c r="AB44" i="2"/>
  <c r="D44" i="2" s="1"/>
  <c r="D43" i="2"/>
  <c r="E30" i="12" l="1"/>
  <c r="F31" i="8" l="1"/>
  <c r="F32" i="8" s="1"/>
  <c r="D38" i="2"/>
  <c r="D39" i="2" s="1"/>
  <c r="G33" i="12" l="1"/>
  <c r="G34" i="12" s="1"/>
  <c r="G29" i="12"/>
  <c r="G28" i="12"/>
  <c r="G19" i="12"/>
  <c r="G18" i="12"/>
  <c r="G14" i="12"/>
  <c r="G13" i="12"/>
  <c r="G12" i="12"/>
  <c r="G15" i="12" l="1"/>
  <c r="G20" i="12"/>
  <c r="G30" i="12"/>
  <c r="G23" i="12"/>
  <c r="G24" i="12"/>
  <c r="G25" i="12" l="1"/>
  <c r="G41" i="12" s="1"/>
  <c r="I28" i="12" l="1"/>
  <c r="I29" i="12"/>
  <c r="C40" i="1" l="1"/>
  <c r="C41" i="1"/>
  <c r="C35" i="1"/>
  <c r="C37" i="1"/>
  <c r="C33" i="1"/>
  <c r="C32" i="1"/>
  <c r="C39" i="1"/>
  <c r="C36" i="1"/>
  <c r="C34" i="1"/>
  <c r="C31" i="1"/>
  <c r="C38" i="1"/>
  <c r="C30" i="1"/>
  <c r="D36" i="1"/>
  <c r="D40" i="1"/>
  <c r="D37" i="1"/>
  <c r="D32" i="1"/>
  <c r="D30" i="1"/>
  <c r="D35" i="1"/>
  <c r="D33" i="1"/>
  <c r="D34" i="1"/>
  <c r="D38" i="1"/>
  <c r="D31" i="1"/>
  <c r="D39" i="1"/>
  <c r="D41" i="1"/>
  <c r="I30" i="12"/>
  <c r="J30" i="12" s="1"/>
  <c r="K30" i="12" s="1"/>
  <c r="C38" i="5" l="1"/>
  <c r="A1" i="5"/>
  <c r="C37" i="5"/>
  <c r="DB20" i="6" s="1"/>
  <c r="DB33" i="6" s="1"/>
  <c r="BO20" i="6" l="1"/>
  <c r="BO33" i="6" s="1"/>
  <c r="AY20" i="6"/>
  <c r="AY33" i="6" s="1"/>
  <c r="BT20" i="6"/>
  <c r="BT33" i="6" s="1"/>
  <c r="BS20" i="6"/>
  <c r="BS33" i="6" s="1"/>
  <c r="CN20" i="6"/>
  <c r="CN33" i="6" s="1"/>
  <c r="AZ20" i="6"/>
  <c r="AZ33" i="6" s="1"/>
  <c r="DK20" i="6"/>
  <c r="DK33" i="6" s="1"/>
  <c r="CT20" i="6"/>
  <c r="CT33" i="6" s="1"/>
  <c r="DA20" i="6"/>
  <c r="DA33" i="6" s="1"/>
  <c r="BG20" i="6"/>
  <c r="BG33" i="6" s="1"/>
  <c r="AS20" i="6"/>
  <c r="AS33" i="6" s="1"/>
  <c r="BB20" i="6"/>
  <c r="BB33" i="6" s="1"/>
  <c r="BA20" i="6"/>
  <c r="BA33" i="6" s="1"/>
  <c r="BR20" i="6"/>
  <c r="BR33" i="6" s="1"/>
  <c r="AT20" i="6"/>
  <c r="AT33" i="6" s="1"/>
  <c r="DJ20" i="6"/>
  <c r="DJ33" i="6" s="1"/>
  <c r="CS20" i="6"/>
  <c r="CS33" i="6" s="1"/>
  <c r="C31" i="5"/>
  <c r="C34" i="5"/>
  <c r="C35" i="5"/>
  <c r="CA20" i="6" s="1"/>
  <c r="CA33" i="6" s="1"/>
  <c r="C15" i="5"/>
  <c r="Q20" i="6" s="1"/>
  <c r="Q33" i="6" s="1"/>
  <c r="C12" i="5"/>
  <c r="C13" i="5"/>
  <c r="C14" i="5"/>
  <c r="DH20" i="6" s="1"/>
  <c r="DH33" i="6" s="1"/>
  <c r="C30" i="5"/>
  <c r="C24" i="5"/>
  <c r="C29" i="5"/>
  <c r="C25" i="5"/>
  <c r="AU20" i="6" s="1"/>
  <c r="AU33" i="6" s="1"/>
  <c r="C16" i="5"/>
  <c r="BV20" i="6" s="1"/>
  <c r="BV33" i="6" s="1"/>
  <c r="C26" i="5"/>
  <c r="C7" i="5"/>
  <c r="C27" i="5"/>
  <c r="CX20" i="6" s="1"/>
  <c r="CX33" i="6" s="1"/>
  <c r="C21" i="5"/>
  <c r="C18" i="5"/>
  <c r="C28" i="5"/>
  <c r="C11" i="5"/>
  <c r="C6" i="5"/>
  <c r="C9" i="5"/>
  <c r="C22" i="5"/>
  <c r="C10" i="5"/>
  <c r="BL20" i="6" s="1"/>
  <c r="BL33" i="6" s="1"/>
  <c r="C8" i="5"/>
  <c r="C19" i="5"/>
  <c r="C33" i="5"/>
  <c r="C20" i="5"/>
  <c r="BZ20" i="6" s="1"/>
  <c r="BZ33" i="6" s="1"/>
  <c r="C32" i="5"/>
  <c r="CP20" i="6" s="1"/>
  <c r="CP33" i="6" s="1"/>
  <c r="C17" i="5"/>
  <c r="D43" i="5"/>
  <c r="D45" i="5"/>
  <c r="D44" i="5"/>
  <c r="C23" i="5"/>
  <c r="C36" i="5"/>
  <c r="D40" i="5"/>
  <c r="D7" i="5"/>
  <c r="D8" i="5"/>
  <c r="D6" i="5"/>
  <c r="D5" i="5"/>
  <c r="D33" i="5"/>
  <c r="D31" i="5"/>
  <c r="D35" i="5"/>
  <c r="D36" i="5"/>
  <c r="D32" i="5"/>
  <c r="D34" i="5"/>
  <c r="D13" i="5"/>
  <c r="D23" i="5"/>
  <c r="D26" i="5"/>
  <c r="D27" i="5"/>
  <c r="D30" i="5"/>
  <c r="D25" i="5"/>
  <c r="D29" i="5"/>
  <c r="D28" i="5"/>
  <c r="D24" i="5"/>
  <c r="D39" i="5"/>
  <c r="D16" i="5"/>
  <c r="D15" i="5"/>
  <c r="D19" i="5"/>
  <c r="D17" i="5"/>
  <c r="D18" i="5"/>
  <c r="D10" i="5"/>
  <c r="D11" i="5"/>
  <c r="D12" i="5"/>
  <c r="D22" i="5"/>
  <c r="D20" i="5"/>
  <c r="D21" i="5"/>
  <c r="D9" i="5"/>
  <c r="D14" i="5"/>
  <c r="D37" i="5"/>
  <c r="D38" i="5"/>
  <c r="D41" i="5"/>
  <c r="D42" i="5"/>
  <c r="AO18" i="7" l="1"/>
  <c r="AP18" i="7"/>
  <c r="AY18" i="7"/>
  <c r="AZ18" i="7"/>
  <c r="BN18" i="7"/>
  <c r="BM18" i="7"/>
  <c r="DO20" i="6"/>
  <c r="DO33" i="6" s="1"/>
  <c r="CG20" i="6"/>
  <c r="CG33" i="6" s="1"/>
  <c r="DG20" i="6"/>
  <c r="DG33" i="6" s="1"/>
  <c r="AW20" i="6"/>
  <c r="AW33" i="6" s="1"/>
  <c r="H20" i="6"/>
  <c r="H33" i="6" s="1"/>
  <c r="AA20" i="6"/>
  <c r="AA33" i="6" s="1"/>
  <c r="CW20" i="6"/>
  <c r="CW33" i="6" s="1"/>
  <c r="BY20" i="6"/>
  <c r="BY33" i="6" s="1"/>
  <c r="Y20" i="6"/>
  <c r="Y33" i="6" s="1"/>
  <c r="F20" i="6"/>
  <c r="F33" i="6" s="1"/>
  <c r="K20" i="6"/>
  <c r="K33" i="6" s="1"/>
  <c r="AM20" i="6"/>
  <c r="AM33" i="6" s="1"/>
  <c r="L20" i="6"/>
  <c r="L33" i="6" s="1"/>
  <c r="E20" i="6"/>
  <c r="E33" i="6" s="1"/>
  <c r="DR20" i="6"/>
  <c r="DR33" i="6" s="1"/>
  <c r="BU20" i="6"/>
  <c r="BU33" i="6" s="1"/>
  <c r="AP20" i="6"/>
  <c r="AP33" i="6" s="1"/>
  <c r="DS20" i="6"/>
  <c r="DS33" i="6" s="1"/>
  <c r="D20" i="6"/>
  <c r="D33" i="6" s="1"/>
  <c r="DE20" i="6"/>
  <c r="DE33" i="6" s="1"/>
  <c r="AN20" i="6"/>
  <c r="AN33" i="6" s="1"/>
  <c r="J20" i="6"/>
  <c r="J33" i="6" s="1"/>
  <c r="AK20" i="6"/>
  <c r="AK33" i="6" s="1"/>
  <c r="V20" i="6"/>
  <c r="V33" i="6" s="1"/>
  <c r="O20" i="6"/>
  <c r="O33" i="6" s="1"/>
  <c r="CK20" i="6"/>
  <c r="CK33" i="6" s="1"/>
  <c r="AC20" i="6"/>
  <c r="AC33" i="6" s="1"/>
  <c r="I20" i="6"/>
  <c r="I33" i="6" s="1"/>
  <c r="AE20" i="6"/>
  <c r="AE33" i="6" s="1"/>
  <c r="AG20" i="6"/>
  <c r="AG33" i="6" s="1"/>
  <c r="X20" i="6"/>
  <c r="X33" i="6" s="1"/>
  <c r="CH20" i="6"/>
  <c r="CH33" i="6" s="1"/>
  <c r="AO20" i="6"/>
  <c r="AO33" i="6" s="1"/>
  <c r="CD20" i="6"/>
  <c r="CD33" i="6" s="1"/>
  <c r="AB20" i="6"/>
  <c r="AB33" i="6" s="1"/>
  <c r="AQ20" i="6"/>
  <c r="AQ33" i="6" s="1"/>
  <c r="G20" i="6"/>
  <c r="G33" i="6" s="1"/>
  <c r="BD20" i="6"/>
  <c r="BD33" i="6" s="1"/>
  <c r="BJ20" i="6"/>
  <c r="BJ33" i="6" s="1"/>
  <c r="CU20" i="6"/>
  <c r="CU33" i="6" s="1"/>
  <c r="E18" i="7"/>
  <c r="D18" i="7"/>
  <c r="Z18" i="7"/>
  <c r="Y18" i="7"/>
  <c r="I18" i="7"/>
  <c r="BJ18" i="7"/>
  <c r="H18" i="7"/>
  <c r="BP18" i="7"/>
  <c r="BQ18" i="7"/>
  <c r="CJ20" i="6"/>
  <c r="CJ33" i="6" s="1"/>
  <c r="DC20" i="6"/>
  <c r="DC33" i="6" s="1"/>
  <c r="BH20" i="6"/>
  <c r="BH33" i="6" s="1"/>
  <c r="CO20" i="6"/>
  <c r="CO33" i="6" s="1"/>
  <c r="AX20" i="6"/>
  <c r="AX33" i="6" s="1"/>
  <c r="CM20" i="6"/>
  <c r="CM33" i="6" s="1"/>
  <c r="CE20" i="6"/>
  <c r="CE33" i="6" s="1"/>
  <c r="DT20" i="6"/>
  <c r="DT33" i="6" s="1"/>
  <c r="S20" i="6"/>
  <c r="S33" i="6" s="1"/>
  <c r="P20" i="6"/>
  <c r="P33" i="6" s="1"/>
  <c r="M20" i="6"/>
  <c r="M33" i="6" s="1"/>
  <c r="N20" i="6"/>
  <c r="N33" i="6" s="1"/>
  <c r="N36" i="6" s="1"/>
  <c r="CB20" i="6"/>
  <c r="CB33" i="6" s="1"/>
  <c r="AJ20" i="6"/>
  <c r="AJ33" i="6" s="1"/>
  <c r="BM20" i="6"/>
  <c r="BM33" i="6" s="1"/>
  <c r="AI20" i="6"/>
  <c r="AI33" i="6" s="1"/>
  <c r="DI20" i="6"/>
  <c r="DI33" i="6" s="1"/>
  <c r="T20" i="6"/>
  <c r="T33" i="6" s="1"/>
  <c r="R20" i="6"/>
  <c r="R33" i="6" s="1"/>
  <c r="U20" i="6"/>
  <c r="U33" i="6" s="1"/>
  <c r="CR20" i="6"/>
  <c r="CR33" i="6" s="1"/>
  <c r="CZ20" i="6"/>
  <c r="CZ33" i="6" s="1"/>
  <c r="CC20" i="6"/>
  <c r="CC33" i="6" s="1"/>
  <c r="BK20" i="6"/>
  <c r="BK33" i="6" s="1"/>
  <c r="CF20" i="6"/>
  <c r="CF33" i="6" s="1"/>
  <c r="CY20" i="6"/>
  <c r="CY33" i="6" s="1"/>
  <c r="DF20" i="6"/>
  <c r="DF33" i="6" s="1"/>
  <c r="AR20" i="6"/>
  <c r="AR33" i="6" s="1"/>
  <c r="CQ20" i="6"/>
  <c r="CQ33" i="6" s="1"/>
  <c r="DN20" i="6"/>
  <c r="DN33" i="6" s="1"/>
  <c r="CV20" i="6"/>
  <c r="CV33" i="6" s="1"/>
  <c r="BE20" i="6"/>
  <c r="BE33" i="6" s="1"/>
  <c r="DM20" i="6"/>
  <c r="DM33" i="6" s="1"/>
  <c r="BW20" i="6"/>
  <c r="BW33" i="6" s="1"/>
  <c r="DD20" i="6"/>
  <c r="DD33" i="6" s="1"/>
  <c r="N18" i="7"/>
  <c r="M18" i="7"/>
  <c r="AJ18" i="7"/>
  <c r="AI18" i="7"/>
  <c r="CF18" i="7"/>
  <c r="CE18" i="7"/>
  <c r="BT18" i="7"/>
  <c r="BS18" i="7"/>
  <c r="BQ20" i="6"/>
  <c r="BQ33" i="6" s="1"/>
  <c r="AH20" i="6"/>
  <c r="AH33" i="6" s="1"/>
  <c r="CI20" i="6"/>
  <c r="CI33" i="6" s="1"/>
  <c r="CL20" i="6"/>
  <c r="CL33" i="6" s="1"/>
  <c r="S18" i="7"/>
  <c r="AD18" i="7"/>
  <c r="V18" i="7"/>
  <c r="T18" i="7"/>
  <c r="AF18" i="7"/>
  <c r="AC18" i="7"/>
  <c r="AT18" i="7"/>
  <c r="AU18" i="7"/>
  <c r="BC18" i="7"/>
  <c r="BD18" i="7"/>
  <c r="BH18" i="7"/>
  <c r="BG18" i="7"/>
  <c r="DQ20" i="6"/>
  <c r="DQ33" i="6" s="1"/>
  <c r="DL20" i="6"/>
  <c r="DL33" i="6" s="1"/>
  <c r="AF20" i="6"/>
  <c r="AF33" i="6" s="1"/>
  <c r="AD20" i="6"/>
  <c r="AD33" i="6" s="1"/>
  <c r="AV20" i="6"/>
  <c r="AV33" i="6" s="1"/>
  <c r="AL20" i="6"/>
  <c r="AL33" i="6" s="1"/>
  <c r="BF20" i="6"/>
  <c r="BF33" i="6" s="1"/>
  <c r="BX20" i="6"/>
  <c r="BX33" i="6" s="1"/>
  <c r="BP20" i="6"/>
  <c r="BP33" i="6" s="1"/>
  <c r="Z20" i="6"/>
  <c r="Z33" i="6" s="1"/>
  <c r="W20" i="6"/>
  <c r="W33" i="6" s="1"/>
  <c r="BI20" i="6"/>
  <c r="BI33" i="6" s="1"/>
  <c r="BC20" i="6"/>
  <c r="BC33" i="6" s="1"/>
  <c r="D46" i="5"/>
  <c r="C4" i="5"/>
  <c r="C5" i="5"/>
  <c r="D4" i="5"/>
  <c r="R18" i="7" l="1"/>
  <c r="U18" i="7"/>
  <c r="AQ18" i="7"/>
  <c r="G18" i="7"/>
  <c r="BU18" i="7"/>
  <c r="BX18" i="7"/>
  <c r="BI18" i="7"/>
  <c r="AL18" i="7"/>
  <c r="L18" i="7"/>
  <c r="AN18" i="7"/>
  <c r="BE18" i="7"/>
  <c r="AB18" i="7"/>
  <c r="AK18" i="7"/>
  <c r="AV18" i="7"/>
  <c r="BR18" i="7"/>
  <c r="BB18" i="7"/>
  <c r="Q18" i="7"/>
  <c r="AS18" i="7"/>
  <c r="AW18" i="7"/>
  <c r="K18" i="7"/>
  <c r="AA18" i="7"/>
  <c r="AR18" i="7"/>
  <c r="BA18" i="7"/>
  <c r="AM18" i="7"/>
  <c r="AX18" i="7"/>
  <c r="F18" i="7"/>
  <c r="CI18" i="7"/>
  <c r="J18" i="7"/>
  <c r="BO18" i="7"/>
  <c r="P18" i="7"/>
  <c r="O18" i="7"/>
  <c r="BV18" i="7"/>
  <c r="BW18" i="7"/>
  <c r="CG18" i="7"/>
  <c r="CH18" i="7"/>
  <c r="AE18" i="7"/>
  <c r="BF18" i="7"/>
  <c r="DP20" i="6"/>
  <c r="DP33" i="6" s="1"/>
  <c r="BN20" i="6"/>
  <c r="BN33" i="6" s="1"/>
  <c r="B4" i="5"/>
  <c r="D17" i="7" l="1"/>
  <c r="D47" i="5"/>
  <c r="D48" i="5"/>
  <c r="D49" i="5"/>
  <c r="BB17" i="7" l="1"/>
  <c r="BB23" i="7" s="1"/>
  <c r="BH17" i="7"/>
  <c r="BH23" i="7" s="1"/>
  <c r="BP17" i="7"/>
  <c r="BP23" i="7" s="1"/>
  <c r="AE17" i="7"/>
  <c r="AE23" i="7" s="1"/>
  <c r="P17" i="7"/>
  <c r="P23" i="7" s="1"/>
  <c r="BW17" i="7"/>
  <c r="BW23" i="7" s="1"/>
  <c r="Y17" i="7"/>
  <c r="Y23" i="7" s="1"/>
  <c r="AT17" i="7"/>
  <c r="AT23" i="7" s="1"/>
  <c r="BS17" i="7"/>
  <c r="BS23" i="7" s="1"/>
  <c r="AQ17" i="7"/>
  <c r="AQ23" i="7" s="1"/>
  <c r="BI17" i="7"/>
  <c r="BI23" i="7" s="1"/>
  <c r="BU17" i="7"/>
  <c r="BU23" i="7" s="1"/>
  <c r="H17" i="7"/>
  <c r="H23" i="7" s="1"/>
  <c r="CE17" i="7"/>
  <c r="CE23" i="7" s="1"/>
  <c r="F17" i="7"/>
  <c r="F23" i="7" s="1"/>
  <c r="AN17" i="7"/>
  <c r="AN23" i="7" s="1"/>
  <c r="Q17" i="7"/>
  <c r="Q23" i="7" s="1"/>
  <c r="AY17" i="7"/>
  <c r="AY23" i="7" s="1"/>
  <c r="AR17" i="7"/>
  <c r="AR23" i="7" s="1"/>
  <c r="AC17" i="7"/>
  <c r="AC23" i="7" s="1"/>
  <c r="BX17" i="7"/>
  <c r="BX23" i="7" s="1"/>
  <c r="AK17" i="7"/>
  <c r="AK23" i="7" s="1"/>
  <c r="T17" i="7"/>
  <c r="T23" i="7" s="1"/>
  <c r="AM17" i="7"/>
  <c r="AM23" i="7" s="1"/>
  <c r="BM17" i="7"/>
  <c r="BM23" i="7" s="1"/>
  <c r="K17" i="7"/>
  <c r="K23" i="7" s="1"/>
  <c r="BD17" i="7"/>
  <c r="BD23" i="7" s="1"/>
  <c r="BJ17" i="7"/>
  <c r="BJ23" i="7" s="1"/>
  <c r="G17" i="7"/>
  <c r="G23" i="7" s="1"/>
  <c r="BO17" i="7"/>
  <c r="BO23" i="7" s="1"/>
  <c r="BQ17" i="7"/>
  <c r="BQ23" i="7" s="1"/>
  <c r="J17" i="7"/>
  <c r="J23" i="7" s="1"/>
  <c r="BT17" i="7"/>
  <c r="BT23" i="7" s="1"/>
  <c r="AF17" i="7"/>
  <c r="AF23" i="7" s="1"/>
  <c r="CG17" i="7"/>
  <c r="CG23" i="7" s="1"/>
  <c r="AJ17" i="7"/>
  <c r="AJ23" i="7" s="1"/>
  <c r="O17" i="7"/>
  <c r="O23" i="7" s="1"/>
  <c r="BG17" i="7"/>
  <c r="BG23" i="7" s="1"/>
  <c r="R17" i="7"/>
  <c r="R23" i="7" s="1"/>
  <c r="Z17" i="7"/>
  <c r="Z23" i="7" s="1"/>
  <c r="I17" i="7"/>
  <c r="I23" i="7" s="1"/>
  <c r="AZ17" i="7"/>
  <c r="AZ23" i="7" s="1"/>
  <c r="M17" i="7"/>
  <c r="M23" i="7" s="1"/>
  <c r="AS17" i="7"/>
  <c r="AS23" i="7" s="1"/>
  <c r="AV17" i="7"/>
  <c r="AV23" i="7" s="1"/>
  <c r="BE17" i="7"/>
  <c r="BE23" i="7" s="1"/>
  <c r="E17" i="7"/>
  <c r="E23" i="7" s="1"/>
  <c r="S17" i="7"/>
  <c r="S23" i="7" s="1"/>
  <c r="V17" i="7"/>
  <c r="V23" i="7" s="1"/>
  <c r="CF17" i="7"/>
  <c r="CF23" i="7" s="1"/>
  <c r="AP17" i="7"/>
  <c r="AP23" i="7" s="1"/>
  <c r="U17" i="7"/>
  <c r="U23" i="7" s="1"/>
  <c r="CI17" i="7"/>
  <c r="CI23" i="7" s="1"/>
  <c r="AB17" i="7"/>
  <c r="AB23" i="7" s="1"/>
  <c r="AX17" i="7"/>
  <c r="AX23" i="7" s="1"/>
  <c r="CH17" i="7"/>
  <c r="CH23" i="7" s="1"/>
  <c r="AU17" i="7"/>
  <c r="AU23" i="7" s="1"/>
  <c r="N17" i="7"/>
  <c r="N23" i="7" s="1"/>
  <c r="BV17" i="7"/>
  <c r="BV23" i="7" s="1"/>
  <c r="AO17" i="7"/>
  <c r="AO23" i="7" s="1"/>
  <c r="BC17" i="7"/>
  <c r="BC23" i="7" s="1"/>
  <c r="AI17" i="7"/>
  <c r="AI23" i="7" s="1"/>
  <c r="BR17" i="7"/>
  <c r="BR23" i="7" s="1"/>
  <c r="L17" i="7"/>
  <c r="L23" i="7" s="1"/>
  <c r="AL17" i="7"/>
  <c r="AL23" i="7" s="1"/>
  <c r="AD17" i="7"/>
  <c r="AD23" i="7" s="1"/>
  <c r="AA17" i="7"/>
  <c r="AA23" i="7" s="1"/>
  <c r="BN17" i="7"/>
  <c r="BN23" i="7" s="1"/>
  <c r="BF17" i="7"/>
  <c r="BF23" i="7" s="1"/>
  <c r="AW17" i="7"/>
  <c r="AW23" i="7" s="1"/>
  <c r="BA17" i="7"/>
  <c r="BA23" i="7" s="1"/>
  <c r="D23" i="7"/>
  <c r="D52" i="5"/>
  <c r="D51" i="5"/>
  <c r="D50" i="5"/>
  <c r="AW27" i="7" l="1"/>
  <c r="AW26" i="7"/>
  <c r="AD27" i="7"/>
  <c r="AD26" i="7"/>
  <c r="AI26" i="7"/>
  <c r="AI27" i="7"/>
  <c r="N27" i="7"/>
  <c r="N26" i="7"/>
  <c r="AB27" i="7"/>
  <c r="AB26" i="7"/>
  <c r="CF27" i="7"/>
  <c r="CF26" i="7"/>
  <c r="BE27" i="7"/>
  <c r="BE26" i="7"/>
  <c r="AZ27" i="7"/>
  <c r="AZ26" i="7"/>
  <c r="BG27" i="7"/>
  <c r="BG26" i="7"/>
  <c r="AF26" i="7"/>
  <c r="AF27" i="7"/>
  <c r="BO27" i="7"/>
  <c r="BO26" i="7"/>
  <c r="K26" i="7"/>
  <c r="K27" i="7"/>
  <c r="AK26" i="7"/>
  <c r="AK27" i="7"/>
  <c r="AY27" i="7"/>
  <c r="AY26" i="7"/>
  <c r="CE26" i="7"/>
  <c r="CE27" i="7"/>
  <c r="AQ26" i="7"/>
  <c r="AQ27" i="7"/>
  <c r="BW26" i="7"/>
  <c r="BW27" i="7"/>
  <c r="BH26" i="7"/>
  <c r="BH27" i="7"/>
  <c r="BF26" i="7"/>
  <c r="BF27" i="7"/>
  <c r="AL26" i="7"/>
  <c r="AL27" i="7"/>
  <c r="BC26" i="7"/>
  <c r="BC27" i="7"/>
  <c r="AU27" i="7"/>
  <c r="AU26" i="7"/>
  <c r="CI26" i="7"/>
  <c r="CI27" i="7"/>
  <c r="V26" i="7"/>
  <c r="V27" i="7"/>
  <c r="V29" i="7" s="1"/>
  <c r="AV27" i="7"/>
  <c r="AV26" i="7"/>
  <c r="I27" i="7"/>
  <c r="I26" i="7"/>
  <c r="O26" i="7"/>
  <c r="O27" i="7"/>
  <c r="BT27" i="7"/>
  <c r="BT26" i="7"/>
  <c r="G26" i="7"/>
  <c r="G27" i="7"/>
  <c r="BM27" i="7"/>
  <c r="BM26" i="7"/>
  <c r="BX26" i="7"/>
  <c r="BX27" i="7"/>
  <c r="Q26" i="7"/>
  <c r="Q27" i="7"/>
  <c r="H27" i="7"/>
  <c r="H26" i="7"/>
  <c r="BS26" i="7"/>
  <c r="BS27" i="7"/>
  <c r="P26" i="7"/>
  <c r="P27" i="7"/>
  <c r="BB26" i="7"/>
  <c r="BB27" i="7"/>
  <c r="D27" i="7"/>
  <c r="D26" i="7"/>
  <c r="BN26" i="7"/>
  <c r="BN27" i="7"/>
  <c r="L26" i="7"/>
  <c r="L27" i="7"/>
  <c r="AO26" i="7"/>
  <c r="AO27" i="7"/>
  <c r="CH27" i="7"/>
  <c r="CH26" i="7"/>
  <c r="U26" i="7"/>
  <c r="U27" i="7"/>
  <c r="S26" i="7"/>
  <c r="S27" i="7"/>
  <c r="AS27" i="7"/>
  <c r="AS26" i="7"/>
  <c r="Z27" i="7"/>
  <c r="Z26" i="7"/>
  <c r="AJ26" i="7"/>
  <c r="AJ27" i="7"/>
  <c r="J26" i="7"/>
  <c r="J27" i="7"/>
  <c r="BJ26" i="7"/>
  <c r="BJ27" i="7"/>
  <c r="AM27" i="7"/>
  <c r="AM26" i="7"/>
  <c r="AC26" i="7"/>
  <c r="AC27" i="7"/>
  <c r="AN27" i="7"/>
  <c r="AN26" i="7"/>
  <c r="BU26" i="7"/>
  <c r="BU27" i="7"/>
  <c r="AT27" i="7"/>
  <c r="AT26" i="7"/>
  <c r="AE26" i="7"/>
  <c r="AE27" i="7"/>
  <c r="BA27" i="7"/>
  <c r="BA26" i="7"/>
  <c r="AA26" i="7"/>
  <c r="AA27" i="7"/>
  <c r="BR26" i="7"/>
  <c r="BR27" i="7"/>
  <c r="BV26" i="7"/>
  <c r="BV27" i="7"/>
  <c r="AX27" i="7"/>
  <c r="AX26" i="7"/>
  <c r="AP27" i="7"/>
  <c r="AP26" i="7"/>
  <c r="E26" i="7"/>
  <c r="E27" i="7"/>
  <c r="M26" i="7"/>
  <c r="M27" i="7"/>
  <c r="R26" i="7"/>
  <c r="R27" i="7"/>
  <c r="CG27" i="7"/>
  <c r="CG26" i="7"/>
  <c r="BQ26" i="7"/>
  <c r="BQ27" i="7"/>
  <c r="BD27" i="7"/>
  <c r="BD26" i="7"/>
  <c r="T26" i="7"/>
  <c r="T27" i="7"/>
  <c r="AR26" i="7"/>
  <c r="AR27" i="7"/>
  <c r="F26" i="7"/>
  <c r="F27" i="7"/>
  <c r="BI27" i="7"/>
  <c r="BI26" i="7"/>
  <c r="Y26" i="7"/>
  <c r="Y27" i="7"/>
  <c r="BP26" i="7"/>
  <c r="BP27" i="7"/>
  <c r="AO31" i="7" l="1"/>
  <c r="AO42" i="7" s="1"/>
  <c r="H33" i="1" s="1"/>
  <c r="BC31" i="7"/>
  <c r="BC42" i="7" s="1"/>
  <c r="H37" i="1" s="1"/>
  <c r="CE31" i="7"/>
  <c r="CE42" i="7" s="1"/>
  <c r="H36" i="1" s="1"/>
  <c r="AI31" i="7"/>
  <c r="AI42" i="7" s="1"/>
  <c r="H32" i="1" s="1"/>
  <c r="BS31" i="7"/>
  <c r="BS42" i="7" s="1"/>
  <c r="H41" i="1" s="1"/>
  <c r="AF29" i="7"/>
  <c r="Y31" i="7" s="1"/>
  <c r="Y42" i="7" s="1"/>
  <c r="H31" i="1" s="1"/>
  <c r="BG31" i="7"/>
  <c r="BG42" i="7" s="1"/>
  <c r="H38" i="1" s="1"/>
  <c r="BP31" i="7"/>
  <c r="BP42" i="7" s="1"/>
  <c r="H40" i="1" s="1"/>
  <c r="AT31" i="7"/>
  <c r="AT42" i="7" s="1"/>
  <c r="H34" i="1" s="1"/>
  <c r="C27" i="7"/>
  <c r="D31" i="7"/>
  <c r="BM31" i="7"/>
  <c r="BM42" i="7" s="1"/>
  <c r="H39" i="1" s="1"/>
  <c r="AY31" i="7"/>
  <c r="AY42" i="7" s="1"/>
  <c r="H35" i="1" s="1"/>
  <c r="C29" i="7" l="1"/>
  <c r="D42" i="7"/>
  <c r="H30" i="1" s="1"/>
  <c r="C31" i="7"/>
  <c r="D11" i="29" l="1"/>
  <c r="E13" i="29"/>
  <c r="E15" i="29"/>
  <c r="F14" i="29"/>
  <c r="D13" i="29"/>
  <c r="F15" i="29"/>
  <c r="F11" i="29"/>
  <c r="F13" i="29"/>
  <c r="E11" i="29"/>
  <c r="E14" i="29"/>
  <c r="D15" i="29"/>
  <c r="D14" i="29"/>
  <c r="C19" i="23"/>
  <c r="C18" i="23" l="1"/>
  <c r="C20" i="23" l="1"/>
  <c r="C13" i="23" l="1"/>
  <c r="C10" i="23"/>
  <c r="C16" i="23"/>
  <c r="C21" i="23" l="1"/>
  <c r="E12" i="29" l="1"/>
  <c r="F12" i="29"/>
  <c r="C25" i="23"/>
  <c r="C29" i="23"/>
  <c r="C27" i="23"/>
  <c r="D12" i="29" l="1"/>
  <c r="E13" i="23"/>
  <c r="E10" i="23"/>
  <c r="G10" i="23"/>
  <c r="G13" i="23"/>
  <c r="C24" i="23"/>
  <c r="E10" i="29" l="1"/>
  <c r="D10" i="29"/>
  <c r="F10" i="29"/>
  <c r="G24" i="23"/>
  <c r="E24" i="23"/>
  <c r="E16" i="29" l="1"/>
  <c r="D16" i="29"/>
  <c r="F16" i="29"/>
  <c r="E25" i="23"/>
  <c r="E27" i="23"/>
  <c r="E29" i="23"/>
  <c r="G27" i="23"/>
  <c r="G29" i="23"/>
  <c r="G25" i="23"/>
  <c r="D22" i="6" l="1"/>
  <c r="D21" i="6"/>
  <c r="BZ21" i="6" l="1"/>
  <c r="BZ62" i="6" s="1"/>
  <c r="BY21" i="6"/>
  <c r="BY62" i="6" s="1"/>
  <c r="BX21" i="6"/>
  <c r="BX62" i="6" s="1"/>
  <c r="BW21" i="6"/>
  <c r="BW62" i="6" s="1"/>
  <c r="N21" i="6"/>
  <c r="D62" i="6"/>
  <c r="CH21" i="6"/>
  <c r="CH62" i="6" s="1"/>
  <c r="CH61" i="6" s="1"/>
  <c r="CH34" i="6" s="1"/>
  <c r="CH36" i="6" s="1"/>
  <c r="AV21" i="6"/>
  <c r="AV62" i="6" s="1"/>
  <c r="BA21" i="6"/>
  <c r="BA62" i="6" s="1"/>
  <c r="BA61" i="6" s="1"/>
  <c r="BA34" i="6" s="1"/>
  <c r="BA36" i="6" s="1"/>
  <c r="BE21" i="6"/>
  <c r="BE62" i="6" s="1"/>
  <c r="DK21" i="6"/>
  <c r="DK62" i="6" s="1"/>
  <c r="CL21" i="6"/>
  <c r="CL62" i="6" s="1"/>
  <c r="CF21" i="6"/>
  <c r="CF62" i="6" s="1"/>
  <c r="CF61" i="6" s="1"/>
  <c r="CF34" i="6" s="1"/>
  <c r="CF36" i="6" s="1"/>
  <c r="AI21" i="6"/>
  <c r="AI62" i="6" s="1"/>
  <c r="R21" i="6"/>
  <c r="R62" i="6" s="1"/>
  <c r="O21" i="6"/>
  <c r="O62" i="6" s="1"/>
  <c r="DL21" i="6"/>
  <c r="DL62" i="6" s="1"/>
  <c r="DT21" i="6"/>
  <c r="DT62" i="6" s="1"/>
  <c r="CY21" i="6"/>
  <c r="CY62" i="6" s="1"/>
  <c r="CY61" i="6" s="1"/>
  <c r="CY34" i="6" s="1"/>
  <c r="CY36" i="6" s="1"/>
  <c r="DE21" i="6"/>
  <c r="DE62" i="6" s="1"/>
  <c r="CU21" i="6"/>
  <c r="CU62" i="6" s="1"/>
  <c r="CT21" i="6"/>
  <c r="CT62" i="6" s="1"/>
  <c r="BN21" i="6"/>
  <c r="BN62" i="6" s="1"/>
  <c r="BN61" i="6" s="1"/>
  <c r="BN34" i="6" s="1"/>
  <c r="BN36" i="6" s="1"/>
  <c r="CB21" i="6"/>
  <c r="CB62" i="6" s="1"/>
  <c r="AK21" i="6"/>
  <c r="AK62" i="6" s="1"/>
  <c r="P21" i="6"/>
  <c r="P62" i="6" s="1"/>
  <c r="DM21" i="6"/>
  <c r="DM62" i="6" s="1"/>
  <c r="DD21" i="6"/>
  <c r="DD62" i="6" s="1"/>
  <c r="U21" i="6"/>
  <c r="U62" i="6" s="1"/>
  <c r="AZ21" i="6"/>
  <c r="AZ62" i="6" s="1"/>
  <c r="DH21" i="6"/>
  <c r="DH62" i="6" s="1"/>
  <c r="DN21" i="6"/>
  <c r="DN62" i="6" s="1"/>
  <c r="CK21" i="6"/>
  <c r="CK62" i="6" s="1"/>
  <c r="S21" i="6"/>
  <c r="S62" i="6" s="1"/>
  <c r="DO21" i="6"/>
  <c r="DO62" i="6" s="1"/>
  <c r="DJ21" i="6"/>
  <c r="DJ62" i="6" s="1"/>
  <c r="DB21" i="6"/>
  <c r="DB62" i="6" s="1"/>
  <c r="CV21" i="6"/>
  <c r="CV62" i="6" s="1"/>
  <c r="CG21" i="6"/>
  <c r="CG62" i="6" s="1"/>
  <c r="CG61" i="6" s="1"/>
  <c r="CG34" i="6" s="1"/>
  <c r="CG36" i="6" s="1"/>
  <c r="AW21" i="6"/>
  <c r="AW62" i="6" s="1"/>
  <c r="BM21" i="6"/>
  <c r="BM62" i="6" s="1"/>
  <c r="AU21" i="6"/>
  <c r="AU62" i="6" s="1"/>
  <c r="DS21" i="6"/>
  <c r="DS62" i="6" s="1"/>
  <c r="AL21" i="6"/>
  <c r="AL62" i="6" s="1"/>
  <c r="I21" i="6"/>
  <c r="I62" i="6" s="1"/>
  <c r="H21" i="6"/>
  <c r="H62" i="6" s="1"/>
  <c r="Q21" i="6"/>
  <c r="Q62" i="6" s="1"/>
  <c r="DR21" i="6"/>
  <c r="DR62" i="6" s="1"/>
  <c r="DP21" i="6"/>
  <c r="DP62" i="6" s="1"/>
  <c r="DF21" i="6"/>
  <c r="DF62" i="6" s="1"/>
  <c r="DC21" i="6"/>
  <c r="DC62" i="6" s="1"/>
  <c r="CZ21" i="6"/>
  <c r="CZ62" i="6" s="1"/>
  <c r="CS21" i="6"/>
  <c r="CS62" i="6" s="1"/>
  <c r="CE21" i="6"/>
  <c r="CE62" i="6" s="1"/>
  <c r="BB21" i="6"/>
  <c r="BB62" i="6" s="1"/>
  <c r="BG21" i="6"/>
  <c r="BG62" i="6" s="1"/>
  <c r="AX21" i="6"/>
  <c r="AX62" i="6" s="1"/>
  <c r="CJ21" i="6"/>
  <c r="CJ62" i="6" s="1"/>
  <c r="T21" i="6"/>
  <c r="T62" i="6" s="1"/>
  <c r="DQ21" i="6"/>
  <c r="DQ62" i="6" s="1"/>
  <c r="DA21" i="6"/>
  <c r="DA62" i="6" s="1"/>
  <c r="CX21" i="6"/>
  <c r="CX62" i="6" s="1"/>
  <c r="DI21" i="6"/>
  <c r="DI62" i="6" s="1"/>
  <c r="CI21" i="6"/>
  <c r="CI62" i="6" s="1"/>
  <c r="CD21" i="6"/>
  <c r="CD62" i="6" s="1"/>
  <c r="AT21" i="6"/>
  <c r="AT62" i="6" s="1"/>
  <c r="AJ21" i="6"/>
  <c r="AJ62" i="6" s="1"/>
  <c r="M21" i="6"/>
  <c r="M62" i="6" s="1"/>
  <c r="DG21" i="6"/>
  <c r="DG62" i="6" s="1"/>
  <c r="CW21" i="6"/>
  <c r="CW62" i="6" s="1"/>
  <c r="BU21" i="6"/>
  <c r="BU62" i="6" s="1"/>
  <c r="BJ21" i="6"/>
  <c r="BJ62" i="6" s="1"/>
  <c r="F21" i="6"/>
  <c r="F62" i="6" s="1"/>
  <c r="BR21" i="6"/>
  <c r="BR62" i="6" s="1"/>
  <c r="V21" i="6"/>
  <c r="V62" i="6" s="1"/>
  <c r="AC21" i="6"/>
  <c r="AC62" i="6" s="1"/>
  <c r="BT21" i="6"/>
  <c r="BT62" i="6" s="1"/>
  <c r="BQ21" i="6"/>
  <c r="BQ62" i="6" s="1"/>
  <c r="J21" i="6"/>
  <c r="J62" i="6" s="1"/>
  <c r="CQ21" i="6"/>
  <c r="CQ62" i="6" s="1"/>
  <c r="BP21" i="6"/>
  <c r="BP62" i="6" s="1"/>
  <c r="BP61" i="6" s="1"/>
  <c r="BP34" i="6" s="1"/>
  <c r="BP36" i="6" s="1"/>
  <c r="BD21" i="6"/>
  <c r="BD62" i="6" s="1"/>
  <c r="AD21" i="6"/>
  <c r="AD62" i="6" s="1"/>
  <c r="AA21" i="6"/>
  <c r="AA62" i="6" s="1"/>
  <c r="BL21" i="6"/>
  <c r="BL62" i="6" s="1"/>
  <c r="Z21" i="6"/>
  <c r="Z62" i="6" s="1"/>
  <c r="G21" i="6"/>
  <c r="G62" i="6" s="1"/>
  <c r="AB21" i="6"/>
  <c r="AB62" i="6" s="1"/>
  <c r="BK21" i="6"/>
  <c r="BK62" i="6" s="1"/>
  <c r="W21" i="6"/>
  <c r="W62" i="6" s="1"/>
  <c r="BS21" i="6"/>
  <c r="BS62" i="6" s="1"/>
  <c r="AO21" i="6"/>
  <c r="AO62" i="6" s="1"/>
  <c r="CP21" i="6"/>
  <c r="CP62" i="6" s="1"/>
  <c r="CM21" i="6"/>
  <c r="CM62" i="6" s="1"/>
  <c r="BC21" i="6"/>
  <c r="BC62" i="6" s="1"/>
  <c r="AN21" i="6"/>
  <c r="AN62" i="6" s="1"/>
  <c r="AM21" i="6"/>
  <c r="AM62" i="6" s="1"/>
  <c r="X21" i="6"/>
  <c r="X62" i="6" s="1"/>
  <c r="BH21" i="6"/>
  <c r="BH62" i="6" s="1"/>
  <c r="Y21" i="6"/>
  <c r="Y62" i="6" s="1"/>
  <c r="E21" i="6"/>
  <c r="E62" i="6" s="1"/>
  <c r="AR21" i="6"/>
  <c r="AR62" i="6" s="1"/>
  <c r="BI21" i="6"/>
  <c r="BI62" i="6" s="1"/>
  <c r="CO21" i="6"/>
  <c r="CO62" i="6" s="1"/>
  <c r="CN21" i="6"/>
  <c r="CN62" i="6" s="1"/>
  <c r="BF21" i="6"/>
  <c r="BF62" i="6" s="1"/>
  <c r="AH21" i="6"/>
  <c r="AH62" i="6" s="1"/>
  <c r="AG21" i="6"/>
  <c r="AG62" i="6" s="1"/>
  <c r="L21" i="6"/>
  <c r="L62" i="6" s="1"/>
  <c r="BV21" i="6"/>
  <c r="BV62" i="6" s="1"/>
  <c r="AQ21" i="6"/>
  <c r="AQ62" i="6" s="1"/>
  <c r="AS21" i="6"/>
  <c r="AS62" i="6" s="1"/>
  <c r="CR21" i="6"/>
  <c r="CR62" i="6" s="1"/>
  <c r="CC21" i="6"/>
  <c r="CC62" i="6" s="1"/>
  <c r="AY21" i="6"/>
  <c r="AY62" i="6" s="1"/>
  <c r="AF21" i="6"/>
  <c r="AF62" i="6" s="1"/>
  <c r="AE21" i="6"/>
  <c r="AE62" i="6" s="1"/>
  <c r="AP21" i="6"/>
  <c r="AP62" i="6" s="1"/>
  <c r="CA21" i="6"/>
  <c r="CA62" i="6" s="1"/>
  <c r="K21" i="6"/>
  <c r="K62" i="6" s="1"/>
  <c r="BO21" i="6"/>
  <c r="BO62" i="6" s="1"/>
  <c r="BX22" i="6"/>
  <c r="BX63" i="6" s="1"/>
  <c r="N22" i="6"/>
  <c r="DN22" i="6"/>
  <c r="DN63" i="6" s="1"/>
  <c r="DF22" i="6"/>
  <c r="DF63" i="6" s="1"/>
  <c r="CX22" i="6"/>
  <c r="CX63" i="6" s="1"/>
  <c r="CP22" i="6"/>
  <c r="CP63" i="6" s="1"/>
  <c r="CH22" i="6"/>
  <c r="CH63" i="6" s="1"/>
  <c r="BV22" i="6"/>
  <c r="BV63" i="6" s="1"/>
  <c r="BV61" i="6" s="1"/>
  <c r="BV34" i="6" s="1"/>
  <c r="BV36" i="6" s="1"/>
  <c r="BN22" i="6"/>
  <c r="BN63" i="6" s="1"/>
  <c r="BF22" i="6"/>
  <c r="BF63" i="6" s="1"/>
  <c r="AX22" i="6"/>
  <c r="AX63" i="6" s="1"/>
  <c r="AP22" i="6"/>
  <c r="AP63" i="6" s="1"/>
  <c r="AP61" i="6" s="1"/>
  <c r="AP34" i="6" s="1"/>
  <c r="AP36" i="6" s="1"/>
  <c r="AH22" i="6"/>
  <c r="AH63" i="6" s="1"/>
  <c r="Z22" i="6"/>
  <c r="Z63" i="6" s="1"/>
  <c r="Z61" i="6" s="1"/>
  <c r="Z34" i="6" s="1"/>
  <c r="Z36" i="6" s="1"/>
  <c r="R22" i="6"/>
  <c r="R63" i="6" s="1"/>
  <c r="I22" i="6"/>
  <c r="I63" i="6" s="1"/>
  <c r="I61" i="6" s="1"/>
  <c r="I34" i="6" s="1"/>
  <c r="I36" i="6" s="1"/>
  <c r="DQ22" i="6"/>
  <c r="DQ63" i="6" s="1"/>
  <c r="DI22" i="6"/>
  <c r="DI63" i="6" s="1"/>
  <c r="DA22" i="6"/>
  <c r="DA63" i="6" s="1"/>
  <c r="CS22" i="6"/>
  <c r="CS63" i="6" s="1"/>
  <c r="CK22" i="6"/>
  <c r="CK63" i="6" s="1"/>
  <c r="CC22" i="6"/>
  <c r="CC63" i="6" s="1"/>
  <c r="BQ22" i="6"/>
  <c r="BQ63" i="6" s="1"/>
  <c r="BI22" i="6"/>
  <c r="BI63" i="6" s="1"/>
  <c r="BA22" i="6"/>
  <c r="BA63" i="6" s="1"/>
  <c r="AS22" i="6"/>
  <c r="AS63" i="6" s="1"/>
  <c r="AK22" i="6"/>
  <c r="AK63" i="6" s="1"/>
  <c r="AC22" i="6"/>
  <c r="AC63" i="6" s="1"/>
  <c r="U22" i="6"/>
  <c r="U63" i="6" s="1"/>
  <c r="L22" i="6"/>
  <c r="L63" i="6" s="1"/>
  <c r="L61" i="6" s="1"/>
  <c r="L34" i="6" s="1"/>
  <c r="L36" i="6" s="1"/>
  <c r="BW22" i="6"/>
  <c r="BW63" i="6" s="1"/>
  <c r="BW61" i="6" s="1"/>
  <c r="BW34" i="6" s="1"/>
  <c r="BW36" i="6" s="1"/>
  <c r="DT22" i="6"/>
  <c r="DT63" i="6" s="1"/>
  <c r="DL22" i="6"/>
  <c r="DL63" i="6" s="1"/>
  <c r="DD22" i="6"/>
  <c r="DD63" i="6" s="1"/>
  <c r="CV22" i="6"/>
  <c r="CV63" i="6" s="1"/>
  <c r="CN22" i="6"/>
  <c r="CN63" i="6" s="1"/>
  <c r="CF22" i="6"/>
  <c r="CF63" i="6" s="1"/>
  <c r="BT22" i="6"/>
  <c r="BT63" i="6" s="1"/>
  <c r="BT61" i="6" s="1"/>
  <c r="BT34" i="6" s="1"/>
  <c r="BT36" i="6" s="1"/>
  <c r="BL22" i="6"/>
  <c r="BL63" i="6" s="1"/>
  <c r="BD22" i="6"/>
  <c r="BD63" i="6" s="1"/>
  <c r="AV22" i="6"/>
  <c r="AV63" i="6" s="1"/>
  <c r="AN22" i="6"/>
  <c r="AN63" i="6" s="1"/>
  <c r="AN61" i="6" s="1"/>
  <c r="AN34" i="6" s="1"/>
  <c r="AN36" i="6" s="1"/>
  <c r="AF22" i="6"/>
  <c r="AF63" i="6" s="1"/>
  <c r="AF61" i="6" s="1"/>
  <c r="AF34" i="6" s="1"/>
  <c r="AF36" i="6" s="1"/>
  <c r="X22" i="6"/>
  <c r="X63" i="6" s="1"/>
  <c r="X61" i="6" s="1"/>
  <c r="X34" i="6" s="1"/>
  <c r="X36" i="6" s="1"/>
  <c r="P22" i="6"/>
  <c r="P63" i="6" s="1"/>
  <c r="P61" i="6" s="1"/>
  <c r="P34" i="6" s="1"/>
  <c r="P36" i="6" s="1"/>
  <c r="G22" i="6"/>
  <c r="G63" i="6" s="1"/>
  <c r="DO22" i="6"/>
  <c r="DO63" i="6" s="1"/>
  <c r="DG22" i="6"/>
  <c r="DG63" i="6" s="1"/>
  <c r="CY22" i="6"/>
  <c r="CY63" i="6" s="1"/>
  <c r="CQ22" i="6"/>
  <c r="CQ63" i="6" s="1"/>
  <c r="CI22" i="6"/>
  <c r="CI63" i="6" s="1"/>
  <c r="CA22" i="6"/>
  <c r="CA63" i="6" s="1"/>
  <c r="BO22" i="6"/>
  <c r="BO63" i="6" s="1"/>
  <c r="BG22" i="6"/>
  <c r="BG63" i="6" s="1"/>
  <c r="AY22" i="6"/>
  <c r="AY63" i="6" s="1"/>
  <c r="AQ22" i="6"/>
  <c r="AQ63" i="6" s="1"/>
  <c r="AI22" i="6"/>
  <c r="AI63" i="6" s="1"/>
  <c r="AI61" i="6" s="1"/>
  <c r="AI34" i="6" s="1"/>
  <c r="AI36" i="6" s="1"/>
  <c r="AA22" i="6"/>
  <c r="AA63" i="6" s="1"/>
  <c r="S22" i="6"/>
  <c r="S63" i="6" s="1"/>
  <c r="S61" i="6" s="1"/>
  <c r="S34" i="6" s="1"/>
  <c r="S36" i="6" s="1"/>
  <c r="J22" i="6"/>
  <c r="J63" i="6" s="1"/>
  <c r="J61" i="6" s="1"/>
  <c r="J34" i="6" s="1"/>
  <c r="J36" i="6" s="1"/>
  <c r="AE22" i="6"/>
  <c r="AE63" i="6" s="1"/>
  <c r="BZ22" i="6"/>
  <c r="BZ63" i="6" s="1"/>
  <c r="DR22" i="6"/>
  <c r="DR63" i="6" s="1"/>
  <c r="DJ22" i="6"/>
  <c r="DJ63" i="6" s="1"/>
  <c r="DB22" i="6"/>
  <c r="DB63" i="6" s="1"/>
  <c r="CT22" i="6"/>
  <c r="CT63" i="6" s="1"/>
  <c r="CL22" i="6"/>
  <c r="CL63" i="6" s="1"/>
  <c r="CD22" i="6"/>
  <c r="CD63" i="6" s="1"/>
  <c r="BR22" i="6"/>
  <c r="BR63" i="6" s="1"/>
  <c r="BJ22" i="6"/>
  <c r="BJ63" i="6" s="1"/>
  <c r="BB22" i="6"/>
  <c r="BB63" i="6" s="1"/>
  <c r="AT22" i="6"/>
  <c r="AT63" i="6" s="1"/>
  <c r="AL22" i="6"/>
  <c r="AL63" i="6" s="1"/>
  <c r="AL61" i="6" s="1"/>
  <c r="AL34" i="6" s="1"/>
  <c r="AL36" i="6" s="1"/>
  <c r="AD22" i="6"/>
  <c r="AD63" i="6" s="1"/>
  <c r="V22" i="6"/>
  <c r="V63" i="6" s="1"/>
  <c r="M22" i="6"/>
  <c r="M63" i="6" s="1"/>
  <c r="M61" i="6" s="1"/>
  <c r="M34" i="6" s="1"/>
  <c r="M36" i="6" s="1"/>
  <c r="E22" i="6"/>
  <c r="E63" i="6" s="1"/>
  <c r="DM22" i="6"/>
  <c r="DM63" i="6" s="1"/>
  <c r="DE22" i="6"/>
  <c r="DE63" i="6" s="1"/>
  <c r="CW22" i="6"/>
  <c r="CW63" i="6" s="1"/>
  <c r="CO22" i="6"/>
  <c r="CO63" i="6" s="1"/>
  <c r="CG22" i="6"/>
  <c r="CG63" i="6" s="1"/>
  <c r="BU22" i="6"/>
  <c r="BU63" i="6" s="1"/>
  <c r="BM22" i="6"/>
  <c r="BM63" i="6" s="1"/>
  <c r="BE22" i="6"/>
  <c r="BE63" i="6" s="1"/>
  <c r="AW22" i="6"/>
  <c r="AW63" i="6" s="1"/>
  <c r="AO22" i="6"/>
  <c r="AO63" i="6" s="1"/>
  <c r="AO61" i="6" s="1"/>
  <c r="AO34" i="6" s="1"/>
  <c r="AO36" i="6" s="1"/>
  <c r="AG22" i="6"/>
  <c r="AG63" i="6" s="1"/>
  <c r="Y22" i="6"/>
  <c r="Y63" i="6" s="1"/>
  <c r="Q22" i="6"/>
  <c r="Q63" i="6" s="1"/>
  <c r="H22" i="6"/>
  <c r="H63" i="6" s="1"/>
  <c r="H61" i="6" s="1"/>
  <c r="H34" i="6" s="1"/>
  <c r="H36" i="6" s="1"/>
  <c r="BY22" i="6"/>
  <c r="BY63" i="6" s="1"/>
  <c r="BY61" i="6" s="1"/>
  <c r="BY34" i="6" s="1"/>
  <c r="BY36" i="6" s="1"/>
  <c r="DP22" i="6"/>
  <c r="DP63" i="6" s="1"/>
  <c r="DH22" i="6"/>
  <c r="DH63" i="6" s="1"/>
  <c r="CZ22" i="6"/>
  <c r="CZ63" i="6" s="1"/>
  <c r="CR22" i="6"/>
  <c r="CR63" i="6" s="1"/>
  <c r="CJ22" i="6"/>
  <c r="CJ63" i="6" s="1"/>
  <c r="CB22" i="6"/>
  <c r="CB63" i="6" s="1"/>
  <c r="BP22" i="6"/>
  <c r="BP63" i="6" s="1"/>
  <c r="BH22" i="6"/>
  <c r="BH63" i="6" s="1"/>
  <c r="AZ22" i="6"/>
  <c r="AZ63" i="6" s="1"/>
  <c r="AR22" i="6"/>
  <c r="AR63" i="6" s="1"/>
  <c r="AR61" i="6" s="1"/>
  <c r="AR34" i="6" s="1"/>
  <c r="AR36" i="6" s="1"/>
  <c r="AR38" i="6" s="1"/>
  <c r="AJ22" i="6"/>
  <c r="AJ63" i="6" s="1"/>
  <c r="AB22" i="6"/>
  <c r="AB63" i="6" s="1"/>
  <c r="AB61" i="6" s="1"/>
  <c r="AB34" i="6" s="1"/>
  <c r="AB36" i="6" s="1"/>
  <c r="T22" i="6"/>
  <c r="T63" i="6" s="1"/>
  <c r="K22" i="6"/>
  <c r="K63" i="6" s="1"/>
  <c r="K61" i="6" s="1"/>
  <c r="K34" i="6" s="1"/>
  <c r="K36" i="6" s="1"/>
  <c r="DS22" i="6"/>
  <c r="DS63" i="6" s="1"/>
  <c r="DK22" i="6"/>
  <c r="DK63" i="6" s="1"/>
  <c r="DC22" i="6"/>
  <c r="DC63" i="6" s="1"/>
  <c r="CU22" i="6"/>
  <c r="CU63" i="6" s="1"/>
  <c r="CM22" i="6"/>
  <c r="CM63" i="6" s="1"/>
  <c r="CE22" i="6"/>
  <c r="CE63" i="6" s="1"/>
  <c r="BS22" i="6"/>
  <c r="BS63" i="6" s="1"/>
  <c r="BK22" i="6"/>
  <c r="BK63" i="6" s="1"/>
  <c r="BK61" i="6" s="1"/>
  <c r="BK34" i="6" s="1"/>
  <c r="BK36" i="6" s="1"/>
  <c r="BC22" i="6"/>
  <c r="BC63" i="6" s="1"/>
  <c r="AU22" i="6"/>
  <c r="AU63" i="6" s="1"/>
  <c r="AM22" i="6"/>
  <c r="AM63" i="6" s="1"/>
  <c r="W22" i="6"/>
  <c r="W63" i="6" s="1"/>
  <c r="W61" i="6" s="1"/>
  <c r="W34" i="6" s="1"/>
  <c r="W36" i="6" s="1"/>
  <c r="O22" i="6"/>
  <c r="O63" i="6" s="1"/>
  <c r="O61" i="6" s="1"/>
  <c r="O34" i="6" s="1"/>
  <c r="O36" i="6" s="1"/>
  <c r="F22" i="6"/>
  <c r="F63" i="6" s="1"/>
  <c r="F61" i="6" s="1"/>
  <c r="F34" i="6" s="1"/>
  <c r="F36" i="6" s="1"/>
  <c r="D63" i="6"/>
  <c r="BJ61" i="6" l="1"/>
  <c r="BJ34" i="6" s="1"/>
  <c r="BJ36" i="6" s="1"/>
  <c r="BH61" i="6"/>
  <c r="BH34" i="6" s="1"/>
  <c r="BH36" i="6" s="1"/>
  <c r="BI61" i="6"/>
  <c r="BI34" i="6" s="1"/>
  <c r="BI36" i="6" s="1"/>
  <c r="AY61" i="6"/>
  <c r="AY34" i="6" s="1"/>
  <c r="AY36" i="6" s="1"/>
  <c r="BC61" i="6"/>
  <c r="BC34" i="6" s="1"/>
  <c r="BC36" i="6" s="1"/>
  <c r="BB61" i="6"/>
  <c r="BB34" i="6" s="1"/>
  <c r="BB36" i="6" s="1"/>
  <c r="CK61" i="6"/>
  <c r="CK34" i="6" s="1"/>
  <c r="CK36" i="6" s="1"/>
  <c r="CA61" i="6"/>
  <c r="CA34" i="6" s="1"/>
  <c r="CA36" i="6" s="1"/>
  <c r="Y61" i="6"/>
  <c r="Y34" i="6" s="1"/>
  <c r="Y36" i="6" s="1"/>
  <c r="AU61" i="6"/>
  <c r="AU34" i="6" s="1"/>
  <c r="AU36" i="6" s="1"/>
  <c r="DI61" i="6"/>
  <c r="DI34" i="6" s="1"/>
  <c r="DI36" i="6" s="1"/>
  <c r="DC61" i="6"/>
  <c r="DC34" i="6" s="1"/>
  <c r="DC36" i="6" s="1"/>
  <c r="DA61" i="6"/>
  <c r="DA34" i="6" s="1"/>
  <c r="DA36" i="6" s="1"/>
  <c r="DB61" i="6"/>
  <c r="DB34" i="6" s="1"/>
  <c r="DB36" i="6" s="1"/>
  <c r="BZ61" i="6"/>
  <c r="BZ34" i="6" s="1"/>
  <c r="BZ36" i="6" s="1"/>
  <c r="AQ61" i="6"/>
  <c r="AQ34" i="6" s="1"/>
  <c r="AQ36" i="6" s="1"/>
  <c r="DS61" i="6"/>
  <c r="DS34" i="6" s="1"/>
  <c r="DS36" i="6" s="1"/>
  <c r="DO61" i="6"/>
  <c r="DO34" i="6" s="1"/>
  <c r="DO36" i="6" s="1"/>
  <c r="DP61" i="6"/>
  <c r="DP34" i="6" s="1"/>
  <c r="DP36" i="6" s="1"/>
  <c r="DL61" i="6"/>
  <c r="DL34" i="6" s="1"/>
  <c r="DL36" i="6" s="1"/>
  <c r="AG61" i="6"/>
  <c r="AG34" i="6" s="1"/>
  <c r="AG36" i="6" s="1"/>
  <c r="AC61" i="6"/>
  <c r="AC34" i="6" s="1"/>
  <c r="AC36" i="6" s="1"/>
  <c r="Q61" i="6"/>
  <c r="Q34" i="6" s="1"/>
  <c r="Q36" i="6" s="1"/>
  <c r="G61" i="6"/>
  <c r="G34" i="6" s="1"/>
  <c r="G36" i="6" s="1"/>
  <c r="D61" i="6"/>
  <c r="C63" i="6"/>
  <c r="AM61" i="6"/>
  <c r="AM34" i="6" s="1"/>
  <c r="AM36" i="6" s="1"/>
  <c r="BS61" i="6"/>
  <c r="BS34" i="6" s="1"/>
  <c r="BS36" i="6" s="1"/>
  <c r="T61" i="6"/>
  <c r="T34" i="6" s="1"/>
  <c r="T36" i="6" s="1"/>
  <c r="E61" i="6"/>
  <c r="E34" i="6" s="1"/>
  <c r="E36" i="6" s="1"/>
  <c r="AE61" i="6"/>
  <c r="AE34" i="6" s="1"/>
  <c r="AE36" i="6" s="1"/>
  <c r="BO61" i="6"/>
  <c r="BO34" i="6" s="1"/>
  <c r="BO36" i="6" s="1"/>
  <c r="U61" i="6"/>
  <c r="U34" i="6" s="1"/>
  <c r="U36" i="6" s="1"/>
  <c r="AH61" i="6"/>
  <c r="AH34" i="6" s="1"/>
  <c r="AH36" i="6" s="1"/>
  <c r="BX61" i="6"/>
  <c r="BX34" i="6" s="1"/>
  <c r="BX36" i="6" s="1"/>
  <c r="AS61" i="6"/>
  <c r="AS34" i="6" s="1"/>
  <c r="AS36" i="6" s="1"/>
  <c r="CO61" i="6"/>
  <c r="CO34" i="6" s="1"/>
  <c r="CO36" i="6" s="1"/>
  <c r="AA61" i="6"/>
  <c r="AA34" i="6" s="1"/>
  <c r="AA36" i="6" s="1"/>
  <c r="CQ61" i="6"/>
  <c r="CQ34" i="6" s="1"/>
  <c r="CQ36" i="6" s="1"/>
  <c r="CI61" i="6"/>
  <c r="CI34" i="6" s="1"/>
  <c r="CI36" i="6" s="1"/>
  <c r="DQ61" i="6"/>
  <c r="DQ34" i="6" s="1"/>
  <c r="DQ36" i="6" s="1"/>
  <c r="BG61" i="6"/>
  <c r="BG34" i="6" s="1"/>
  <c r="BG36" i="6" s="1"/>
  <c r="CZ61" i="6"/>
  <c r="CZ34" i="6" s="1"/>
  <c r="CZ36" i="6" s="1"/>
  <c r="DR61" i="6"/>
  <c r="DR34" i="6" s="1"/>
  <c r="DR36" i="6" s="1"/>
  <c r="AW61" i="6"/>
  <c r="AW34" i="6" s="1"/>
  <c r="AW36" i="6" s="1"/>
  <c r="DJ61" i="6"/>
  <c r="DJ34" i="6" s="1"/>
  <c r="DJ36" i="6" s="1"/>
  <c r="DN61" i="6"/>
  <c r="DN34" i="6" s="1"/>
  <c r="DN36" i="6" s="1"/>
  <c r="DD61" i="6"/>
  <c r="DD34" i="6" s="1"/>
  <c r="DD36" i="6" s="1"/>
  <c r="CB61" i="6"/>
  <c r="CB34" i="6" s="1"/>
  <c r="CB36" i="6" s="1"/>
  <c r="CA38" i="6" s="1"/>
  <c r="DE61" i="6"/>
  <c r="DE34" i="6" s="1"/>
  <c r="DE36" i="6" s="1"/>
  <c r="CL61" i="6"/>
  <c r="CL34" i="6" s="1"/>
  <c r="CL36" i="6" s="1"/>
  <c r="AV61" i="6"/>
  <c r="AV34" i="6" s="1"/>
  <c r="AV36" i="6" s="1"/>
  <c r="DH61" i="6"/>
  <c r="DH34" i="6" s="1"/>
  <c r="DH36" i="6" s="1"/>
  <c r="DM61" i="6"/>
  <c r="DM34" i="6" s="1"/>
  <c r="DM36" i="6" s="1"/>
  <c r="DK61" i="6"/>
  <c r="DK34" i="6" s="1"/>
  <c r="DK36" i="6" s="1"/>
  <c r="AJ61" i="6"/>
  <c r="AJ34" i="6" s="1"/>
  <c r="AJ36" i="6" s="1"/>
  <c r="BU61" i="6"/>
  <c r="BU34" i="6" s="1"/>
  <c r="BU36" i="6" s="1"/>
  <c r="V61" i="6"/>
  <c r="V34" i="6" s="1"/>
  <c r="V36" i="6" s="1"/>
  <c r="BL61" i="6"/>
  <c r="BL34" i="6" s="1"/>
  <c r="BL36" i="6" s="1"/>
  <c r="BW38" i="6"/>
  <c r="AK61" i="6"/>
  <c r="AK34" i="6" s="1"/>
  <c r="AK36" i="6" s="1"/>
  <c r="R61" i="6"/>
  <c r="R34" i="6" s="1"/>
  <c r="R36" i="6" s="1"/>
  <c r="AX61" i="6"/>
  <c r="AX34" i="6" s="1"/>
  <c r="AX36" i="6" s="1"/>
  <c r="CC61" i="6"/>
  <c r="CC34" i="6" s="1"/>
  <c r="CC36" i="6" s="1"/>
  <c r="BF61" i="6"/>
  <c r="BF34" i="6" s="1"/>
  <c r="BF36" i="6" s="1"/>
  <c r="CM61" i="6"/>
  <c r="CM34" i="6" s="1"/>
  <c r="CM36" i="6" s="1"/>
  <c r="BD61" i="6"/>
  <c r="BD34" i="6" s="1"/>
  <c r="BD36" i="6" s="1"/>
  <c r="BQ61" i="6"/>
  <c r="BQ34" i="6" s="1"/>
  <c r="BQ36" i="6" s="1"/>
  <c r="BR61" i="6"/>
  <c r="BR34" i="6" s="1"/>
  <c r="BR36" i="6" s="1"/>
  <c r="CW61" i="6"/>
  <c r="CW34" i="6" s="1"/>
  <c r="CW36" i="6" s="1"/>
  <c r="AT61" i="6"/>
  <c r="AT34" i="6" s="1"/>
  <c r="AT36" i="6" s="1"/>
  <c r="CX61" i="6"/>
  <c r="CX34" i="6" s="1"/>
  <c r="CX36" i="6" s="1"/>
  <c r="CJ61" i="6"/>
  <c r="CJ34" i="6" s="1"/>
  <c r="CJ36" i="6" s="1"/>
  <c r="CE61" i="6"/>
  <c r="CE34" i="6" s="1"/>
  <c r="CE36" i="6" s="1"/>
  <c r="DF61" i="6"/>
  <c r="DF34" i="6" s="1"/>
  <c r="DF36" i="6" s="1"/>
  <c r="CV61" i="6"/>
  <c r="CV34" i="6" s="1"/>
  <c r="CV36" i="6" s="1"/>
  <c r="AZ61" i="6"/>
  <c r="AZ34" i="6" s="1"/>
  <c r="AZ36" i="6" s="1"/>
  <c r="CT61" i="6"/>
  <c r="CT34" i="6" s="1"/>
  <c r="CT36" i="6" s="1"/>
  <c r="DT61" i="6"/>
  <c r="DT34" i="6" s="1"/>
  <c r="DT36" i="6" s="1"/>
  <c r="BE61" i="6"/>
  <c r="BE34" i="6" s="1"/>
  <c r="BE36" i="6" s="1"/>
  <c r="C62" i="6"/>
  <c r="AR65" i="6"/>
  <c r="AR49" i="6"/>
  <c r="G32" i="1" s="1"/>
  <c r="AD61" i="6"/>
  <c r="AD34" i="6" s="1"/>
  <c r="AD36" i="6" s="1"/>
  <c r="CR61" i="6"/>
  <c r="CR34" i="6" s="1"/>
  <c r="CR36" i="6" s="1"/>
  <c r="CN61" i="6"/>
  <c r="CN34" i="6" s="1"/>
  <c r="CN36" i="6" s="1"/>
  <c r="CP61" i="6"/>
  <c r="CP34" i="6" s="1"/>
  <c r="CP36" i="6" s="1"/>
  <c r="DG61" i="6"/>
  <c r="DG34" i="6" s="1"/>
  <c r="DG36" i="6" s="1"/>
  <c r="CD61" i="6"/>
  <c r="CD34" i="6" s="1"/>
  <c r="CD36" i="6" s="1"/>
  <c r="CS61" i="6"/>
  <c r="CS34" i="6" s="1"/>
  <c r="CS36" i="6" s="1"/>
  <c r="BM61" i="6"/>
  <c r="BM34" i="6" s="1"/>
  <c r="BM36" i="6" s="1"/>
  <c r="CU61" i="6"/>
  <c r="CU34" i="6" s="1"/>
  <c r="CU36" i="6" s="1"/>
  <c r="CC38" i="6" l="1"/>
  <c r="CC49" i="6" s="1"/>
  <c r="G38" i="1" s="1"/>
  <c r="AB38" i="6"/>
  <c r="AB49" i="6" s="1"/>
  <c r="G31" i="1" s="1"/>
  <c r="DJ38" i="6"/>
  <c r="DJ65" i="6" s="1"/>
  <c r="AY38" i="6"/>
  <c r="AY65" i="6" s="1"/>
  <c r="AY49" i="6"/>
  <c r="G34" i="1" s="1"/>
  <c r="BW65" i="6"/>
  <c r="BW49" i="6"/>
  <c r="G36" i="1" s="1"/>
  <c r="CS38" i="6"/>
  <c r="CN38" i="6"/>
  <c r="BR38" i="6"/>
  <c r="CA49" i="6"/>
  <c r="G37" i="1" s="1"/>
  <c r="CA65" i="6"/>
  <c r="D34" i="6"/>
  <c r="D36" i="6" s="1"/>
  <c r="C61" i="6"/>
  <c r="AS38" i="6"/>
  <c r="E32" i="1"/>
  <c r="CC65" i="6" l="1"/>
  <c r="AB65" i="6"/>
  <c r="DJ49" i="6"/>
  <c r="G41" i="1" s="1"/>
  <c r="E41" i="1" s="1"/>
  <c r="J32" i="1"/>
  <c r="E11" i="8"/>
  <c r="C11" i="8" s="1"/>
  <c r="H11" i="8" s="1"/>
  <c r="E37" i="1"/>
  <c r="CN65" i="6"/>
  <c r="CN49" i="6"/>
  <c r="G39" i="1" s="1"/>
  <c r="AS49" i="6"/>
  <c r="G33" i="1" s="1"/>
  <c r="AS65" i="6"/>
  <c r="D38" i="6"/>
  <c r="C36" i="6"/>
  <c r="E36" i="1"/>
  <c r="E34" i="1"/>
  <c r="E38" i="1"/>
  <c r="BR65" i="6"/>
  <c r="BR49" i="6"/>
  <c r="G35" i="1" s="1"/>
  <c r="CS49" i="6"/>
  <c r="G40" i="1" s="1"/>
  <c r="CS65" i="6"/>
  <c r="E31" i="1"/>
  <c r="E35" i="1" l="1"/>
  <c r="E22" i="8"/>
  <c r="C22" i="8" s="1"/>
  <c r="H22" i="8" s="1"/>
  <c r="J41" i="1"/>
  <c r="J38" i="1"/>
  <c r="E17" i="8"/>
  <c r="C17" i="8" s="1"/>
  <c r="H17" i="8" s="1"/>
  <c r="E33" i="1"/>
  <c r="E40" i="1"/>
  <c r="E39" i="1"/>
  <c r="J31" i="1"/>
  <c r="E9" i="8"/>
  <c r="C9" i="8" s="1"/>
  <c r="H9" i="8" s="1"/>
  <c r="J34" i="1"/>
  <c r="E13" i="8"/>
  <c r="C13" i="8" s="1"/>
  <c r="H13" i="8" s="1"/>
  <c r="J36" i="1"/>
  <c r="E15" i="8"/>
  <c r="C15" i="8" s="1"/>
  <c r="H15" i="8" s="1"/>
  <c r="C38" i="6"/>
  <c r="D49" i="6"/>
  <c r="G30" i="1" s="1"/>
  <c r="D65" i="6"/>
  <c r="J37" i="1"/>
  <c r="E16" i="8"/>
  <c r="C16" i="8" s="1"/>
  <c r="H16" i="8" s="1"/>
  <c r="E30" i="1" l="1"/>
  <c r="E19" i="8"/>
  <c r="C19" i="8" s="1"/>
  <c r="H19" i="8" s="1"/>
  <c r="J39" i="1"/>
  <c r="E12" i="8"/>
  <c r="C12" i="8" s="1"/>
  <c r="H12" i="8" s="1"/>
  <c r="J33" i="1"/>
  <c r="J40" i="1"/>
  <c r="E20" i="8"/>
  <c r="C20" i="8" s="1"/>
  <c r="H20" i="8" s="1"/>
  <c r="E14" i="8"/>
  <c r="C14" i="8" s="1"/>
  <c r="H14" i="8" s="1"/>
  <c r="J35" i="1"/>
  <c r="J30" i="1" l="1"/>
  <c r="E8" i="8"/>
  <c r="C8" i="8" l="1"/>
  <c r="H8" i="8" s="1"/>
  <c r="H30" i="8" s="1"/>
  <c r="H31" i="8"/>
  <c r="H32" i="8" l="1"/>
  <c r="I37" i="12"/>
  <c r="J37" i="12" l="1"/>
  <c r="C25" i="1" l="1"/>
  <c r="H32" i="12"/>
  <c r="I32" i="12" s="1"/>
  <c r="K37" i="12"/>
  <c r="C8" i="1"/>
  <c r="H13" i="12"/>
  <c r="I13" i="12" s="1"/>
  <c r="H18" i="12" l="1"/>
  <c r="C21" i="1"/>
  <c r="C19" i="1"/>
  <c r="C7" i="1"/>
  <c r="H14" i="12"/>
  <c r="I14" i="12" s="1"/>
  <c r="H19" i="12"/>
  <c r="C20" i="1"/>
  <c r="H12" i="12"/>
  <c r="I12" i="12" s="1"/>
  <c r="C9" i="1"/>
  <c r="C24" i="1"/>
  <c r="H33" i="12"/>
  <c r="I33" i="12" s="1"/>
  <c r="I34" i="12" s="1"/>
  <c r="I15" i="12" l="1"/>
  <c r="J15" i="12" s="1"/>
  <c r="K15" i="12" s="1"/>
  <c r="J34" i="12"/>
  <c r="I19" i="12"/>
  <c r="H24" i="12"/>
  <c r="I24" i="12" s="1"/>
  <c r="I18" i="12"/>
  <c r="I20" i="12" s="1"/>
  <c r="H23" i="12"/>
  <c r="I23" i="12" s="1"/>
  <c r="I25" i="12" s="1"/>
  <c r="K34" i="12" l="1"/>
  <c r="J25" i="12"/>
  <c r="K25" i="12" s="1"/>
  <c r="H39" i="12" l="1"/>
  <c r="I39" i="12" s="1"/>
  <c r="J39" i="12" l="1"/>
  <c r="I41" i="12"/>
  <c r="I43" i="12"/>
  <c r="K39" i="12" l="1"/>
  <c r="J41" i="12"/>
  <c r="K41" i="12" s="1"/>
  <c r="I44" i="12"/>
</calcChain>
</file>

<file path=xl/comments1.xml><?xml version="1.0" encoding="utf-8"?>
<comments xmlns="http://schemas.openxmlformats.org/spreadsheetml/2006/main">
  <authors>
    <author>prasan</author>
  </authors>
  <commentList>
    <comment ref="H3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AR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2014 Update $/Month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F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F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</commentList>
</comments>
</file>

<file path=xl/comments4.xml><?xml version="1.0" encoding="utf-8"?>
<comments xmlns="http://schemas.openxmlformats.org/spreadsheetml/2006/main">
  <authors>
    <author>prasan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<sst xmlns="http://schemas.openxmlformats.org/spreadsheetml/2006/main" count="950" uniqueCount="494">
  <si>
    <t>Puget Sound Energy</t>
  </si>
  <si>
    <t>Calculation of Schedule 40 Tariff Charges</t>
  </si>
  <si>
    <t>Basic Charge</t>
  </si>
  <si>
    <t>Set Equal to Schedule 31</t>
  </si>
  <si>
    <t>Set Equal to Schedule 26</t>
  </si>
  <si>
    <t>Rate</t>
  </si>
  <si>
    <t>Notes</t>
  </si>
  <si>
    <t>Schedule 49 Power Factor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</si>
  <si>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</si>
  <si>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</si>
  <si>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</si>
  <si>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</si>
  <si>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</si>
  <si>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</si>
  <si>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</si>
  <si>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Total Distribution</t>
  </si>
  <si>
    <t>Transformer Charge</t>
  </si>
  <si>
    <t>Feeder Charge</t>
  </si>
  <si>
    <t>Substation Charge</t>
  </si>
  <si>
    <t>Schedule 40</t>
  </si>
  <si>
    <t>Distribution Line Transformer Charge Basis</t>
  </si>
  <si>
    <t>225 KVA PM</t>
  </si>
  <si>
    <t>300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</si>
  <si>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</si>
  <si>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</si>
  <si>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</si>
  <si>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</si>
  <si>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</si>
  <si>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</si>
  <si>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</si>
  <si>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</si>
  <si>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45 KVA PM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</si>
  <si>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</si>
  <si>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</si>
  <si>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</si>
  <si>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</si>
  <si>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</si>
  <si>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</si>
  <si>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</si>
  <si>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</si>
  <si>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</si>
  <si>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Annual KWh</t>
  </si>
  <si>
    <t>Power Factor</t>
  </si>
  <si>
    <t>Size</t>
  </si>
  <si>
    <t>Monthly
Rate</t>
  </si>
  <si>
    <t>Annual
Rate</t>
  </si>
  <si>
    <t># of
Transformers</t>
  </si>
  <si>
    <t>Annual
Cost</t>
  </si>
  <si>
    <t>75 KVA PM</t>
  </si>
  <si>
    <t>112.5 KVA PM</t>
  </si>
  <si>
    <t>37.5 KVA PM</t>
  </si>
  <si>
    <t>150 KVA PM</t>
  </si>
  <si>
    <t>Directly Assigned Distribution Plant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</si>
  <si>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</si>
  <si>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</si>
  <si>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</si>
  <si>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</si>
  <si>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</si>
  <si>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</si>
  <si>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</si>
  <si>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</si>
  <si>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</si>
  <si>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</si>
  <si>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</si>
  <si>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</si>
  <si>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</si>
  <si>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</si>
  <si>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</si>
  <si>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</si>
  <si>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</si>
  <si>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</si>
  <si>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</si>
  <si>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</si>
  <si>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</si>
  <si>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</si>
  <si>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</si>
  <si>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</si>
  <si>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</si>
  <si>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</si>
  <si>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</si>
  <si>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</si>
  <si>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</si>
  <si>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</si>
  <si>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</si>
  <si>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</si>
  <si>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AsstSupNo.</t>
  </si>
  <si>
    <t>Grand Total</t>
  </si>
  <si>
    <t>Customer Specific Distribution Charge</t>
  </si>
  <si>
    <t>Primary Voltage Metering Points</t>
  </si>
  <si>
    <t>Secondary Voltage &gt;- 350 kW</t>
  </si>
  <si>
    <t>Secondary Voltage&lt; 350 kW</t>
  </si>
  <si>
    <t>E360</t>
  </si>
  <si>
    <t>E361</t>
  </si>
  <si>
    <t>E362</t>
  </si>
  <si>
    <t xml:space="preserve">Campus Service &gt; 3aMW </t>
  </si>
  <si>
    <t>Bill Determinants</t>
  </si>
  <si>
    <t>Basic Charge:</t>
  </si>
  <si>
    <t>Secondary Voltage - Medium Demand</t>
  </si>
  <si>
    <t>Secondary Voltage - Large Demand</t>
  </si>
  <si>
    <t>Primary Voltage</t>
  </si>
  <si>
    <t>Production / Transmission Charge:</t>
  </si>
  <si>
    <t>kWh</t>
  </si>
  <si>
    <t>Secondary Voltage</t>
  </si>
  <si>
    <t>kVarh</t>
  </si>
  <si>
    <t>Distribution Charge:</t>
  </si>
  <si>
    <t>Customer Specific</t>
  </si>
  <si>
    <t>Unbilled Revenue</t>
  </si>
  <si>
    <t>Total Schedule 40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</si>
  <si>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</si>
  <si>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</si>
  <si>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</si>
  <si>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</si>
  <si>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</si>
  <si>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</si>
  <si>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Retirements</t>
  </si>
  <si>
    <t>Additions</t>
  </si>
  <si>
    <t>Distribution Substation Charge / kW</t>
  </si>
  <si>
    <t>UOM</t>
  </si>
  <si>
    <t>C kW</t>
  </si>
  <si>
    <t>Difference</t>
  </si>
  <si>
    <t>Set Equal to Schedule 25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</si>
  <si>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</si>
  <si>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</si>
  <si>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</si>
  <si>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</si>
  <si>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</si>
  <si>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</si>
  <si>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</si>
  <si>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</si>
  <si>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</si>
  <si>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</si>
  <si>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</si>
  <si>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</si>
  <si>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</si>
  <si>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</si>
  <si>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</si>
  <si>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</si>
  <si>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</si>
  <si>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</si>
  <si>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</si>
  <si>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</si>
  <si>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</si>
  <si>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</si>
  <si>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</si>
  <si>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</si>
  <si>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</si>
  <si>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</si>
  <si>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</si>
  <si>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</si>
  <si>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</si>
  <si>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</si>
  <si>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</si>
  <si>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</si>
  <si>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</si>
  <si>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</si>
  <si>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</si>
  <si>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</si>
  <si>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</si>
  <si>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</si>
  <si>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</si>
  <si>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</si>
  <si>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</si>
  <si>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</si>
  <si>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</si>
  <si>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</si>
  <si>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</si>
  <si>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</si>
  <si>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</si>
  <si>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</si>
  <si>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</si>
  <si>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</si>
  <si>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</si>
  <si>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</si>
  <si>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Sec Volt Sch 25 (kW &gt; 50 &amp; &lt; 350)</t>
  </si>
  <si>
    <t>Sec Volt Sch 26 (kW &gt; 350)</t>
  </si>
  <si>
    <t>Revenue</t>
  </si>
  <si>
    <t>Demand</t>
  </si>
  <si>
    <t>Energy</t>
  </si>
  <si>
    <t>Customer</t>
  </si>
  <si>
    <t>~</t>
  </si>
  <si>
    <t>Distribution</t>
  </si>
  <si>
    <t>Unit Costs (per kWh)</t>
  </si>
  <si>
    <t>Proforma and Proposed Revenue</t>
  </si>
  <si>
    <t>Primary Voltage Billed Demand</t>
  </si>
  <si>
    <t>AssetSup.No.</t>
  </si>
  <si>
    <t>Sum of Net book Value</t>
  </si>
  <si>
    <t>Annual Sub Costs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</si>
  <si>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</si>
  <si>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</si>
  <si>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</si>
  <si>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</si>
  <si>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</si>
  <si>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</si>
  <si>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</si>
  <si>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</si>
  <si>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</si>
  <si>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</si>
  <si>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 xml:space="preserve">Schedule 40 Proforma &amp; Proposed Revenue </t>
  </si>
  <si>
    <t>Schedule 40 Rate Summary</t>
  </si>
  <si>
    <t>Schedule 40 Rate Design - Distribution Charges by Campus</t>
  </si>
  <si>
    <t>Schedule 40 Distribution Charge - Transformers</t>
  </si>
  <si>
    <t>Schedule 40 Distribution Charge - Feeders</t>
  </si>
  <si>
    <t>Schedule 40 Distribution Charge - Substations</t>
  </si>
  <si>
    <t>Schedule 40 Fixed Charge Rate (FCR) Summary</t>
  </si>
  <si>
    <t>Feeder Overhead Charge Summary from COS</t>
  </si>
  <si>
    <t>Substation O&amp;M Charge Summary from COS</t>
  </si>
  <si>
    <t>Substation A&amp;G Charge Summary from COS</t>
  </si>
  <si>
    <t>Sum of net_book_value</t>
  </si>
  <si>
    <t>Plant ID</t>
  </si>
  <si>
    <t>Plant Name</t>
  </si>
  <si>
    <t>month</t>
  </si>
  <si>
    <t>Check Current Net Plant</t>
  </si>
  <si>
    <t>kwh Med Secondary Voltage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</si>
  <si>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</si>
  <si>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</si>
  <si>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</si>
  <si>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</si>
  <si>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</si>
  <si>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</si>
  <si>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</si>
  <si>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</si>
  <si>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</si>
  <si>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Sub 6 - Kent</t>
  </si>
  <si>
    <t>Sub 1 - Evergreen</t>
  </si>
  <si>
    <t>Sub 2 - Kenilworth</t>
  </si>
  <si>
    <t>Sub 3 - Spiritbrook</t>
  </si>
  <si>
    <t>Sub 4 - Interlaken</t>
  </si>
  <si>
    <t>Sub 5 - Bridal Trails</t>
  </si>
  <si>
    <t>Sub 7 - Victoria Park</t>
  </si>
  <si>
    <t>Sub 8 - Airport</t>
  </si>
  <si>
    <t>Sub 9 - Falcon</t>
  </si>
  <si>
    <t>Sub 10 - North Bellevue</t>
  </si>
  <si>
    <t>Original</t>
  </si>
  <si>
    <t>Sub 11 - Center</t>
  </si>
  <si>
    <t>Sub 12 - M Street</t>
  </si>
  <si>
    <t>3750 KVA PM</t>
  </si>
  <si>
    <t>kwh Large Secondary Voltage</t>
  </si>
  <si>
    <t>Sub 13 - Goodes Corner</t>
  </si>
  <si>
    <t>Sub 14 - Cedarhurst</t>
  </si>
  <si>
    <t>Electric Schedule 40 Rate Design Workpapers</t>
  </si>
  <si>
    <t>Temperature Adjustment</t>
  </si>
  <si>
    <t>Non-Coincident Charge</t>
  </si>
  <si>
    <t>Docket No. UE-111048 GRC</t>
  </si>
  <si>
    <t>Sec Voltage Billed Demand</t>
  </si>
  <si>
    <t>kwh Primary Voltage</t>
  </si>
  <si>
    <t>Billed Distribution Charge</t>
  </si>
  <si>
    <t>Bill Determinant</t>
  </si>
  <si>
    <t>Tariffed Distribution Charge</t>
  </si>
  <si>
    <t>kW</t>
  </si>
  <si>
    <t>Billed</t>
  </si>
  <si>
    <t>Coincident Bill Determinant</t>
  </si>
  <si>
    <t>Tariffed (Coincident) Distribution Charge</t>
  </si>
  <si>
    <t>Distribution Feeder Charge / kW</t>
  </si>
  <si>
    <t>Sub 15 - Ardmore</t>
  </si>
  <si>
    <t>Transfer</t>
  </si>
  <si>
    <t>Year</t>
  </si>
  <si>
    <t>Jan 1 index</t>
  </si>
  <si>
    <t>Jul 1 index</t>
  </si>
  <si>
    <t>Rounded Index</t>
  </si>
  <si>
    <t>Proforma (Docket No. UE-111048)</t>
  </si>
  <si>
    <t>50 KVA OH 1Phase</t>
  </si>
  <si>
    <t>25 KVA OH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</si>
  <si>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</si>
  <si>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</si>
  <si>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</si>
  <si>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</si>
  <si>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</si>
  <si>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</si>
  <si>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</si>
  <si>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</si>
  <si>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</si>
  <si>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</si>
  <si>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</si>
  <si>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</si>
  <si>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</si>
  <si>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</si>
  <si>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</si>
  <si>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Business Partner</t>
  </si>
  <si>
    <t>Campus Name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</si>
  <si>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</si>
  <si>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</si>
  <si>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</si>
  <si>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</si>
  <si>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</si>
  <si>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</si>
  <si>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</si>
  <si>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</si>
  <si>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</si>
  <si>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</si>
  <si>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</si>
  <si>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</si>
  <si>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</si>
  <si>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Pri Volt Sch 31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</si>
  <si>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</si>
  <si>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</si>
  <si>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</si>
  <si>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</si>
  <si>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</si>
  <si>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 Production/Transmission Rate</t>
  </si>
  <si>
    <t>Adjusted Test Year Twelve Months ended September 2016</t>
  </si>
  <si>
    <t>Current Monthly
Rate</t>
  </si>
  <si>
    <t>Proposed Monthly
Rate???</t>
  </si>
  <si>
    <t>CIS Billed Data</t>
  </si>
  <si>
    <t>Load Research Loss Factors:</t>
  </si>
  <si>
    <t>Schedule 49</t>
  </si>
  <si>
    <t>Schedule 31</t>
  </si>
  <si>
    <t>Schedule 26</t>
  </si>
  <si>
    <t>2017 Feeder Cost Calculation</t>
  </si>
  <si>
    <t>2017 Substation Cost Calculation</t>
  </si>
  <si>
    <t xml:space="preserve">Customer </t>
  </si>
  <si>
    <t>Circuit</t>
  </si>
  <si>
    <t>% Sub Load</t>
  </si>
  <si>
    <t>% Circuit Load</t>
  </si>
  <si>
    <t>AIR</t>
  </si>
  <si>
    <t>AIR-25</t>
  </si>
  <si>
    <t>GOO</t>
  </si>
  <si>
    <t>GOO-15</t>
  </si>
  <si>
    <t>GOO-16</t>
  </si>
  <si>
    <t>CED</t>
  </si>
  <si>
    <t>CED-16</t>
  </si>
  <si>
    <t>CED-17</t>
  </si>
  <si>
    <t>KNT</t>
  </si>
  <si>
    <t>KNT-35</t>
  </si>
  <si>
    <t>MST</t>
  </si>
  <si>
    <t>MST-27</t>
  </si>
  <si>
    <t>NOB</t>
  </si>
  <si>
    <t>NOB-11</t>
  </si>
  <si>
    <t>VIC</t>
  </si>
  <si>
    <t>VIC-16</t>
  </si>
  <si>
    <t>VIC-17</t>
  </si>
  <si>
    <t>VIC-18</t>
  </si>
  <si>
    <t>CEN</t>
  </si>
  <si>
    <t>CEN-11</t>
  </si>
  <si>
    <t>CEN-13</t>
  </si>
  <si>
    <t>NOB-21</t>
  </si>
  <si>
    <t>SPI</t>
  </si>
  <si>
    <t>SPI-17</t>
  </si>
  <si>
    <t>ARD</t>
  </si>
  <si>
    <t>ARD-11</t>
  </si>
  <si>
    <t>ARD-12</t>
  </si>
  <si>
    <t>ARD-43</t>
  </si>
  <si>
    <t>ARD-44</t>
  </si>
  <si>
    <t>ARD-45</t>
  </si>
  <si>
    <t>BTR</t>
  </si>
  <si>
    <t>BTR-13</t>
  </si>
  <si>
    <t>EVE</t>
  </si>
  <si>
    <t>EVE-15</t>
  </si>
  <si>
    <t>EVE-16</t>
  </si>
  <si>
    <t>EVE-17</t>
  </si>
  <si>
    <t>EVE-22</t>
  </si>
  <si>
    <t>EVE-25</t>
  </si>
  <si>
    <t>EVE-26</t>
  </si>
  <si>
    <t>KWH</t>
  </si>
  <si>
    <t>KWH-24</t>
  </si>
  <si>
    <t>KWH-26</t>
  </si>
  <si>
    <t>SPI-16</t>
  </si>
  <si>
    <t>ARD-13</t>
  </si>
  <si>
    <t>BTR-11</t>
  </si>
  <si>
    <t>BTR-12</t>
  </si>
  <si>
    <t>BTR-23</t>
  </si>
  <si>
    <t>EVE-13</t>
  </si>
  <si>
    <t>2016 Average of Monthly Coincidence Factors</t>
  </si>
  <si>
    <t>Twelve Months ended September 2016</t>
  </si>
  <si>
    <t>Coincident Primary Voltage</t>
  </si>
  <si>
    <t>Coincident Secondary Voltage</t>
  </si>
  <si>
    <t>2017 Handy Whitman Index</t>
  </si>
  <si>
    <t>Substation Net Plant Balances - 2003 to 2016</t>
  </si>
  <si>
    <t>PACIFIC REGION  (1973=100)</t>
  </si>
  <si>
    <t xml:space="preserve">Sch 49 Annual kWh </t>
  </si>
  <si>
    <t xml:space="preserve">Sch 49 Annual kvarh </t>
  </si>
  <si>
    <t>Coincident Distribution Line Transformer Charge / kW</t>
  </si>
  <si>
    <t>Non Coincident Rate to apply to Registered Demand</t>
  </si>
  <si>
    <t>Test Year Twelve Months ended September 2016</t>
  </si>
  <si>
    <t xml:space="preserve"> 5 - 6</t>
  </si>
  <si>
    <t>Schedule 40 Campus Circuit and Substation Load Percentages</t>
  </si>
  <si>
    <t>Distribution Unit Cost Study from ECOS</t>
  </si>
  <si>
    <t>Schedule 40 Campus Coincident Demand Factors</t>
  </si>
  <si>
    <t xml:space="preserve"> 7 - 17</t>
  </si>
  <si>
    <t xml:space="preserve"> 18 - 23</t>
  </si>
  <si>
    <t xml:space="preserve"> 28 - 29</t>
  </si>
  <si>
    <t>c</t>
  </si>
  <si>
    <t>e</t>
  </si>
  <si>
    <t>g</t>
  </si>
  <si>
    <t>h</t>
  </si>
  <si>
    <t>k</t>
  </si>
  <si>
    <t>j = I * k</t>
  </si>
  <si>
    <t>i = g * h</t>
  </si>
  <si>
    <t>f = a * e</t>
  </si>
  <si>
    <t>d = e * b</t>
  </si>
  <si>
    <t>a = b * c</t>
  </si>
  <si>
    <t>Test Year Ended September 2016</t>
  </si>
  <si>
    <t xml:space="preserve">Class NCP Load </t>
  </si>
  <si>
    <t>Sum of Total</t>
  </si>
  <si>
    <t>circuit_numbers</t>
  </si>
  <si>
    <t>ALTSCH2</t>
  </si>
  <si>
    <t>% to total</t>
  </si>
  <si>
    <t>OTHER</t>
  </si>
  <si>
    <t>FLC-14</t>
  </si>
  <si>
    <t>Class NCP Load (SAS)</t>
  </si>
  <si>
    <t>% Substation Load</t>
  </si>
  <si>
    <t>FLC</t>
  </si>
  <si>
    <t>NCP</t>
  </si>
  <si>
    <t>Docket No. UE-170033 (ECOS Compliance)</t>
  </si>
  <si>
    <t>Docket No.
UE-17033 
(ECOS Compliance)
Substation O&amp;M  %</t>
  </si>
  <si>
    <t>Docket No.
UE-170033 
ECOS
Compliance Substation A&amp;G  %</t>
  </si>
  <si>
    <t>Ardmore Substation Reduction</t>
  </si>
  <si>
    <t>Proposed (Docket No. UE-170033)</t>
  </si>
  <si>
    <t>Docket No. UE-170033</t>
  </si>
  <si>
    <t>Docket No.
UE-170033 ECOS Compliance</t>
  </si>
  <si>
    <t xml:space="preserve">        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</si>
  <si>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</si>
  <si>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</si>
  <si>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</si>
  <si>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</si>
  <si>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</si>
  <si>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</si>
  <si>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</si>
  <si>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</si>
  <si>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</si>
  <si>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</si>
  <si>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</si>
  <si>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</si>
  <si>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</si>
  <si>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</si>
  <si>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</si>
  <si>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</si>
  <si>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</si>
  <si>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</si>
  <si>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</si>
  <si>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</si>
  <si>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</si>
  <si>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</si>
  <si>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</si>
  <si>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</si>
  <si>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</si>
  <si>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</si>
  <si>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</si>
  <si>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</si>
  <si>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</si>
  <si>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</si>
  <si>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</si>
  <si>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</si>
  <si>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</si>
  <si>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</si>
  <si>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</si>
  <si>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</si>
  <si>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</si>
  <si>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</si>
  <si>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</si>
  <si>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</si>
  <si>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Load Factor</t>
  </si>
  <si>
    <t>kW Losses</t>
  </si>
  <si>
    <t>kWh Losses</t>
  </si>
  <si>
    <t>&amp; misc. usage)</t>
  </si>
  <si>
    <t>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</si>
  <si>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</si>
  <si>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</si>
  <si>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</si>
  <si>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</si>
  <si>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</si>
  <si>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</si>
  <si>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</si>
  <si>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</si>
  <si>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</si>
  <si>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</si>
  <si>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</si>
  <si>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</si>
  <si>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</si>
  <si>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</si>
  <si>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</si>
  <si>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</si>
  <si>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</si>
  <si>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</si>
  <si>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</si>
  <si>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</si>
  <si>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</si>
  <si>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</si>
  <si>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</si>
  <si>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</si>
  <si>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</si>
  <si>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Annual Costs Less Ardmore Reduction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</si>
  <si>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</si>
  <si>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</si>
  <si>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</si>
  <si>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</si>
  <si>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</si>
  <si>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</si>
  <si>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</si>
  <si>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</si>
  <si>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</si>
  <si>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</si>
  <si>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</si>
  <si>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>Customer 7</t>
  </si>
  <si>
    <t>Load Research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</si>
</sst>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.000000_);_(&quot;$&quot;* \(#,##0.000000\);_(&quot;$&quot;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&quot;$&quot;#,##0.00"/>
    <numFmt numFmtId="171" formatCode="_(* #,##0.000000_);_(* \(#,##0.000000\);_(* &quot;-&quot;??_);_(@_)"/>
    <numFmt numFmtId="172" formatCode="#,##0&quot; KWH&quot;;&quot;-&quot;#,##0&quot; KWH&quot;"/>
    <numFmt numFmtId="173" formatCode="#,##0&quot; KVARH&quot;;&quot;-&quot;#,##0&quot; KVARH&quot;"/>
    <numFmt numFmtId="174" formatCode="#,##0.0000"/>
    <numFmt numFmtId="175" formatCode="0.00000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 style="medium">
        <color rgb="FFECECEC"/>
      </left>
      <right style="medium">
        <color rgb="FFECECEC"/>
      </right>
      <top/>
      <bottom style="medium">
        <color indexed="64"/>
      </bottom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 style="thin">
        <color rgb="FFFFFF00"/>
      </left>
      <right/>
      <top/>
      <bottom style="medium">
        <color indexed="64"/>
      </bottom>
      <diagonal/>
    </border>
    <border>
      <left/>
      <right style="thin">
        <color rgb="FFFFFF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FFFF00"/>
      </bottom>
      <diagonal/>
    </border>
    <border>
      <left style="medium">
        <color indexed="64"/>
      </left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/>
      <diagonal/>
    </border>
    <border>
      <left style="medium">
        <color indexed="64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10" fontId="2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Continuous"/>
    </xf>
    <xf numFmtId="0" fontId="11" fillId="0" borderId="0" xfId="0" quotePrefix="1" applyNumberFormat="1" applyFont="1" applyFill="1" applyAlignment="1">
      <alignment horizontal="centerContinuous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167" fontId="11" fillId="0" borderId="0" xfId="0" quotePrefix="1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3" fillId="0" borderId="5" xfId="0" quotePrefix="1" applyNumberFormat="1" applyFont="1" applyFill="1" applyBorder="1" applyAlignment="1">
      <alignment horizontal="center" wrapText="1"/>
    </xf>
    <xf numFmtId="0" fontId="14" fillId="0" borderId="0" xfId="0" applyFont="1" applyFill="1"/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NumberFormat="1" applyFont="1" applyFill="1" applyAlignment="1"/>
    <xf numFmtId="0" fontId="15" fillId="0" borderId="0" xfId="0" applyFont="1" applyFill="1"/>
    <xf numFmtId="0" fontId="15" fillId="0" borderId="0" xfId="0" applyNumberFormat="1" applyFont="1" applyFill="1" applyAlignment="1"/>
    <xf numFmtId="0" fontId="3" fillId="0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1" fontId="15" fillId="0" borderId="0" xfId="0" applyNumberFormat="1" applyFont="1" applyFill="1"/>
    <xf numFmtId="41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/>
    <xf numFmtId="41" fontId="15" fillId="0" borderId="0" xfId="0" applyNumberFormat="1" applyFont="1" applyFill="1" applyAlignment="1">
      <alignment horizontal="left" indent="2"/>
    </xf>
    <xf numFmtId="41" fontId="15" fillId="0" borderId="0" xfId="0" quotePrefix="1" applyNumberFormat="1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1"/>
    </xf>
    <xf numFmtId="168" fontId="15" fillId="0" borderId="2" xfId="0" applyNumberFormat="1" applyFont="1" applyFill="1" applyBorder="1"/>
    <xf numFmtId="0" fontId="15" fillId="0" borderId="0" xfId="0" applyNumberFormat="1" applyFont="1" applyFill="1" applyAlignment="1">
      <alignment horizontal="left" indent="2"/>
    </xf>
    <xf numFmtId="43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41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3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10" fontId="15" fillId="0" borderId="0" xfId="0" applyNumberFormat="1" applyFont="1" applyFill="1" applyBorder="1"/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2"/>
    </xf>
    <xf numFmtId="0" fontId="15" fillId="0" borderId="0" xfId="0" applyFont="1" applyFill="1" applyAlignment="1">
      <alignment horizontal="left" indent="2"/>
    </xf>
    <xf numFmtId="4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Font="1" applyFill="1" applyAlignment="1">
      <alignment horizontal="left" indent="2"/>
    </xf>
    <xf numFmtId="9" fontId="15" fillId="0" borderId="0" xfId="0" applyNumberFormat="1" applyFont="1" applyFill="1" applyBorder="1"/>
    <xf numFmtId="0" fontId="15" fillId="0" borderId="0" xfId="0" applyNumberFormat="1" applyFont="1" applyFill="1" applyAlignment="1">
      <alignment horizontal="left" indent="3"/>
    </xf>
    <xf numFmtId="0" fontId="15" fillId="0" borderId="0" xfId="0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4"/>
    </xf>
    <xf numFmtId="0" fontId="15" fillId="0" borderId="0" xfId="0" quotePrefix="1" applyNumberFormat="1" applyFont="1" applyFill="1" applyAlignment="1">
      <alignment horizontal="left" indent="5"/>
    </xf>
    <xf numFmtId="0" fontId="15" fillId="0" borderId="0" xfId="0" quotePrefix="1" applyNumberFormat="1" applyFont="1" applyFill="1" applyAlignment="1">
      <alignment horizontal="left" indent="6"/>
    </xf>
    <xf numFmtId="168" fontId="15" fillId="0" borderId="4" xfId="0" applyNumberFormat="1" applyFont="1" applyFill="1" applyBorder="1"/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0" fontId="15" fillId="0" borderId="22" xfId="0" applyFont="1" applyFill="1" applyBorder="1"/>
    <xf numFmtId="17" fontId="15" fillId="0" borderId="22" xfId="0" applyNumberFormat="1" applyFont="1" applyFill="1" applyBorder="1" applyAlignment="1">
      <alignment horizontal="left"/>
    </xf>
    <xf numFmtId="14" fontId="15" fillId="0" borderId="0" xfId="0" applyNumberFormat="1" applyFont="1" applyFill="1"/>
    <xf numFmtId="0" fontId="15" fillId="0" borderId="17" xfId="0" applyFont="1" applyFill="1" applyBorder="1"/>
    <xf numFmtId="167" fontId="15" fillId="0" borderId="0" xfId="0" applyNumberFormat="1" applyFont="1" applyFill="1" applyBorder="1"/>
    <xf numFmtId="0" fontId="15" fillId="0" borderId="20" xfId="0" applyFont="1" applyFill="1" applyBorder="1"/>
    <xf numFmtId="167" fontId="15" fillId="0" borderId="0" xfId="0" applyNumberFormat="1" applyFont="1" applyFill="1"/>
    <xf numFmtId="0" fontId="15" fillId="0" borderId="0" xfId="0" applyFont="1" applyFill="1" applyAlignment="1">
      <alignment horizontal="centerContinuous"/>
    </xf>
    <xf numFmtId="167" fontId="15" fillId="0" borderId="0" xfId="0" applyNumberFormat="1" applyFont="1" applyFill="1"/>
    <xf numFmtId="168" fontId="15" fillId="0" borderId="0" xfId="0" applyNumberFormat="1" applyFont="1" applyFill="1"/>
    <xf numFmtId="0" fontId="15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>
      <alignment horizontal="left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 wrapText="1" indent="1"/>
    </xf>
    <xf numFmtId="0" fontId="15" fillId="0" borderId="0" xfId="0" applyFont="1" applyFill="1" applyBorder="1" applyAlignment="1">
      <alignment horizontal="left" wrapText="1"/>
    </xf>
    <xf numFmtId="16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 wrapText="1" indent="1"/>
    </xf>
    <xf numFmtId="167" fontId="15" fillId="0" borderId="0" xfId="0" applyNumberFormat="1" applyFont="1" applyFill="1" applyBorder="1" applyAlignment="1">
      <alignment horizontal="left" wrapText="1"/>
    </xf>
    <xf numFmtId="0" fontId="15" fillId="0" borderId="0" xfId="0" quotePrefix="1" applyFont="1" applyFill="1" applyBorder="1" applyAlignment="1">
      <alignment horizontal="left" wrapText="1"/>
    </xf>
    <xf numFmtId="168" fontId="15" fillId="0" borderId="0" xfId="0" applyNumberFormat="1" applyFont="1" applyFill="1" applyBorder="1"/>
    <xf numFmtId="0" fontId="15" fillId="0" borderId="19" xfId="0" applyFont="1" applyFill="1" applyBorder="1"/>
    <xf numFmtId="44" fontId="15" fillId="0" borderId="0" xfId="0" applyNumberFormat="1" applyFont="1" applyFill="1" applyBorder="1"/>
    <xf numFmtId="0" fontId="15" fillId="0" borderId="3" xfId="0" applyFont="1" applyFill="1" applyBorder="1"/>
    <xf numFmtId="0" fontId="15" fillId="0" borderId="9" xfId="0" applyFont="1" applyFill="1" applyBorder="1"/>
    <xf numFmtId="168" fontId="15" fillId="0" borderId="4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15" fillId="0" borderId="24" xfId="0" quotePrefix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3" xfId="0" quotePrefix="1" applyFont="1" applyFill="1" applyBorder="1" applyAlignment="1">
      <alignment horizontal="left"/>
    </xf>
    <xf numFmtId="0" fontId="15" fillId="0" borderId="7" xfId="0" applyFont="1" applyFill="1" applyBorder="1"/>
    <xf numFmtId="0" fontId="15" fillId="0" borderId="28" xfId="0" applyFont="1" applyFill="1" applyBorder="1"/>
    <xf numFmtId="44" fontId="15" fillId="0" borderId="0" xfId="0" applyNumberFormat="1" applyFont="1" applyFill="1"/>
    <xf numFmtId="0" fontId="15" fillId="0" borderId="25" xfId="0" applyFont="1" applyFill="1" applyBorder="1"/>
    <xf numFmtId="0" fontId="15" fillId="0" borderId="1" xfId="0" applyFont="1" applyFill="1" applyBorder="1"/>
    <xf numFmtId="0" fontId="15" fillId="0" borderId="23" xfId="0" applyFont="1" applyFill="1" applyBorder="1"/>
    <xf numFmtId="0" fontId="15" fillId="0" borderId="18" xfId="0" applyFont="1" applyFill="1" applyBorder="1" applyAlignment="1">
      <alignment horizontal="left" indent="1"/>
    </xf>
    <xf numFmtId="0" fontId="15" fillId="0" borderId="15" xfId="0" applyFont="1" applyFill="1" applyBorder="1"/>
    <xf numFmtId="0" fontId="15" fillId="0" borderId="19" xfId="0" quotePrefix="1" applyFont="1" applyFill="1" applyBorder="1" applyAlignment="1">
      <alignment horizontal="left"/>
    </xf>
    <xf numFmtId="0" fontId="15" fillId="0" borderId="8" xfId="0" applyFont="1" applyFill="1" applyBorder="1" applyAlignment="1">
      <alignment horizontal="left" indent="1"/>
    </xf>
    <xf numFmtId="0" fontId="15" fillId="0" borderId="18" xfId="0" applyFont="1" applyFill="1" applyBorder="1" applyAlignment="1">
      <alignment horizontal="left" indent="2"/>
    </xf>
    <xf numFmtId="0" fontId="15" fillId="0" borderId="8" xfId="0" applyFont="1" applyFill="1" applyBorder="1" applyAlignment="1">
      <alignment horizontal="left" indent="2"/>
    </xf>
    <xf numFmtId="165" fontId="15" fillId="0" borderId="19" xfId="0" applyNumberFormat="1" applyFont="1" applyFill="1" applyBorder="1"/>
    <xf numFmtId="165" fontId="15" fillId="0" borderId="9" xfId="0" applyNumberFormat="1" applyFont="1" applyFill="1" applyBorder="1"/>
    <xf numFmtId="0" fontId="15" fillId="0" borderId="14" xfId="0" quotePrefix="1" applyFont="1" applyFill="1" applyBorder="1" applyAlignment="1">
      <alignment horizontal="left" indent="1"/>
    </xf>
    <xf numFmtId="0" fontId="15" fillId="0" borderId="16" xfId="0" applyFont="1" applyFill="1" applyBorder="1"/>
    <xf numFmtId="0" fontId="15" fillId="0" borderId="14" xfId="0" applyFont="1" applyFill="1" applyBorder="1" applyAlignment="1">
      <alignment horizontal="left" indent="2"/>
    </xf>
    <xf numFmtId="167" fontId="15" fillId="0" borderId="2" xfId="0" applyNumberFormat="1" applyFont="1" applyFill="1" applyBorder="1"/>
    <xf numFmtId="168" fontId="15" fillId="0" borderId="2" xfId="0" applyNumberFormat="1" applyFont="1" applyFill="1" applyBorder="1"/>
    <xf numFmtId="166" fontId="15" fillId="0" borderId="2" xfId="0" applyNumberFormat="1" applyFont="1" applyFill="1" applyBorder="1"/>
    <xf numFmtId="167" fontId="15" fillId="0" borderId="4" xfId="0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17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wrapText="1"/>
    </xf>
    <xf numFmtId="168" fontId="1" fillId="0" borderId="0" xfId="0" applyNumberFormat="1" applyFont="1" applyFill="1" applyBorder="1"/>
    <xf numFmtId="10" fontId="1" fillId="0" borderId="0" xfId="0" applyNumberFormat="1" applyFont="1" applyFill="1" applyBorder="1"/>
    <xf numFmtId="42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0" fontId="1" fillId="0" borderId="0" xfId="0" applyNumberFormat="1" applyFont="1" applyFill="1" applyBorder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168" fontId="1" fillId="0" borderId="0" xfId="0" applyNumberFormat="1" applyFont="1" applyFill="1"/>
    <xf numFmtId="1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1" fillId="0" borderId="4" xfId="0" applyNumberFormat="1" applyFont="1" applyFill="1" applyBorder="1"/>
    <xf numFmtId="0" fontId="1" fillId="0" borderId="4" xfId="0" applyNumberFormat="1" applyFont="1" applyFill="1" applyBorder="1" applyAlignment="1"/>
    <xf numFmtId="168" fontId="1" fillId="0" borderId="0" xfId="0" applyNumberFormat="1" applyFont="1" applyFill="1"/>
    <xf numFmtId="168" fontId="1" fillId="0" borderId="2" xfId="0" applyNumberFormat="1" applyFont="1" applyFill="1" applyBorder="1" applyAlignment="1"/>
    <xf numFmtId="168" fontId="1" fillId="0" borderId="0" xfId="0" applyNumberFormat="1" applyFont="1" applyFill="1" applyAlignment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9" fontId="1" fillId="0" borderId="21" xfId="0" applyNumberFormat="1" applyFont="1" applyFill="1" applyBorder="1"/>
    <xf numFmtId="165" fontId="15" fillId="0" borderId="16" xfId="0" applyNumberFormat="1" applyFont="1" applyFill="1" applyBorder="1"/>
    <xf numFmtId="0" fontId="15" fillId="0" borderId="14" xfId="0" applyFont="1" applyFill="1" applyBorder="1" applyAlignment="1">
      <alignment horizontal="left" indent="1"/>
    </xf>
    <xf numFmtId="0" fontId="15" fillId="0" borderId="0" xfId="0" applyFont="1" applyFill="1" applyBorder="1" applyAlignment="1"/>
    <xf numFmtId="0" fontId="15" fillId="0" borderId="6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29" xfId="0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165" fontId="1" fillId="0" borderId="0" xfId="0" applyNumberFormat="1" applyFont="1" applyFill="1"/>
    <xf numFmtId="0" fontId="15" fillId="0" borderId="6" xfId="0" applyFont="1" applyFill="1" applyBorder="1" applyAlignment="1">
      <alignment horizontal="center" wrapText="1"/>
    </xf>
    <xf numFmtId="0" fontId="0" fillId="0" borderId="0" xfId="0" quotePrefix="1"/>
    <xf numFmtId="0" fontId="14" fillId="0" borderId="7" xfId="0" applyFont="1" applyFill="1" applyBorder="1" applyAlignment="1"/>
    <xf numFmtId="0" fontId="14" fillId="0" borderId="28" xfId="0" applyFont="1" applyFill="1" applyBorder="1" applyAlignment="1"/>
    <xf numFmtId="44" fontId="1" fillId="0" borderId="0" xfId="0" applyNumberFormat="1" applyFont="1" applyFill="1" applyBorder="1"/>
    <xf numFmtId="44" fontId="15" fillId="0" borderId="9" xfId="0" applyNumberFormat="1" applyFont="1" applyFill="1" applyBorder="1"/>
    <xf numFmtId="0" fontId="15" fillId="0" borderId="14" xfId="0" applyFont="1" applyFill="1" applyBorder="1"/>
    <xf numFmtId="164" fontId="1" fillId="0" borderId="15" xfId="0" applyNumberFormat="1" applyFont="1" applyFill="1" applyBorder="1"/>
    <xf numFmtId="164" fontId="1" fillId="0" borderId="3" xfId="0" applyNumberFormat="1" applyFont="1" applyFill="1" applyBorder="1"/>
    <xf numFmtId="0" fontId="15" fillId="0" borderId="9" xfId="0" quotePrefix="1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6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/>
    <xf numFmtId="0" fontId="14" fillId="0" borderId="20" xfId="0" applyFont="1" applyFill="1" applyBorder="1" applyAlignment="1"/>
    <xf numFmtId="167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/>
    <xf numFmtId="0" fontId="14" fillId="0" borderId="9" xfId="0" applyFont="1" applyFill="1" applyBorder="1" applyAlignment="1">
      <alignment horizontal="center" wrapText="1"/>
    </xf>
    <xf numFmtId="9" fontId="15" fillId="0" borderId="0" xfId="0" applyNumberFormat="1" applyFont="1" applyFill="1"/>
    <xf numFmtId="0" fontId="0" fillId="5" borderId="0" xfId="0" applyFill="1" applyAlignment="1"/>
    <xf numFmtId="3" fontId="0" fillId="5" borderId="0" xfId="0" applyNumberFormat="1" applyFont="1" applyFill="1" applyAlignment="1"/>
    <xf numFmtId="43" fontId="0" fillId="5" borderId="0" xfId="0" applyNumberFormat="1" applyFont="1" applyFill="1" applyAlignment="1"/>
    <xf numFmtId="0" fontId="0" fillId="0" borderId="0" xfId="0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quotePrefix="1" applyFill="1" applyAlignment="1">
      <alignment horizontal="center" wrapText="1"/>
    </xf>
    <xf numFmtId="43" fontId="15" fillId="0" borderId="0" xfId="0" applyNumberFormat="1" applyFont="1" applyFill="1"/>
    <xf numFmtId="0" fontId="15" fillId="0" borderId="0" xfId="0" applyFont="1" applyFill="1" applyAlignment="1">
      <alignment horizontal="center" wrapText="1"/>
    </xf>
    <xf numFmtId="44" fontId="15" fillId="0" borderId="0" xfId="0" applyNumberFormat="1" applyFont="1" applyFill="1"/>
    <xf numFmtId="0" fontId="2" fillId="0" borderId="9" xfId="0" applyFont="1" applyFill="1" applyBorder="1"/>
    <xf numFmtId="0" fontId="2" fillId="0" borderId="19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/>
    <xf numFmtId="170" fontId="3" fillId="0" borderId="5" xfId="0" quotePrefix="1" applyNumberFormat="1" applyFont="1" applyFill="1" applyBorder="1" applyAlignment="1">
      <alignment horizontal="center" vertical="center"/>
    </xf>
    <xf numFmtId="168" fontId="3" fillId="0" borderId="0" xfId="0" quotePrefix="1" applyNumberFormat="1" applyFont="1" applyFill="1" applyBorder="1" applyAlignment="1">
      <alignment horizontal="center" wrapText="1"/>
    </xf>
    <xf numFmtId="4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10" fontId="1" fillId="0" borderId="2" xfId="0" applyNumberFormat="1" applyFont="1" applyFill="1" applyBorder="1" applyAlignment="1"/>
    <xf numFmtId="169" fontId="1" fillId="0" borderId="0" xfId="0" applyNumberFormat="1" applyFont="1" applyFill="1" applyAlignment="1"/>
    <xf numFmtId="0" fontId="1" fillId="0" borderId="0" xfId="0" applyFont="1" applyFill="1"/>
    <xf numFmtId="44" fontId="1" fillId="0" borderId="16" xfId="0" quotePrefix="1" applyNumberFormat="1" applyFont="1" applyFill="1" applyBorder="1" applyAlignment="1">
      <alignment horizontal="left"/>
    </xf>
    <xf numFmtId="44" fontId="1" fillId="0" borderId="19" xfId="0" applyNumberFormat="1" applyFont="1" applyFill="1" applyBorder="1"/>
    <xf numFmtId="0" fontId="15" fillId="0" borderId="0" xfId="0" applyFont="1" applyFill="1" applyAlignment="1"/>
    <xf numFmtId="0" fontId="1" fillId="0" borderId="24" xfId="0" applyFont="1" applyFill="1" applyBorder="1" applyAlignment="1">
      <alignment horizontal="center" wrapText="1"/>
    </xf>
    <xf numFmtId="0" fontId="1" fillId="0" borderId="23" xfId="0" quotePrefix="1" applyFont="1" applyFill="1" applyBorder="1" applyAlignment="1">
      <alignment horizontal="center" wrapText="1"/>
    </xf>
    <xf numFmtId="169" fontId="2" fillId="0" borderId="19" xfId="0" applyNumberFormat="1" applyFont="1" applyFill="1" applyBorder="1"/>
    <xf numFmtId="41" fontId="3" fillId="0" borderId="2" xfId="0" quotePrefix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Alignment="1"/>
    <xf numFmtId="168" fontId="0" fillId="2" borderId="0" xfId="0" applyNumberFormat="1" applyFont="1" applyFill="1" applyAlignment="1"/>
    <xf numFmtId="0" fontId="14" fillId="0" borderId="13" xfId="0" applyFont="1" applyFill="1" applyBorder="1" applyAlignment="1">
      <alignment horizontal="center"/>
    </xf>
    <xf numFmtId="165" fontId="15" fillId="0" borderId="0" xfId="0" applyNumberFormat="1" applyFont="1" applyFill="1"/>
    <xf numFmtId="164" fontId="15" fillId="0" borderId="0" xfId="0" applyNumberFormat="1" applyFont="1" applyFill="1"/>
    <xf numFmtId="167" fontId="1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quotePrefix="1" applyFont="1" applyFill="1" applyBorder="1" applyAlignment="1">
      <alignment horizontal="left" indent="1"/>
    </xf>
    <xf numFmtId="172" fontId="0" fillId="0" borderId="41" xfId="0" applyNumberFormat="1" applyFill="1" applyBorder="1" applyAlignment="1">
      <alignment horizontal="right" vertical="top"/>
    </xf>
    <xf numFmtId="0" fontId="1" fillId="0" borderId="19" xfId="0" applyFont="1" applyFill="1" applyBorder="1"/>
    <xf numFmtId="0" fontId="1" fillId="0" borderId="8" xfId="0" quotePrefix="1" applyFont="1" applyFill="1" applyBorder="1" applyAlignment="1">
      <alignment horizontal="left" indent="1"/>
    </xf>
    <xf numFmtId="173" fontId="0" fillId="0" borderId="42" xfId="0" applyNumberFormat="1" applyFill="1" applyBorder="1" applyAlignment="1">
      <alignment horizontal="right" vertical="top"/>
    </xf>
    <xf numFmtId="9" fontId="1" fillId="0" borderId="9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0" fontId="1" fillId="0" borderId="0" xfId="0" applyNumberFormat="1" applyFont="1" applyFill="1"/>
    <xf numFmtId="0" fontId="1" fillId="0" borderId="0" xfId="0" quotePrefix="1" applyFont="1" applyFill="1" applyBorder="1" applyAlignment="1">
      <alignment horizontal="left" indent="1"/>
    </xf>
    <xf numFmtId="0" fontId="0" fillId="0" borderId="0" xfId="0" quotePrefix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19" fillId="0" borderId="2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10" fontId="19" fillId="0" borderId="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165" fontId="1" fillId="0" borderId="0" xfId="0" applyNumberFormat="1" applyFont="1" applyFill="1"/>
    <xf numFmtId="41" fontId="1" fillId="0" borderId="0" xfId="0" applyNumberFormat="1" applyFont="1" applyFill="1" applyAlignment="1">
      <alignment horizontal="left" indent="1"/>
    </xf>
    <xf numFmtId="41" fontId="1" fillId="0" borderId="0" xfId="0" applyNumberFormat="1" applyFont="1" applyFill="1"/>
    <xf numFmtId="0" fontId="15" fillId="0" borderId="0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/>
    </xf>
    <xf numFmtId="0" fontId="15" fillId="0" borderId="29" xfId="0" quotePrefix="1" applyFont="1" applyFill="1" applyBorder="1" applyAlignment="1">
      <alignment horizontal="center"/>
    </xf>
    <xf numFmtId="0" fontId="20" fillId="0" borderId="2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6" xfId="0" quotePrefix="1" applyFont="1" applyFill="1" applyBorder="1" applyAlignment="1">
      <alignment horizontal="left" vertical="center" wrapText="1"/>
    </xf>
    <xf numFmtId="0" fontId="15" fillId="0" borderId="64" xfId="0" applyFont="1" applyFill="1" applyBorder="1"/>
    <xf numFmtId="0" fontId="15" fillId="0" borderId="63" xfId="0" applyFont="1" applyFill="1" applyBorder="1"/>
    <xf numFmtId="42" fontId="15" fillId="0" borderId="66" xfId="0" applyNumberFormat="1" applyFont="1" applyFill="1" applyBorder="1"/>
    <xf numFmtId="42" fontId="15" fillId="0" borderId="67" xfId="0" applyNumberFormat="1" applyFont="1" applyFill="1" applyBorder="1"/>
    <xf numFmtId="42" fontId="15" fillId="0" borderId="12" xfId="0" applyNumberFormat="1" applyFont="1" applyFill="1" applyBorder="1"/>
    <xf numFmtId="42" fontId="15" fillId="0" borderId="65" xfId="0" applyNumberFormat="1" applyFont="1" applyFill="1" applyBorder="1"/>
    <xf numFmtId="168" fontId="15" fillId="0" borderId="65" xfId="0" applyNumberFormat="1" applyFont="1" applyFill="1" applyBorder="1"/>
    <xf numFmtId="42" fontId="15" fillId="0" borderId="5" xfId="0" applyNumberFormat="1" applyFont="1" applyFill="1" applyBorder="1"/>
    <xf numFmtId="42" fontId="15" fillId="0" borderId="13" xfId="0" applyNumberFormat="1" applyFont="1" applyFill="1" applyBorder="1"/>
    <xf numFmtId="0" fontId="15" fillId="0" borderId="66" xfId="0" applyFont="1" applyFill="1" applyBorder="1"/>
    <xf numFmtId="0" fontId="15" fillId="0" borderId="67" xfId="0" applyFont="1" applyFill="1" applyBorder="1"/>
    <xf numFmtId="0" fontId="15" fillId="0" borderId="11" xfId="0" applyFont="1" applyFill="1" applyBorder="1"/>
    <xf numFmtId="42" fontId="15" fillId="0" borderId="6" xfId="0" applyNumberFormat="1" applyFont="1" applyFill="1" applyBorder="1"/>
    <xf numFmtId="42" fontId="15" fillId="0" borderId="10" xfId="0" applyNumberFormat="1" applyFont="1" applyFill="1" applyBorder="1"/>
    <xf numFmtId="0" fontId="15" fillId="0" borderId="10" xfId="0" applyFont="1" applyFill="1" applyBorder="1"/>
    <xf numFmtId="0" fontId="15" fillId="0" borderId="2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wrapText="1"/>
    </xf>
    <xf numFmtId="0" fontId="15" fillId="0" borderId="68" xfId="0" applyFont="1" applyFill="1" applyBorder="1"/>
    <xf numFmtId="0" fontId="15" fillId="0" borderId="12" xfId="0" applyFont="1" applyFill="1" applyBorder="1"/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3" fillId="0" borderId="5" xfId="0" quotePrefix="1" applyNumberFormat="1" applyFont="1" applyFill="1" applyBorder="1" applyAlignment="1">
      <alignment horizontal="center" wrapText="1"/>
    </xf>
    <xf numFmtId="42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/>
    <xf numFmtId="3" fontId="1" fillId="0" borderId="16" xfId="0" applyNumberFormat="1" applyFont="1" applyBorder="1"/>
    <xf numFmtId="3" fontId="1" fillId="0" borderId="0" xfId="0" applyNumberFormat="1" applyFont="1" applyAlignment="1"/>
    <xf numFmtId="0" fontId="3" fillId="3" borderId="18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18" xfId="0" applyFont="1" applyFill="1" applyBorder="1" applyAlignment="1"/>
    <xf numFmtId="3" fontId="1" fillId="4" borderId="19" xfId="0" applyNumberFormat="1" applyFont="1" applyFill="1" applyBorder="1" applyAlignment="1"/>
    <xf numFmtId="0" fontId="1" fillId="3" borderId="0" xfId="0" applyFont="1" applyFill="1" applyBorder="1" applyAlignment="1"/>
    <xf numFmtId="10" fontId="1" fillId="0" borderId="0" xfId="0" applyNumberFormat="1" applyFont="1" applyBorder="1" applyAlignment="1"/>
    <xf numFmtId="10" fontId="1" fillId="0" borderId="19" xfId="0" applyNumberFormat="1" applyFont="1" applyBorder="1" applyAlignment="1"/>
    <xf numFmtId="37" fontId="1" fillId="0" borderId="69" xfId="0" applyNumberFormat="1" applyFont="1" applyBorder="1" applyAlignment="1"/>
    <xf numFmtId="0" fontId="1" fillId="3" borderId="70" xfId="0" applyFont="1" applyFill="1" applyBorder="1" applyAlignment="1"/>
    <xf numFmtId="3" fontId="1" fillId="0" borderId="71" xfId="0" applyNumberFormat="1" applyFont="1" applyBorder="1" applyAlignment="1"/>
    <xf numFmtId="174" fontId="1" fillId="0" borderId="0" xfId="0" applyNumberFormat="1" applyFont="1" applyAlignment="1"/>
    <xf numFmtId="0" fontId="1" fillId="3" borderId="72" xfId="0" applyFont="1" applyFill="1" applyBorder="1" applyAlignment="1"/>
    <xf numFmtId="0" fontId="1" fillId="3" borderId="5" xfId="0" applyFont="1" applyFill="1" applyBorder="1" applyAlignment="1"/>
    <xf numFmtId="10" fontId="1" fillId="0" borderId="5" xfId="0" applyNumberFormat="1" applyFont="1" applyBorder="1" applyAlignment="1"/>
    <xf numFmtId="10" fontId="1" fillId="0" borderId="69" xfId="0" applyNumberFormat="1" applyFont="1" applyBorder="1" applyAlignment="1"/>
    <xf numFmtId="0" fontId="1" fillId="3" borderId="8" xfId="0" applyFont="1" applyFill="1" applyBorder="1" applyAlignment="1"/>
    <xf numFmtId="0" fontId="1" fillId="3" borderId="3" xfId="0" applyFont="1" applyFill="1" applyBorder="1" applyAlignment="1">
      <alignment horizontal="centerContinuous"/>
    </xf>
    <xf numFmtId="10" fontId="1" fillId="0" borderId="3" xfId="0" applyNumberFormat="1" applyFont="1" applyBorder="1" applyAlignment="1"/>
    <xf numFmtId="10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8" fillId="3" borderId="14" xfId="0" quotePrefix="1" applyFont="1" applyFill="1" applyBorder="1" applyAlignment="1">
      <alignment horizontal="center"/>
    </xf>
    <xf numFmtId="0" fontId="8" fillId="3" borderId="15" xfId="0" quotePrefix="1" applyFont="1" applyFill="1" applyBorder="1" applyAlignment="1">
      <alignment horizontal="center"/>
    </xf>
    <xf numFmtId="0" fontId="8" fillId="3" borderId="16" xfId="0" quotePrefix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0" fillId="3" borderId="1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center"/>
    </xf>
    <xf numFmtId="0" fontId="1" fillId="3" borderId="18" xfId="0" applyFont="1" applyFill="1" applyBorder="1"/>
    <xf numFmtId="0" fontId="1" fillId="3" borderId="0" xfId="0" applyFont="1" applyFill="1" applyBorder="1"/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0" fontId="22" fillId="0" borderId="0" xfId="0" applyFont="1" applyAlignment="1"/>
    <xf numFmtId="0" fontId="10" fillId="0" borderId="18" xfId="0" quotePrefix="1" applyFont="1" applyBorder="1" applyAlignment="1">
      <alignment horizontal="center"/>
    </xf>
    <xf numFmtId="0" fontId="10" fillId="0" borderId="0" xfId="0" quotePrefix="1" applyFont="1" applyBorder="1" applyAlignment="1">
      <alignment horizontal="right"/>
    </xf>
    <xf numFmtId="0" fontId="10" fillId="0" borderId="19" xfId="0" quotePrefix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3" fontId="8" fillId="0" borderId="65" xfId="0" applyNumberFormat="1" applyFont="1" applyFill="1" applyBorder="1" applyAlignment="1">
      <alignment horizontal="right"/>
    </xf>
    <xf numFmtId="3" fontId="8" fillId="0" borderId="65" xfId="0" applyNumberFormat="1" applyFont="1" applyBorder="1" applyAlignment="1">
      <alignment horizontal="right"/>
    </xf>
    <xf numFmtId="3" fontId="8" fillId="6" borderId="65" xfId="0" applyNumberFormat="1" applyFont="1" applyFill="1" applyBorder="1" applyAlignment="1">
      <alignment horizontal="right"/>
    </xf>
    <xf numFmtId="175" fontId="8" fillId="0" borderId="65" xfId="0" applyNumberFormat="1" applyFont="1" applyBorder="1" applyAlignment="1">
      <alignment horizontal="right"/>
    </xf>
    <xf numFmtId="10" fontId="8" fillId="0" borderId="31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0" xfId="0" applyNumberFormat="1" applyFont="1" applyBorder="1" applyAlignment="1">
      <alignment horizontal="right"/>
    </xf>
    <xf numFmtId="0" fontId="24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/>
    <xf numFmtId="0" fontId="24" fillId="0" borderId="0" xfId="0" applyFont="1" applyBorder="1" applyAlignment="1">
      <alignment horizontal="center"/>
    </xf>
    <xf numFmtId="10" fontId="24" fillId="0" borderId="0" xfId="0" applyNumberFormat="1" applyFont="1" applyBorder="1" applyAlignment="1">
      <alignment horizontal="right"/>
    </xf>
    <xf numFmtId="10" fontId="25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10" fontId="8" fillId="0" borderId="19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18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3" fontId="8" fillId="0" borderId="74" xfId="0" applyNumberFormat="1" applyFont="1" applyFill="1" applyBorder="1" applyAlignment="1">
      <alignment horizontal="right"/>
    </xf>
    <xf numFmtId="3" fontId="8" fillId="0" borderId="74" xfId="0" applyNumberFormat="1" applyFont="1" applyBorder="1" applyAlignment="1">
      <alignment horizontal="right"/>
    </xf>
    <xf numFmtId="3" fontId="8" fillId="7" borderId="74" xfId="0" applyNumberFormat="1" applyFont="1" applyFill="1" applyBorder="1" applyAlignment="1">
      <alignment horizontal="right"/>
    </xf>
    <xf numFmtId="175" fontId="8" fillId="0" borderId="74" xfId="0" applyNumberFormat="1" applyFont="1" applyFill="1" applyBorder="1" applyAlignment="1">
      <alignment horizontal="right"/>
    </xf>
    <xf numFmtId="10" fontId="8" fillId="0" borderId="75" xfId="0" applyNumberFormat="1" applyFont="1" applyBorder="1" applyAlignment="1">
      <alignment horizontal="right"/>
    </xf>
    <xf numFmtId="3" fontId="8" fillId="7" borderId="65" xfId="0" applyNumberFormat="1" applyFont="1" applyFill="1" applyBorder="1" applyAlignment="1">
      <alignment horizontal="right"/>
    </xf>
    <xf numFmtId="175" fontId="8" fillId="0" borderId="65" xfId="0" applyNumberFormat="1" applyFont="1" applyFill="1" applyBorder="1" applyAlignment="1">
      <alignment horizontal="right"/>
    </xf>
    <xf numFmtId="0" fontId="8" fillId="0" borderId="18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right"/>
    </xf>
    <xf numFmtId="0" fontId="8" fillId="0" borderId="19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7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41" fontId="24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175" fontId="24" fillId="0" borderId="5" xfId="0" applyNumberFormat="1" applyFont="1" applyFill="1" applyBorder="1" applyAlignment="1">
      <alignment horizontal="right"/>
    </xf>
    <xf numFmtId="10" fontId="24" fillId="0" borderId="5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9" fontId="0" fillId="0" borderId="25" xfId="0" applyNumberFormat="1" applyFill="1" applyBorder="1"/>
    <xf numFmtId="9" fontId="0" fillId="0" borderId="23" xfId="0" applyNumberFormat="1" applyFill="1" applyBorder="1"/>
    <xf numFmtId="0" fontId="0" fillId="0" borderId="62" xfId="0" applyFill="1" applyBorder="1"/>
    <xf numFmtId="0" fontId="0" fillId="0" borderId="15" xfId="0" applyFill="1" applyBorder="1"/>
    <xf numFmtId="9" fontId="0" fillId="0" borderId="18" xfId="0" applyNumberFormat="1" applyFill="1" applyBorder="1"/>
    <xf numFmtId="9" fontId="0" fillId="0" borderId="19" xfId="0" applyNumberFormat="1" applyFill="1" applyBorder="1"/>
    <xf numFmtId="0" fontId="16" fillId="0" borderId="0" xfId="0" applyFont="1" applyFill="1" applyBorder="1"/>
    <xf numFmtId="0" fontId="0" fillId="0" borderId="52" xfId="0" applyFill="1" applyBorder="1"/>
    <xf numFmtId="0" fontId="0" fillId="0" borderId="3" xfId="0" applyFill="1" applyBorder="1"/>
    <xf numFmtId="0" fontId="0" fillId="0" borderId="8" xfId="0" applyFill="1" applyBorder="1"/>
    <xf numFmtId="9" fontId="0" fillId="0" borderId="9" xfId="0" applyNumberFormat="1" applyFill="1" applyBorder="1"/>
    <xf numFmtId="0" fontId="0" fillId="0" borderId="14" xfId="0" applyFill="1" applyBorder="1"/>
    <xf numFmtId="41" fontId="0" fillId="0" borderId="15" xfId="0" applyNumberFormat="1" applyFill="1" applyBorder="1"/>
    <xf numFmtId="10" fontId="0" fillId="0" borderId="29" xfId="0" applyNumberFormat="1" applyFont="1" applyFill="1" applyBorder="1"/>
    <xf numFmtId="0" fontId="0" fillId="0" borderId="45" xfId="0" applyFill="1" applyBorder="1"/>
    <xf numFmtId="0" fontId="0" fillId="0" borderId="0" xfId="0" applyFill="1" applyBorder="1"/>
    <xf numFmtId="0" fontId="0" fillId="0" borderId="18" xfId="0" applyFill="1" applyBorder="1"/>
    <xf numFmtId="41" fontId="0" fillId="0" borderId="3" xfId="0" applyNumberFormat="1" applyFill="1" applyBorder="1"/>
    <xf numFmtId="0" fontId="0" fillId="0" borderId="27" xfId="0" applyFill="1" applyBorder="1"/>
    <xf numFmtId="41" fontId="0" fillId="0" borderId="0" xfId="0" applyNumberFormat="1" applyFill="1" applyBorder="1"/>
    <xf numFmtId="10" fontId="0" fillId="0" borderId="26" xfId="0" applyNumberFormat="1" applyFont="1" applyFill="1" applyBorder="1"/>
    <xf numFmtId="0" fontId="0" fillId="0" borderId="58" xfId="0" applyFill="1" applyBorder="1"/>
    <xf numFmtId="0" fontId="0" fillId="0" borderId="1" xfId="0" applyFill="1" applyBorder="1"/>
    <xf numFmtId="9" fontId="0" fillId="0" borderId="8" xfId="0" applyNumberFormat="1" applyFill="1" applyBorder="1"/>
    <xf numFmtId="0" fontId="0" fillId="0" borderId="25" xfId="0" applyFill="1" applyBorder="1"/>
    <xf numFmtId="41" fontId="0" fillId="0" borderId="23" xfId="0" applyNumberFormat="1" applyFill="1" applyBorder="1"/>
    <xf numFmtId="0" fontId="0" fillId="0" borderId="47" xfId="0" applyFill="1" applyBorder="1"/>
    <xf numFmtId="0" fontId="0" fillId="0" borderId="48" xfId="0" applyFill="1" applyBorder="1"/>
    <xf numFmtId="0" fontId="19" fillId="0" borderId="24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10" fontId="19" fillId="0" borderId="23" xfId="0" applyNumberFormat="1" applyFont="1" applyFill="1" applyBorder="1" applyAlignment="1">
      <alignment vertical="center"/>
    </xf>
    <xf numFmtId="0" fontId="19" fillId="0" borderId="27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166" fontId="15" fillId="0" borderId="12" xfId="0" applyNumberFormat="1" applyFont="1" applyFill="1" applyBorder="1"/>
    <xf numFmtId="166" fontId="15" fillId="0" borderId="17" xfId="0" applyNumberFormat="1" applyFont="1" applyFill="1" applyBorder="1"/>
    <xf numFmtId="166" fontId="15" fillId="0" borderId="18" xfId="0" applyNumberFormat="1" applyFont="1" applyFill="1" applyBorder="1"/>
    <xf numFmtId="166" fontId="15" fillId="0" borderId="19" xfId="0" applyNumberFormat="1" applyFont="1" applyFill="1" applyBorder="1"/>
    <xf numFmtId="166" fontId="15" fillId="0" borderId="46" xfId="0" applyNumberFormat="1" applyFont="1" applyFill="1" applyBorder="1"/>
    <xf numFmtId="1" fontId="15" fillId="0" borderId="0" xfId="0" applyNumberFormat="1" applyFont="1" applyFill="1" applyBorder="1"/>
    <xf numFmtId="1" fontId="15" fillId="0" borderId="12" xfId="0" applyNumberFormat="1" applyFont="1" applyFill="1" applyBorder="1"/>
    <xf numFmtId="1" fontId="15" fillId="0" borderId="17" xfId="0" applyNumberFormat="1" applyFont="1" applyFill="1" applyBorder="1"/>
    <xf numFmtId="1" fontId="15" fillId="0" borderId="18" xfId="0" applyNumberFormat="1" applyFont="1" applyFill="1" applyBorder="1"/>
    <xf numFmtId="1" fontId="15" fillId="0" borderId="19" xfId="0" applyNumberFormat="1" applyFont="1" applyFill="1" applyBorder="1"/>
    <xf numFmtId="1" fontId="15" fillId="0" borderId="46" xfId="0" applyNumberFormat="1" applyFont="1" applyFill="1" applyBorder="1"/>
    <xf numFmtId="167" fontId="15" fillId="0" borderId="12" xfId="0" applyNumberFormat="1" applyFont="1" applyFill="1" applyBorder="1"/>
    <xf numFmtId="167" fontId="15" fillId="0" borderId="17" xfId="0" applyNumberFormat="1" applyFont="1" applyFill="1" applyBorder="1"/>
    <xf numFmtId="167" fontId="15" fillId="0" borderId="18" xfId="0" applyNumberFormat="1" applyFont="1" applyFill="1" applyBorder="1"/>
    <xf numFmtId="167" fontId="15" fillId="0" borderId="19" xfId="0" applyNumberFormat="1" applyFont="1" applyFill="1" applyBorder="1"/>
    <xf numFmtId="168" fontId="15" fillId="0" borderId="18" xfId="0" applyNumberFormat="1" applyFont="1" applyFill="1" applyBorder="1"/>
    <xf numFmtId="167" fontId="15" fillId="0" borderId="46" xfId="0" applyNumberFormat="1" applyFont="1" applyFill="1" applyBorder="1"/>
    <xf numFmtId="169" fontId="15" fillId="0" borderId="0" xfId="0" applyNumberFormat="1" applyFont="1" applyFill="1" applyBorder="1"/>
    <xf numFmtId="169" fontId="15" fillId="0" borderId="12" xfId="0" applyNumberFormat="1" applyFont="1" applyFill="1" applyBorder="1"/>
    <xf numFmtId="169" fontId="15" fillId="0" borderId="17" xfId="0" applyNumberFormat="1" applyFont="1" applyFill="1" applyBorder="1"/>
    <xf numFmtId="169" fontId="15" fillId="0" borderId="18" xfId="0" applyNumberFormat="1" applyFont="1" applyFill="1" applyBorder="1"/>
    <xf numFmtId="169" fontId="15" fillId="0" borderId="19" xfId="0" applyNumberFormat="1" applyFont="1" applyFill="1" applyBorder="1"/>
    <xf numFmtId="169" fontId="15" fillId="0" borderId="46" xfId="0" applyNumberFormat="1" applyFont="1" applyFill="1" applyBorder="1"/>
    <xf numFmtId="9" fontId="15" fillId="0" borderId="12" xfId="0" applyNumberFormat="1" applyFont="1" applyFill="1" applyBorder="1"/>
    <xf numFmtId="9" fontId="15" fillId="0" borderId="17" xfId="0" applyNumberFormat="1" applyFont="1" applyFill="1" applyBorder="1"/>
    <xf numFmtId="9" fontId="15" fillId="0" borderId="18" xfId="0" applyNumberFormat="1" applyFont="1" applyFill="1" applyBorder="1"/>
    <xf numFmtId="9" fontId="15" fillId="0" borderId="19" xfId="0" applyNumberFormat="1" applyFont="1" applyFill="1" applyBorder="1"/>
    <xf numFmtId="9" fontId="15" fillId="0" borderId="46" xfId="0" applyNumberFormat="1" applyFont="1" applyFill="1" applyBorder="1"/>
    <xf numFmtId="168" fontId="15" fillId="0" borderId="12" xfId="0" applyNumberFormat="1" applyFont="1" applyFill="1" applyBorder="1"/>
    <xf numFmtId="168" fontId="15" fillId="0" borderId="17" xfId="0" applyNumberFormat="1" applyFont="1" applyFill="1" applyBorder="1"/>
    <xf numFmtId="168" fontId="15" fillId="0" borderId="19" xfId="0" applyNumberFormat="1" applyFont="1" applyFill="1" applyBorder="1"/>
    <xf numFmtId="168" fontId="15" fillId="0" borderId="46" xfId="0" applyNumberFormat="1" applyFont="1" applyFill="1" applyBorder="1"/>
    <xf numFmtId="168" fontId="6" fillId="0" borderId="0" xfId="0" applyNumberFormat="1" applyFont="1" applyFill="1" applyBorder="1"/>
    <xf numFmtId="168" fontId="6" fillId="0" borderId="12" xfId="0" applyNumberFormat="1" applyFont="1" applyFill="1" applyBorder="1"/>
    <xf numFmtId="168" fontId="6" fillId="0" borderId="17" xfId="0" applyNumberFormat="1" applyFont="1" applyFill="1" applyBorder="1"/>
    <xf numFmtId="168" fontId="6" fillId="0" borderId="18" xfId="0" applyNumberFormat="1" applyFont="1" applyFill="1" applyBorder="1"/>
    <xf numFmtId="168" fontId="6" fillId="0" borderId="19" xfId="0" applyNumberFormat="1" applyFont="1" applyFill="1" applyBorder="1"/>
    <xf numFmtId="168" fontId="6" fillId="0" borderId="46" xfId="0" applyNumberFormat="1" applyFont="1" applyFill="1" applyBorder="1"/>
    <xf numFmtId="168" fontId="15" fillId="0" borderId="36" xfId="0" applyNumberFormat="1" applyFont="1" applyFill="1" applyBorder="1"/>
    <xf numFmtId="168" fontId="15" fillId="0" borderId="37" xfId="0" applyNumberFormat="1" applyFont="1" applyFill="1" applyBorder="1"/>
    <xf numFmtId="168" fontId="15" fillId="0" borderId="33" xfId="0" applyNumberFormat="1" applyFont="1" applyFill="1" applyBorder="1"/>
    <xf numFmtId="168" fontId="15" fillId="0" borderId="34" xfId="0" applyNumberFormat="1" applyFont="1" applyFill="1" applyBorder="1"/>
    <xf numFmtId="168" fontId="15" fillId="0" borderId="61" xfId="0" applyNumberFormat="1" applyFont="1" applyFill="1" applyBorder="1"/>
    <xf numFmtId="168" fontId="15" fillId="0" borderId="18" xfId="0" applyNumberFormat="1" applyFont="1" applyFill="1" applyBorder="1"/>
    <xf numFmtId="168" fontId="15" fillId="0" borderId="12" xfId="0" applyNumberFormat="1" applyFont="1" applyFill="1" applyBorder="1"/>
    <xf numFmtId="0" fontId="15" fillId="0" borderId="18" xfId="0" applyFont="1" applyFill="1" applyBorder="1"/>
    <xf numFmtId="0" fontId="15" fillId="0" borderId="46" xfId="0" applyFont="1" applyFill="1" applyBorder="1"/>
    <xf numFmtId="44" fontId="15" fillId="0" borderId="12" xfId="0" applyNumberFormat="1" applyFont="1" applyFill="1" applyBorder="1"/>
    <xf numFmtId="44" fontId="15" fillId="0" borderId="17" xfId="0" applyNumberFormat="1" applyFont="1" applyFill="1" applyBorder="1"/>
    <xf numFmtId="44" fontId="15" fillId="0" borderId="19" xfId="0" applyNumberFormat="1" applyFont="1" applyFill="1" applyBorder="1"/>
    <xf numFmtId="44" fontId="15" fillId="0" borderId="18" xfId="0" applyNumberFormat="1" applyFont="1" applyFill="1" applyBorder="1"/>
    <xf numFmtId="0" fontId="15" fillId="0" borderId="0" xfId="0" applyNumberFormat="1" applyFont="1" applyFill="1" applyBorder="1"/>
    <xf numFmtId="44" fontId="15" fillId="0" borderId="46" xfId="0" applyNumberFormat="1" applyFont="1" applyFill="1" applyBorder="1"/>
    <xf numFmtId="0" fontId="15" fillId="0" borderId="38" xfId="0" applyFont="1" applyFill="1" applyBorder="1"/>
    <xf numFmtId="0" fontId="15" fillId="0" borderId="39" xfId="0" applyFont="1" applyFill="1" applyBorder="1"/>
    <xf numFmtId="0" fontId="15" fillId="0" borderId="8" xfId="0" applyFont="1" applyFill="1" applyBorder="1"/>
    <xf numFmtId="0" fontId="15" fillId="0" borderId="53" xfId="0" applyFont="1" applyFill="1" applyBorder="1"/>
    <xf numFmtId="167" fontId="15" fillId="0" borderId="0" xfId="0" applyNumberFormat="1" applyFont="1" applyFill="1" applyBorder="1"/>
    <xf numFmtId="0" fontId="15" fillId="0" borderId="48" xfId="0" applyFont="1" applyFill="1" applyBorder="1"/>
    <xf numFmtId="0" fontId="15" fillId="0" borderId="54" xfId="0" applyFont="1" applyFill="1" applyBorder="1"/>
    <xf numFmtId="0" fontId="15" fillId="0" borderId="49" xfId="0" applyFont="1" applyFill="1" applyBorder="1"/>
    <xf numFmtId="0" fontId="13" fillId="0" borderId="66" xfId="0" applyFont="1" applyFill="1" applyBorder="1" applyAlignment="1"/>
    <xf numFmtId="0" fontId="13" fillId="0" borderId="78" xfId="0" applyFont="1" applyFill="1" applyBorder="1" applyAlignment="1"/>
    <xf numFmtId="0" fontId="13" fillId="0" borderId="78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/>
    </xf>
    <xf numFmtId="9" fontId="15" fillId="0" borderId="18" xfId="0" applyNumberFormat="1" applyFont="1" applyFill="1" applyBorder="1"/>
    <xf numFmtId="168" fontId="15" fillId="0" borderId="8" xfId="0" applyNumberFormat="1" applyFont="1" applyFill="1" applyBorder="1"/>
    <xf numFmtId="168" fontId="15" fillId="0" borderId="3" xfId="0" applyNumberFormat="1" applyFont="1" applyFill="1" applyBorder="1"/>
    <xf numFmtId="168" fontId="15" fillId="0" borderId="9" xfId="0" applyNumberFormat="1" applyFont="1" applyFill="1" applyBorder="1"/>
    <xf numFmtId="44" fontId="3" fillId="0" borderId="0" xfId="0" applyNumberFormat="1" applyFont="1" applyFill="1" applyBorder="1"/>
    <xf numFmtId="10" fontId="3" fillId="0" borderId="0" xfId="0" applyNumberFormat="1" applyFont="1" applyFill="1" applyBorder="1"/>
    <xf numFmtId="44" fontId="3" fillId="0" borderId="0" xfId="0" applyNumberFormat="1" applyFont="1" applyFill="1" applyBorder="1"/>
    <xf numFmtId="167" fontId="3" fillId="0" borderId="0" xfId="0" applyNumberFormat="1" applyFont="1" applyFill="1" applyBorder="1"/>
    <xf numFmtId="168" fontId="3" fillId="0" borderId="0" xfId="0" applyNumberFormat="1" applyFont="1" applyFill="1" applyBorder="1"/>
    <xf numFmtId="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8" fontId="3" fillId="0" borderId="0" xfId="0" applyNumberFormat="1" applyFont="1" applyFill="1" applyBorder="1"/>
    <xf numFmtId="44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5" fontId="15" fillId="0" borderId="0" xfId="0" applyNumberFormat="1" applyFont="1" applyFill="1" applyBorder="1"/>
    <xf numFmtId="0" fontId="15" fillId="0" borderId="9" xfId="0" quotePrefix="1" applyFont="1" applyFill="1" applyBorder="1" applyAlignment="1">
      <alignment horizontal="center" wrapText="1"/>
    </xf>
    <xf numFmtId="0" fontId="15" fillId="0" borderId="8" xfId="0" quotePrefix="1" applyFont="1" applyFill="1" applyBorder="1" applyAlignment="1">
      <alignment horizontal="center" wrapText="1"/>
    </xf>
    <xf numFmtId="0" fontId="15" fillId="0" borderId="3" xfId="0" quotePrefix="1" applyFont="1" applyFill="1" applyBorder="1" applyAlignment="1">
      <alignment horizontal="center" wrapText="1"/>
    </xf>
    <xf numFmtId="167" fontId="2" fillId="0" borderId="18" xfId="0" applyNumberFormat="1" applyFont="1" applyFill="1" applyBorder="1"/>
    <xf numFmtId="44" fontId="15" fillId="0" borderId="19" xfId="0" applyNumberFormat="1" applyFont="1" applyFill="1" applyBorder="1"/>
    <xf numFmtId="10" fontId="15" fillId="0" borderId="19" xfId="0" applyNumberFormat="1" applyFont="1" applyFill="1" applyBorder="1"/>
    <xf numFmtId="10" fontId="15" fillId="0" borderId="46" xfId="0" applyNumberFormat="1" applyFont="1" applyFill="1" applyBorder="1"/>
    <xf numFmtId="0" fontId="15" fillId="0" borderId="55" xfId="0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59" xfId="0" applyFont="1" applyFill="1" applyBorder="1" applyAlignment="1">
      <alignment horizontal="center" wrapText="1"/>
    </xf>
    <xf numFmtId="0" fontId="15" fillId="0" borderId="26" xfId="0" applyFont="1" applyFill="1" applyBorder="1"/>
    <xf numFmtId="9" fontId="15" fillId="0" borderId="26" xfId="0" applyNumberFormat="1" applyFont="1" applyFill="1" applyBorder="1"/>
    <xf numFmtId="171" fontId="15" fillId="0" borderId="0" xfId="0" applyNumberFormat="1" applyFont="1" applyFill="1" applyBorder="1"/>
    <xf numFmtId="171" fontId="15" fillId="0" borderId="19" xfId="0" applyNumberFormat="1" applyFont="1" applyFill="1" applyBorder="1"/>
    <xf numFmtId="171" fontId="15" fillId="0" borderId="18" xfId="0" applyNumberFormat="1" applyFont="1" applyFill="1" applyBorder="1"/>
    <xf numFmtId="171" fontId="15" fillId="0" borderId="26" xfId="0" applyNumberFormat="1" applyFont="1" applyFill="1" applyBorder="1"/>
    <xf numFmtId="171" fontId="15" fillId="0" borderId="46" xfId="0" applyNumberFormat="1" applyFont="1" applyFill="1" applyBorder="1"/>
    <xf numFmtId="10" fontId="15" fillId="0" borderId="18" xfId="0" applyNumberFormat="1" applyFont="1" applyFill="1" applyBorder="1"/>
    <xf numFmtId="10" fontId="15" fillId="0" borderId="26" xfId="0" applyNumberFormat="1" applyFont="1" applyFill="1" applyBorder="1"/>
    <xf numFmtId="9" fontId="15" fillId="0" borderId="0" xfId="0" applyNumberFormat="1" applyFont="1" applyFill="1" applyBorder="1"/>
    <xf numFmtId="9" fontId="15" fillId="0" borderId="19" xfId="0" applyNumberFormat="1" applyFont="1" applyFill="1" applyBorder="1"/>
    <xf numFmtId="9" fontId="15" fillId="0" borderId="26" xfId="0" applyNumberFormat="1" applyFont="1" applyFill="1" applyBorder="1"/>
    <xf numFmtId="9" fontId="15" fillId="0" borderId="46" xfId="0" applyNumberFormat="1" applyFont="1" applyFill="1" applyBorder="1"/>
    <xf numFmtId="168" fontId="15" fillId="0" borderId="26" xfId="0" applyNumberFormat="1" applyFont="1" applyFill="1" applyBorder="1"/>
    <xf numFmtId="168" fontId="15" fillId="0" borderId="31" xfId="0" applyNumberFormat="1" applyFont="1" applyFill="1" applyBorder="1"/>
    <xf numFmtId="168" fontId="15" fillId="0" borderId="30" xfId="0" applyNumberFormat="1" applyFont="1" applyFill="1" applyBorder="1"/>
    <xf numFmtId="168" fontId="15" fillId="0" borderId="32" xfId="0" applyNumberFormat="1" applyFont="1" applyFill="1" applyBorder="1"/>
    <xf numFmtId="168" fontId="15" fillId="0" borderId="60" xfId="0" applyNumberFormat="1" applyFont="1" applyFill="1" applyBorder="1"/>
    <xf numFmtId="168" fontId="15" fillId="0" borderId="34" xfId="0" applyNumberFormat="1" applyFont="1" applyFill="1" applyBorder="1"/>
    <xf numFmtId="168" fontId="15" fillId="0" borderId="33" xfId="0" applyNumberFormat="1" applyFont="1" applyFill="1" applyBorder="1"/>
    <xf numFmtId="168" fontId="15" fillId="0" borderId="35" xfId="0" applyNumberFormat="1" applyFont="1" applyFill="1" applyBorder="1"/>
    <xf numFmtId="168" fontId="15" fillId="0" borderId="40" xfId="0" applyNumberFormat="1" applyFont="1" applyFill="1" applyBorder="1"/>
    <xf numFmtId="168" fontId="15" fillId="0" borderId="61" xfId="0" applyNumberFormat="1" applyFont="1" applyFill="1" applyBorder="1"/>
    <xf numFmtId="168" fontId="15" fillId="0" borderId="26" xfId="0" applyNumberFormat="1" applyFont="1" applyFill="1" applyBorder="1"/>
    <xf numFmtId="167" fontId="15" fillId="0" borderId="26" xfId="0" applyNumberFormat="1" applyFont="1" applyFill="1" applyBorder="1"/>
    <xf numFmtId="167" fontId="15" fillId="0" borderId="19" xfId="0" applyNumberFormat="1" applyFont="1" applyFill="1" applyBorder="1"/>
    <xf numFmtId="167" fontId="15" fillId="0" borderId="46" xfId="0" applyNumberFormat="1" applyFont="1" applyFill="1" applyBorder="1"/>
    <xf numFmtId="43" fontId="15" fillId="0" borderId="0" xfId="0" applyNumberFormat="1" applyFont="1" applyFill="1" applyBorder="1"/>
    <xf numFmtId="43" fontId="15" fillId="0" borderId="19" xfId="0" applyNumberFormat="1" applyFont="1" applyFill="1" applyBorder="1"/>
    <xf numFmtId="44" fontId="15" fillId="0" borderId="26" xfId="0" applyNumberFormat="1" applyFont="1" applyFill="1" applyBorder="1"/>
    <xf numFmtId="43" fontId="15" fillId="0" borderId="46" xfId="0" applyNumberFormat="1" applyFont="1" applyFill="1" applyBorder="1"/>
    <xf numFmtId="0" fontId="15" fillId="0" borderId="29" xfId="0" applyFont="1" applyFill="1" applyBorder="1" applyAlignment="1">
      <alignment horizontal="center" wrapText="1"/>
    </xf>
    <xf numFmtId="168" fontId="15" fillId="0" borderId="65" xfId="0" applyNumberFormat="1" applyFont="1" applyFill="1" applyBorder="1"/>
    <xf numFmtId="168" fontId="15" fillId="0" borderId="78" xfId="0" applyNumberFormat="1" applyFont="1" applyFill="1" applyBorder="1"/>
    <xf numFmtId="168" fontId="15" fillId="0" borderId="66" xfId="0" applyNumberFormat="1" applyFont="1" applyFill="1" applyBorder="1"/>
    <xf numFmtId="0" fontId="15" fillId="0" borderId="27" xfId="0" applyFont="1" applyFill="1" applyBorder="1"/>
    <xf numFmtId="167" fontId="11" fillId="0" borderId="0" xfId="0" applyNumberFormat="1" applyFont="1" applyFill="1" applyAlignment="1">
      <alignment horizontal="right"/>
    </xf>
    <xf numFmtId="0" fontId="0" fillId="0" borderId="0" xfId="0" quotePrefix="1" applyFill="1"/>
    <xf numFmtId="9" fontId="15" fillId="0" borderId="26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44" fontId="15" fillId="0" borderId="29" xfId="0" applyNumberFormat="1" applyFont="1" applyFill="1" applyBorder="1"/>
    <xf numFmtId="44" fontId="15" fillId="0" borderId="15" xfId="0" applyNumberFormat="1" applyFont="1" applyFill="1" applyBorder="1"/>
    <xf numFmtId="9" fontId="15" fillId="0" borderId="29" xfId="0" applyNumberFormat="1" applyFont="1" applyFill="1" applyBorder="1"/>
    <xf numFmtId="44" fontId="15" fillId="0" borderId="16" xfId="0" applyNumberFormat="1" applyFont="1" applyFill="1" applyBorder="1"/>
    <xf numFmtId="0" fontId="15" fillId="0" borderId="18" xfId="0" quotePrefix="1" applyFont="1" applyFill="1" applyBorder="1" applyAlignment="1">
      <alignment horizontal="left" indent="1"/>
    </xf>
    <xf numFmtId="0" fontId="15" fillId="0" borderId="8" xfId="0" quotePrefix="1" applyFont="1" applyFill="1" applyBorder="1" applyAlignment="1">
      <alignment horizontal="left" indent="1"/>
    </xf>
    <xf numFmtId="44" fontId="15" fillId="0" borderId="27" xfId="0" applyNumberFormat="1" applyFont="1" applyFill="1" applyBorder="1"/>
    <xf numFmtId="44" fontId="15" fillId="0" borderId="3" xfId="0" applyNumberFormat="1" applyFont="1" applyFill="1" applyBorder="1"/>
    <xf numFmtId="9" fontId="15" fillId="0" borderId="27" xfId="0" applyNumberFormat="1" applyFont="1" applyFill="1" applyBorder="1"/>
    <xf numFmtId="0" fontId="15" fillId="0" borderId="15" xfId="0" applyFont="1" applyFill="1" applyBorder="1" applyAlignment="1">
      <alignment horizontal="left" indent="1"/>
    </xf>
    <xf numFmtId="0" fontId="15" fillId="0" borderId="3" xfId="0" applyFont="1" applyFill="1" applyBorder="1" applyAlignment="1">
      <alignment horizontal="left" indent="1"/>
    </xf>
    <xf numFmtId="169" fontId="1" fillId="0" borderId="4" xfId="0" applyNumberFormat="1" applyFont="1" applyFill="1" applyBorder="1" applyAlignment="1"/>
    <xf numFmtId="10" fontId="0" fillId="0" borderId="16" xfId="0" applyNumberFormat="1" applyFont="1" applyFill="1" applyBorder="1"/>
    <xf numFmtId="0" fontId="0" fillId="0" borderId="9" xfId="0" applyFill="1" applyBorder="1"/>
    <xf numFmtId="10" fontId="0" fillId="0" borderId="23" xfId="0" applyNumberFormat="1" applyFont="1" applyFill="1" applyBorder="1"/>
    <xf numFmtId="41" fontId="0" fillId="0" borderId="16" xfId="0" applyNumberFormat="1" applyFill="1" applyBorder="1"/>
    <xf numFmtId="41" fontId="0" fillId="0" borderId="9" xfId="0" applyNumberFormat="1" applyFill="1" applyBorder="1"/>
    <xf numFmtId="41" fontId="0" fillId="0" borderId="19" xfId="0" applyNumberFormat="1" applyFill="1" applyBorder="1"/>
    <xf numFmtId="0" fontId="0" fillId="0" borderId="1" xfId="0" quotePrefix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4" fillId="0" borderId="20" xfId="0" quotePrefix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11" xfId="0" quotePrefix="1" applyFont="1" applyFill="1" applyBorder="1" applyAlignment="1">
      <alignment horizontal="center"/>
    </xf>
    <xf numFmtId="0" fontId="14" fillId="0" borderId="10" xfId="0" quotePrefix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14" xfId="0" quotePrefix="1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15" fillId="0" borderId="9" xfId="0" quotePrefix="1" applyFont="1" applyFill="1" applyBorder="1" applyAlignment="1">
      <alignment horizontal="center"/>
    </xf>
    <xf numFmtId="0" fontId="15" fillId="0" borderId="11" xfId="0" quotePrefix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11" xfId="0" quotePrefix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15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 wrapText="1"/>
    </xf>
    <xf numFmtId="0" fontId="15" fillId="0" borderId="57" xfId="0" quotePrefix="1" applyFont="1" applyFill="1" applyBorder="1" applyAlignment="1">
      <alignment horizontal="center" wrapText="1"/>
    </xf>
    <xf numFmtId="0" fontId="15" fillId="0" borderId="43" xfId="0" quotePrefix="1" applyFont="1" applyFill="1" applyBorder="1" applyAlignment="1">
      <alignment horizontal="center" wrapText="1"/>
    </xf>
    <xf numFmtId="0" fontId="15" fillId="0" borderId="56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5" fillId="0" borderId="80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14" xfId="0" quotePrefix="1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23" xfId="0" quotePrefix="1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5" fillId="0" borderId="73" xfId="0" quotePrefix="1" applyFont="1" applyFill="1" applyBorder="1" applyAlignment="1">
      <alignment horizontal="center"/>
    </xf>
    <xf numFmtId="0" fontId="15" fillId="0" borderId="74" xfId="0" quotePrefix="1" applyFont="1" applyFill="1" applyBorder="1" applyAlignment="1">
      <alignment horizontal="center"/>
    </xf>
    <xf numFmtId="0" fontId="15" fillId="0" borderId="75" xfId="0" applyFont="1" applyFill="1" applyBorder="1" applyAlignment="1">
      <alignment horizontal="center"/>
    </xf>
    <xf numFmtId="0" fontId="15" fillId="0" borderId="77" xfId="0" quotePrefix="1" applyFont="1" applyFill="1" applyBorder="1" applyAlignment="1">
      <alignment horizontal="center"/>
    </xf>
    <xf numFmtId="0" fontId="15" fillId="0" borderId="74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/>
    </xf>
    <xf numFmtId="0" fontId="15" fillId="0" borderId="73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70" fontId="3" fillId="0" borderId="2" xfId="0" quotePrefix="1" applyNumberFormat="1" applyFont="1" applyFill="1" applyBorder="1" applyAlignment="1">
      <alignment horizontal="center" vertical="center" wrapText="1"/>
    </xf>
    <xf numFmtId="170" fontId="3" fillId="0" borderId="2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quotePrefix="1" applyNumberFormat="1" applyFont="1" applyFill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716281</xdr:colOff>
      <xdr:row>28</xdr:row>
      <xdr:rowOff>68580</xdr:rowOff>
    </xdr:from>
    <xdr:to>
      <xdr:col>9</xdr:col>
      <xdr:colOff>441960</xdr:colOff>
      <xdr:row>41</xdr:row>
      <xdr:rowOff>61216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2581" y="4808220"/>
          <a:ext cx="3268979" cy="2217676"/>
        </a:xfrm>
        <a:prstGeom prst="rect">
          <a:avLst/>
        </a:prstGeom>
      </xdr:spPr>
    </xdr:pic>
    <xdr:clientData/>
  </xdr:twoCellAnchor>
  <xdr:twoCellAnchor>
    <xdr:from>
      <xdr:col>3</xdr:col>
      <xdr:colOff>68580</xdr:colOff>
      <xdr:row>28</xdr:row>
      <xdr:rowOff>60960</xdr:rowOff>
    </xdr:from>
    <xdr:to>
      <xdr:col>4</xdr:col>
      <xdr:colOff>647700</xdr:colOff>
      <xdr:row>29</xdr:row>
      <xdr:rowOff>7620</xdr:rowOff>
    </xdr:to>
    <xdr:cxnSp macro="">
      <xdr:nvCxnSpPr>
        <xdr:cNvPr id="4" name="Straight Arrow Connector 3"/>
        <xdr:cNvCxnSpPr/>
      </xdr:nvCxnSpPr>
      <xdr:spPr>
        <a:xfrm>
          <a:off x="3970020" y="4800600"/>
          <a:ext cx="1363980" cy="114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Spread-and-Rate-Design-(Elec)-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Sch-40-Fixed-Charge-Rate)-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495</v>
          </cell>
          <cell r="E15">
            <v>51.67</v>
          </cell>
          <cell r="H15">
            <v>52.3</v>
          </cell>
        </row>
        <row r="16">
          <cell r="C16">
            <v>825</v>
          </cell>
          <cell r="E16">
            <v>104.46</v>
          </cell>
          <cell r="H16">
            <v>105.74</v>
          </cell>
        </row>
        <row r="17">
          <cell r="C17">
            <v>387</v>
          </cell>
          <cell r="E17">
            <v>339.51</v>
          </cell>
          <cell r="H17">
            <v>343.66</v>
          </cell>
        </row>
        <row r="21">
          <cell r="C21">
            <v>286202830</v>
          </cell>
          <cell r="E21">
            <v>5.6638000000000001E-2</v>
          </cell>
          <cell r="H21">
            <v>5.3848E-2</v>
          </cell>
        </row>
        <row r="22">
          <cell r="C22">
            <v>343241100</v>
          </cell>
          <cell r="E22">
            <v>5.5190999999999997E-2</v>
          </cell>
          <cell r="H22">
            <v>5.1728999999999997E-2</v>
          </cell>
        </row>
        <row r="24">
          <cell r="C24">
            <v>423503.04529972037</v>
          </cell>
          <cell r="E24">
            <v>5.6638000000000001E-2</v>
          </cell>
        </row>
        <row r="25">
          <cell r="C25">
            <v>-30131.256685476576</v>
          </cell>
          <cell r="E25">
            <v>5.5190999999999997E-2</v>
          </cell>
        </row>
        <row r="26">
          <cell r="C26">
            <v>-8158575.4494833089</v>
          </cell>
          <cell r="E26">
            <v>6.2047999999999999E-2</v>
          </cell>
          <cell r="H26">
            <v>7.2567000000000006E-2</v>
          </cell>
        </row>
        <row r="30">
          <cell r="E30">
            <v>4.2</v>
          </cell>
          <cell r="H30">
            <v>6.13</v>
          </cell>
        </row>
        <row r="31">
          <cell r="E31">
            <v>4.1100000000000003</v>
          </cell>
          <cell r="H31">
            <v>5.88</v>
          </cell>
        </row>
        <row r="35">
          <cell r="C35">
            <v>61195990</v>
          </cell>
          <cell r="E35">
            <v>1.24E-3</v>
          </cell>
          <cell r="H35">
            <v>1.2600000000000001E-3</v>
          </cell>
        </row>
        <row r="36">
          <cell r="C36">
            <v>98712577</v>
          </cell>
          <cell r="E36">
            <v>1.08E-3</v>
          </cell>
          <cell r="H36">
            <v>1.07E-3</v>
          </cell>
        </row>
        <row r="39">
          <cell r="G39">
            <v>3441161.8012620001</v>
          </cell>
        </row>
        <row r="41">
          <cell r="J41">
            <v>45113185.5</v>
          </cell>
        </row>
        <row r="55">
          <cell r="G55">
            <v>5.77</v>
          </cell>
        </row>
        <row r="59">
          <cell r="G59">
            <v>5.0738999999999999E-2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  <cell r="K8">
            <v>67312</v>
          </cell>
        </row>
        <row r="9">
          <cell r="D9">
            <v>51195</v>
          </cell>
          <cell r="K9">
            <v>53929</v>
          </cell>
        </row>
        <row r="10">
          <cell r="D10">
            <v>8328</v>
          </cell>
          <cell r="K10">
            <v>8557</v>
          </cell>
        </row>
        <row r="11">
          <cell r="D11">
            <v>18312</v>
          </cell>
          <cell r="K11">
            <v>18816</v>
          </cell>
        </row>
        <row r="12">
          <cell r="D12">
            <v>43720</v>
          </cell>
          <cell r="K12">
            <v>47677</v>
          </cell>
        </row>
        <row r="13">
          <cell r="D13">
            <v>20809</v>
          </cell>
          <cell r="K13">
            <v>22692</v>
          </cell>
        </row>
        <row r="14">
          <cell r="D14">
            <v>243637</v>
          </cell>
          <cell r="K14">
            <v>273811</v>
          </cell>
        </row>
        <row r="15">
          <cell r="D15">
            <v>234957</v>
          </cell>
          <cell r="K15">
            <v>264056</v>
          </cell>
        </row>
        <row r="16">
          <cell r="D16">
            <v>56070</v>
          </cell>
          <cell r="K16">
            <v>56070</v>
          </cell>
        </row>
        <row r="17">
          <cell r="D17">
            <v>173756</v>
          </cell>
          <cell r="K17">
            <v>193363</v>
          </cell>
        </row>
        <row r="18">
          <cell r="D18">
            <v>75405</v>
          </cell>
          <cell r="K18">
            <v>83914</v>
          </cell>
        </row>
        <row r="19">
          <cell r="D19">
            <v>41376</v>
          </cell>
          <cell r="K19">
            <v>41376</v>
          </cell>
        </row>
        <row r="20">
          <cell r="D20">
            <v>45839</v>
          </cell>
          <cell r="K20">
            <v>47824</v>
          </cell>
        </row>
        <row r="21">
          <cell r="D21">
            <v>1038</v>
          </cell>
          <cell r="K21">
            <v>1040</v>
          </cell>
        </row>
        <row r="22">
          <cell r="D22">
            <v>50859</v>
          </cell>
          <cell r="K22">
            <v>50976</v>
          </cell>
        </row>
        <row r="23">
          <cell r="D23">
            <v>3275</v>
          </cell>
          <cell r="K23">
            <v>3319</v>
          </cell>
        </row>
        <row r="24">
          <cell r="D24">
            <v>51230</v>
          </cell>
          <cell r="K24">
            <v>51915</v>
          </cell>
        </row>
        <row r="25">
          <cell r="D25">
            <v>11290</v>
          </cell>
          <cell r="K25">
            <v>11290</v>
          </cell>
        </row>
        <row r="34">
          <cell r="D34">
            <v>570788</v>
          </cell>
          <cell r="G34">
            <v>578556</v>
          </cell>
          <cell r="K34">
            <v>629520</v>
          </cell>
        </row>
        <row r="35">
          <cell r="D35">
            <v>627620</v>
          </cell>
          <cell r="G35">
            <v>628883</v>
          </cell>
          <cell r="K35">
            <v>668417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  <cell r="D56">
            <v>15874.019999999999</v>
          </cell>
        </row>
        <row r="57">
          <cell r="C57">
            <v>1.6131E-2</v>
          </cell>
          <cell r="D57">
            <v>1552.28613</v>
          </cell>
        </row>
      </sheetData>
      <sheetData sheetId="10">
        <row r="27">
          <cell r="E27">
            <v>3565</v>
          </cell>
        </row>
        <row r="56">
          <cell r="C56">
            <v>5.35</v>
          </cell>
          <cell r="D56">
            <v>264627.05</v>
          </cell>
        </row>
        <row r="59">
          <cell r="C59">
            <v>1.6376999999999999E-2</v>
          </cell>
          <cell r="D59">
            <v>160167.06</v>
          </cell>
        </row>
      </sheetData>
      <sheetData sheetId="11">
        <row r="27">
          <cell r="E27">
            <v>44357</v>
          </cell>
        </row>
        <row r="56">
          <cell r="C56">
            <v>1.55</v>
          </cell>
          <cell r="D56">
            <v>833692.29999999993</v>
          </cell>
        </row>
      </sheetData>
      <sheetData sheetId="12">
        <row r="27">
          <cell r="E27">
            <v>22083</v>
          </cell>
        </row>
        <row r="56">
          <cell r="C56">
            <v>5.28</v>
          </cell>
          <cell r="D56">
            <v>1240937.28</v>
          </cell>
        </row>
        <row r="58">
          <cell r="C58">
            <v>1.1511E-2</v>
          </cell>
          <cell r="D58">
            <v>215320.16159999999</v>
          </cell>
        </row>
      </sheetData>
      <sheetData sheetId="13">
        <row r="27">
          <cell r="E27">
            <v>4871</v>
          </cell>
        </row>
        <row r="56">
          <cell r="C56">
            <v>4.04</v>
          </cell>
          <cell r="D56">
            <v>223145.36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  <cell r="D56">
            <v>58561.440000000002</v>
          </cell>
        </row>
      </sheetData>
      <sheetData sheetId="16">
        <row r="56">
          <cell r="C56">
            <v>2.09</v>
          </cell>
          <cell r="D56">
            <v>110326.91999999998</v>
          </cell>
        </row>
        <row r="57">
          <cell r="C57">
            <v>1.6131E-2</v>
          </cell>
          <cell r="D57">
            <v>10663.236239999998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  <cell r="D56">
            <v>100926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  <cell r="D56">
            <v>34342.080000000002</v>
          </cell>
        </row>
      </sheetData>
      <sheetData sheetId="23">
        <row r="56">
          <cell r="C56">
            <v>1.31</v>
          </cell>
          <cell r="D56">
            <v>62649.440000000002</v>
          </cell>
        </row>
      </sheetData>
      <sheetData sheetId="24">
        <row r="56">
          <cell r="C56">
            <v>1.68</v>
          </cell>
          <cell r="D56">
            <v>87388.56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  <cell r="D56">
            <v>20999.4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 Read Me"/>
      <sheetName val="Sch 40 FCR Table"/>
      <sheetName val="FCR Rates Feeder"/>
      <sheetName val="FCR Rates Sub"/>
      <sheetName val="Lvl FCR Sub Equip"/>
      <sheetName val="Lvl FCR Feeder"/>
      <sheetName val="LvlFCR Land"/>
      <sheetName val="Sub &amp; Feeder Depr Life"/>
      <sheetName val="3.04 E"/>
      <sheetName val="Pg 1 CofCap"/>
    </sheetNames>
    <sheetDataSet>
      <sheetData sheetId="0"/>
      <sheetData sheetId="1">
        <row r="2">
          <cell r="A2" t="str">
            <v>Docket No. UE-170033 + Weighted Cost of Capital = 7.60% + 49 Year Substation Plant Life + 35 Year Feeder Plant Life</v>
          </cell>
        </row>
        <row r="7">
          <cell r="B7">
            <v>9.1354726579609066E-2</v>
          </cell>
          <cell r="C7">
            <v>8.9372582615905138E-2</v>
          </cell>
          <cell r="D7">
            <v>0.10055297513164314</v>
          </cell>
        </row>
        <row r="8">
          <cell r="C8">
            <v>8.93939629923301E-2</v>
          </cell>
          <cell r="D8">
            <v>9.9985576167679099E-2</v>
          </cell>
        </row>
        <row r="9">
          <cell r="C9">
            <v>8.9572536277129175E-2</v>
          </cell>
          <cell r="D9">
            <v>9.9612111045201887E-2</v>
          </cell>
        </row>
        <row r="10">
          <cell r="C10">
            <v>8.9818076622133231E-2</v>
          </cell>
          <cell r="D10">
            <v>9.9259681469330549E-2</v>
          </cell>
        </row>
        <row r="11">
          <cell r="C11">
            <v>9.0132176752108287E-2</v>
          </cell>
          <cell r="D11">
            <v>9.8917329835737006E-2</v>
          </cell>
        </row>
        <row r="12">
          <cell r="C12">
            <v>9.0516064949685726E-2</v>
          </cell>
          <cell r="D12">
            <v>9.8572141687167159E-2</v>
          </cell>
        </row>
        <row r="13">
          <cell r="C13">
            <v>9.0975656829447943E-2</v>
          </cell>
          <cell r="D13">
            <v>9.8217281170201107E-2</v>
          </cell>
        </row>
        <row r="14">
          <cell r="C14">
            <v>9.1514156859175882E-2</v>
          </cell>
          <cell r="D14">
            <v>9.7839477750319009E-2</v>
          </cell>
        </row>
        <row r="15">
          <cell r="C15">
            <v>9.2134584573126857E-2</v>
          </cell>
          <cell r="D15">
            <v>9.7423186834848061E-2</v>
          </cell>
        </row>
        <row r="16">
          <cell r="C16">
            <v>9.2863655117495059E-2</v>
          </cell>
          <cell r="D16">
            <v>9.6986081373603553E-2</v>
          </cell>
        </row>
        <row r="17">
          <cell r="C17">
            <v>9.371900028296011E-2</v>
          </cell>
          <cell r="D17">
            <v>9.6526560247679818E-2</v>
          </cell>
        </row>
        <row r="18">
          <cell r="C18">
            <v>9.4721818336803973E-2</v>
          </cell>
          <cell r="D18">
            <v>9.6169843043430431E-2</v>
          </cell>
        </row>
        <row r="19">
          <cell r="C19">
            <v>9.5897790349641604E-2</v>
          </cell>
          <cell r="D19">
            <v>9.5932887081696686E-2</v>
          </cell>
        </row>
        <row r="20">
          <cell r="C20">
            <v>9.7278287260613203E-2</v>
          </cell>
          <cell r="D20">
            <v>9.5786316518425424E-2</v>
          </cell>
        </row>
        <row r="21">
          <cell r="C21">
            <v>9.8901978890415465E-2</v>
          </cell>
          <cell r="D21">
            <v>9.5745973295095682E-2</v>
          </cell>
        </row>
        <row r="22">
          <cell r="C22">
            <v>0.10081700659633357</v>
          </cell>
          <cell r="D22">
            <v>9.5830196396109957E-2</v>
          </cell>
        </row>
        <row r="23">
          <cell r="C23">
            <v>0.10308395865366585</v>
          </cell>
          <cell r="D23">
            <v>9.6060249776773785E-2</v>
          </cell>
        </row>
        <row r="24">
          <cell r="C24">
            <v>0.10578000844541775</v>
          </cell>
          <cell r="D24">
            <v>9.6460834414242094E-2</v>
          </cell>
        </row>
        <row r="25">
          <cell r="C25">
            <v>0.10900476885770152</v>
          </cell>
          <cell r="D25">
            <v>9.7060703781840674E-2</v>
          </cell>
        </row>
        <row r="26">
          <cell r="C26">
            <v>0.11288873259631342</v>
          </cell>
          <cell r="D26">
            <v>9.7893407217892386E-2</v>
          </cell>
        </row>
        <row r="27">
          <cell r="C27">
            <v>0.11760569960438103</v>
          </cell>
          <cell r="D27">
            <v>9.8998192437485213E-2</v>
          </cell>
        </row>
        <row r="28">
          <cell r="C28">
            <v>0.12297683193566911</v>
          </cell>
          <cell r="D28">
            <v>0.10006258588367062</v>
          </cell>
        </row>
        <row r="29">
          <cell r="C29">
            <v>0.12914303943838007</v>
          </cell>
          <cell r="D29">
            <v>0.10107637450967134</v>
          </cell>
        </row>
        <row r="30">
          <cell r="C30">
            <v>0.13648155587681532</v>
          </cell>
          <cell r="D30">
            <v>0.10216814687613364</v>
          </cell>
        </row>
        <row r="31">
          <cell r="C31">
            <v>0.14533608713281182</v>
          </cell>
          <cell r="D31">
            <v>0.10334726103191294</v>
          </cell>
        </row>
        <row r="32">
          <cell r="C32">
            <v>0.15619786542009914</v>
          </cell>
          <cell r="D32">
            <v>0.10462463470067378</v>
          </cell>
        </row>
        <row r="33">
          <cell r="C33">
            <v>0.16979384787703997</v>
          </cell>
          <cell r="D33">
            <v>0.10601308434063127</v>
          </cell>
        </row>
        <row r="34">
          <cell r="C34">
            <v>0.18724633233402441</v>
          </cell>
          <cell r="D34">
            <v>0.10752775667513036</v>
          </cell>
        </row>
        <row r="35">
          <cell r="C35">
            <v>0.21038142799078391</v>
          </cell>
          <cell r="D35">
            <v>0.10918668351767695</v>
          </cell>
        </row>
        <row r="36">
          <cell r="C36">
            <v>0.24237643431574435</v>
          </cell>
          <cell r="D36">
            <v>0.11101150304447822</v>
          </cell>
        </row>
        <row r="37">
          <cell r="C37">
            <v>0.28927173406727447</v>
          </cell>
          <cell r="D37">
            <v>0.11302840883725855</v>
          </cell>
        </row>
        <row r="38">
          <cell r="C38">
            <v>0.364051854003211</v>
          </cell>
          <cell r="D38">
            <v>0.11526941527368116</v>
          </cell>
        </row>
        <row r="39">
          <cell r="C39">
            <v>0.5002278809951437</v>
          </cell>
          <cell r="D39">
            <v>0.11777406952615349</v>
          </cell>
        </row>
        <row r="40">
          <cell r="C40">
            <v>0.81520695045066449</v>
          </cell>
          <cell r="D40">
            <v>0.12059180556018483</v>
          </cell>
        </row>
        <row r="41">
          <cell r="C41">
            <v>2.0985158257799204</v>
          </cell>
          <cell r="D41">
            <v>0.12378523973208705</v>
          </cell>
        </row>
        <row r="42">
          <cell r="D42">
            <v>0.12743487878568954</v>
          </cell>
        </row>
        <row r="43">
          <cell r="D43">
            <v>0.12439026050006773</v>
          </cell>
        </row>
        <row r="44">
          <cell r="D44">
            <v>0.12066697456438914</v>
          </cell>
        </row>
        <row r="45">
          <cell r="D45">
            <v>0.11606573317250761</v>
          </cell>
        </row>
        <row r="46">
          <cell r="D46">
            <v>0.12205699665777235</v>
          </cell>
        </row>
        <row r="47">
          <cell r="D47">
            <v>0.12937965202865148</v>
          </cell>
        </row>
        <row r="48">
          <cell r="D48">
            <v>0.13853297124225036</v>
          </cell>
        </row>
        <row r="49">
          <cell r="D49">
            <v>0.15030152451687745</v>
          </cell>
        </row>
        <row r="50">
          <cell r="D50">
            <v>0.1506556606842763</v>
          </cell>
        </row>
        <row r="51">
          <cell r="D51">
            <v>0.1510268370493387</v>
          </cell>
        </row>
        <row r="52">
          <cell r="D52">
            <v>0.15141599540472925</v>
          </cell>
        </row>
        <row r="53">
          <cell r="D53">
            <v>0.15182413364663286</v>
          </cell>
        </row>
        <row r="54">
          <cell r="D54">
            <v>0.152252309276872</v>
          </cell>
        </row>
        <row r="55">
          <cell r="D55">
            <v>0.15270164313071075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05">
          <cell r="I305">
            <v>1.4109999999999999E-2</v>
          </cell>
          <cell r="J305">
            <v>9.4240000000000001E-3</v>
          </cell>
          <cell r="R305">
            <v>9.9850000000000008E-3</v>
          </cell>
        </row>
        <row r="306">
          <cell r="I306">
            <v>0</v>
          </cell>
          <cell r="J306">
            <v>0</v>
          </cell>
          <cell r="R306">
            <v>0</v>
          </cell>
        </row>
        <row r="307">
          <cell r="I307">
            <v>3.97E-4</v>
          </cell>
          <cell r="J307">
            <v>1.03E-4</v>
          </cell>
          <cell r="R307">
            <v>1.2819999999999999E-3</v>
          </cell>
        </row>
        <row r="308">
          <cell r="I308">
            <v>0</v>
          </cell>
          <cell r="J308">
            <v>0</v>
          </cell>
          <cell r="R308">
            <v>0</v>
          </cell>
        </row>
        <row r="309">
          <cell r="I309">
            <v>0</v>
          </cell>
          <cell r="J309">
            <v>0</v>
          </cell>
          <cell r="R309">
            <v>0</v>
          </cell>
        </row>
        <row r="310">
          <cell r="I310">
            <v>0</v>
          </cell>
          <cell r="J310">
            <v>0</v>
          </cell>
          <cell r="R310">
            <v>0</v>
          </cell>
        </row>
        <row r="311">
          <cell r="I311">
            <v>1.4507000000000001E-2</v>
          </cell>
          <cell r="J311">
            <v>9.528E-3</v>
          </cell>
          <cell r="R311">
            <v>1.1266999999999999E-2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>
            <v>1956848283.1288807</v>
          </cell>
          <cell r="E12">
            <v>412553819.036915</v>
          </cell>
          <cell r="G12">
            <v>811790883.297997</v>
          </cell>
        </row>
        <row r="14"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C15">
            <v>148720469.51779497</v>
          </cell>
          <cell r="E15">
            <v>31354090.246805545</v>
          </cell>
          <cell r="G15">
            <v>61696107.130647779</v>
          </cell>
        </row>
        <row r="18">
          <cell r="C18">
            <v>393645161.76380515</v>
          </cell>
        </row>
        <row r="19">
          <cell r="C19">
            <v>0</v>
          </cell>
        </row>
        <row r="20">
          <cell r="C20">
            <v>-116557093.08126342</v>
          </cell>
        </row>
        <row r="21">
          <cell r="C21">
            <v>0</v>
          </cell>
        </row>
        <row r="22">
          <cell r="C22">
            <v>-22600350.728429999</v>
          </cell>
        </row>
        <row r="23">
          <cell r="C23">
            <v>254487717.95411173</v>
          </cell>
        </row>
        <row r="25"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C27">
            <v>171034637.1467945</v>
          </cell>
          <cell r="E27">
            <v>90146855.228875428</v>
          </cell>
          <cell r="G27">
            <v>38461586.291726932</v>
          </cell>
        </row>
        <row r="29">
          <cell r="C29">
            <v>319755106.66458946</v>
          </cell>
          <cell r="E29">
            <v>121500945.47568098</v>
          </cell>
          <cell r="G29">
            <v>100157693.42237471</v>
          </cell>
        </row>
        <row r="31"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9">
        <row r="8">
          <cell r="C8">
            <v>103875176.45128563</v>
          </cell>
        </row>
        <row r="9">
          <cell r="C9">
            <v>12120662.048645999</v>
          </cell>
        </row>
        <row r="10">
          <cell r="C10">
            <v>115995838.49993163</v>
          </cell>
        </row>
        <row r="12">
          <cell r="C12">
            <v>9609442662.6340485</v>
          </cell>
        </row>
        <row r="13">
          <cell r="C13">
            <v>249690577</v>
          </cell>
        </row>
        <row r="14">
          <cell r="C14">
            <v>-3731494011.0243964</v>
          </cell>
        </row>
        <row r="15">
          <cell r="C15">
            <v>6127639228.6096516</v>
          </cell>
        </row>
        <row r="17">
          <cell r="C17">
            <v>1.8929939275529255E-2</v>
          </cell>
        </row>
        <row r="19">
          <cell r="C19">
            <v>22068236.151700709</v>
          </cell>
        </row>
        <row r="20">
          <cell r="C20">
            <v>61384844.655616507</v>
          </cell>
        </row>
        <row r="21">
          <cell r="C21">
            <v>83453080.807317212</v>
          </cell>
        </row>
        <row r="23">
          <cell r="C23">
            <v>3527148862.6370139</v>
          </cell>
        </row>
        <row r="24">
          <cell r="C24">
            <v>-1343449038.3772523</v>
          </cell>
        </row>
        <row r="25">
          <cell r="C25">
            <v>2183699824.2597618</v>
          </cell>
        </row>
        <row r="27">
          <cell r="C27">
            <v>3.8216370162325965E-2</v>
          </cell>
        </row>
        <row r="29">
          <cell r="C29">
            <v>5.7146309437855217E-2</v>
          </cell>
        </row>
        <row r="31">
          <cell r="C31">
            <v>0.75238499999999997</v>
          </cell>
        </row>
        <row r="33">
          <cell r="C33">
            <v>7.5999999999999998E-2</v>
          </cell>
        </row>
      </sheetData>
      <sheetData sheetId="10">
        <row r="10">
          <cell r="C10">
            <v>878332210.42888725</v>
          </cell>
        </row>
        <row r="11">
          <cell r="C11">
            <v>128743312.0185762</v>
          </cell>
        </row>
        <row r="12">
          <cell r="C12">
            <v>83453080.807317212</v>
          </cell>
        </row>
        <row r="13">
          <cell r="C13">
            <v>48572376.113885924</v>
          </cell>
        </row>
        <row r="14">
          <cell r="C14">
            <v>2624824.6900138855</v>
          </cell>
        </row>
        <row r="16">
          <cell r="C16">
            <v>-241078323.35858226</v>
          </cell>
        </row>
        <row r="17">
          <cell r="C17">
            <v>-390670460.01001596</v>
          </cell>
        </row>
        <row r="18">
          <cell r="C18">
            <v>-138209148.65181676</v>
          </cell>
        </row>
        <row r="19">
          <cell r="C19">
            <v>-108374278.4084723</v>
          </cell>
        </row>
        <row r="20">
          <cell r="C20">
            <v>-26209.79999999702</v>
          </cell>
        </row>
        <row r="21">
          <cell r="C21">
            <v>263367383.82979327</v>
          </cell>
        </row>
        <row r="23">
          <cell r="C23">
            <v>115995838.49993163</v>
          </cell>
        </row>
        <row r="25">
          <cell r="C25">
            <v>0.44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11" workbookViewId="0">
      <selection activeCell="B25" sqref="B25"/>
    </sheetView>
  </sheetViews>
  <sheetFormatPr defaultColWidth="9.109375" defaultRowHeight="30" x14ac:dyDescent="0.5"/>
  <cols>
    <col min="1" max="1" width="19.44140625" style="19" bestFit="1" customWidth="1"/>
    <col min="2" max="2" width="147.44140625" style="19" bestFit="1" customWidth="1"/>
    <col min="3" max="16384" width="9.109375" style="25"/>
  </cols>
  <sheetData>
    <row r="1" spans="1:2" x14ac:dyDescent="0.5">
      <c r="A1" s="14" t="s">
        <v>0</v>
      </c>
      <c r="B1" s="14"/>
    </row>
    <row r="2" spans="1:2" x14ac:dyDescent="0.5">
      <c r="A2" s="15" t="s">
        <v>194</v>
      </c>
      <c r="B2" s="15"/>
    </row>
    <row r="3" spans="1:2" x14ac:dyDescent="0.5">
      <c r="A3" s="14" t="s">
        <v>239</v>
      </c>
      <c r="B3" s="14"/>
    </row>
    <row r="4" spans="1:2" x14ac:dyDescent="0.5">
      <c r="A4" s="14" t="s">
        <v>407</v>
      </c>
      <c r="B4" s="14"/>
    </row>
    <row r="5" spans="1:2" x14ac:dyDescent="0.5">
      <c r="A5" s="14"/>
      <c r="B5" s="14"/>
    </row>
    <row r="7" spans="1:2" x14ac:dyDescent="0.5">
      <c r="A7" s="16" t="s">
        <v>195</v>
      </c>
      <c r="B7" s="17" t="s">
        <v>196</v>
      </c>
    </row>
    <row r="8" spans="1:2" x14ac:dyDescent="0.5">
      <c r="A8" s="18">
        <v>2</v>
      </c>
      <c r="B8" s="158" t="s">
        <v>197</v>
      </c>
    </row>
    <row r="9" spans="1:2" x14ac:dyDescent="0.5">
      <c r="A9" s="18">
        <v>3</v>
      </c>
      <c r="B9" s="158" t="s">
        <v>198</v>
      </c>
    </row>
    <row r="10" spans="1:2" x14ac:dyDescent="0.5">
      <c r="A10" s="569">
        <v>4</v>
      </c>
      <c r="B10" s="570" t="s">
        <v>199</v>
      </c>
    </row>
    <row r="11" spans="1:2" x14ac:dyDescent="0.5">
      <c r="A11" s="18" t="s">
        <v>373</v>
      </c>
      <c r="B11" s="570" t="s">
        <v>200</v>
      </c>
    </row>
    <row r="12" spans="1:2" x14ac:dyDescent="0.5">
      <c r="A12" s="18" t="s">
        <v>377</v>
      </c>
      <c r="B12" s="570" t="s">
        <v>201</v>
      </c>
    </row>
    <row r="13" spans="1:2" x14ac:dyDescent="0.5">
      <c r="A13" s="18" t="s">
        <v>378</v>
      </c>
      <c r="B13" s="570" t="s">
        <v>202</v>
      </c>
    </row>
    <row r="14" spans="1:2" x14ac:dyDescent="0.5">
      <c r="A14" s="18">
        <v>24</v>
      </c>
      <c r="B14" s="212" t="s">
        <v>366</v>
      </c>
    </row>
    <row r="15" spans="1:2" x14ac:dyDescent="0.5">
      <c r="A15" s="18">
        <v>25</v>
      </c>
      <c r="B15" s="212" t="s">
        <v>374</v>
      </c>
    </row>
    <row r="16" spans="1:2" x14ac:dyDescent="0.5">
      <c r="A16" s="18">
        <v>26</v>
      </c>
      <c r="B16" s="212" t="s">
        <v>376</v>
      </c>
    </row>
    <row r="17" spans="1:2" x14ac:dyDescent="0.5">
      <c r="A17" s="18">
        <v>27</v>
      </c>
      <c r="B17" s="158" t="s">
        <v>203</v>
      </c>
    </row>
    <row r="18" spans="1:2" x14ac:dyDescent="0.5">
      <c r="A18" s="18" t="s">
        <v>379</v>
      </c>
      <c r="B18" s="212" t="s">
        <v>365</v>
      </c>
    </row>
    <row r="19" spans="1:2" x14ac:dyDescent="0.5">
      <c r="A19" s="18">
        <v>30</v>
      </c>
      <c r="B19" s="212" t="s">
        <v>493</v>
      </c>
    </row>
    <row r="20" spans="1:2" x14ac:dyDescent="0.5">
      <c r="A20" s="18">
        <v>31</v>
      </c>
      <c r="B20" s="158" t="s">
        <v>204</v>
      </c>
    </row>
    <row r="21" spans="1:2" x14ac:dyDescent="0.5">
      <c r="A21" s="18">
        <v>32</v>
      </c>
      <c r="B21" s="158" t="s">
        <v>205</v>
      </c>
    </row>
    <row r="22" spans="1:2" x14ac:dyDescent="0.5">
      <c r="A22" s="18">
        <v>33</v>
      </c>
      <c r="B22" s="158" t="s">
        <v>206</v>
      </c>
    </row>
    <row r="23" spans="1:2" x14ac:dyDescent="0.5">
      <c r="A23" s="18">
        <v>34</v>
      </c>
      <c r="B23" s="228" t="s">
        <v>375</v>
      </c>
    </row>
    <row r="25" spans="1:2" x14ac:dyDescent="0.5">
      <c r="B25" s="212"/>
    </row>
  </sheetData>
  <phoneticPr fontId="8" type="noConversion"/>
  <pageMargins left="0.75" right="0.75" top="1" bottom="1" header="0.5" footer="0.5"/>
  <pageSetup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H11" sqref="H11"/>
    </sheetView>
  </sheetViews>
  <sheetFormatPr defaultRowHeight="13.2" x14ac:dyDescent="0.25"/>
  <cols>
    <col min="1" max="1" width="31.5546875" style="230" bestFit="1" customWidth="1"/>
    <col min="2" max="2" width="13.33203125" style="230" bestFit="1" customWidth="1"/>
    <col min="3" max="3" width="13.33203125" style="230" customWidth="1"/>
    <col min="4" max="16384" width="8.88671875" style="230"/>
  </cols>
  <sheetData>
    <row r="1" spans="1:3" ht="15" thickBot="1" x14ac:dyDescent="0.3">
      <c r="A1" s="229"/>
    </row>
    <row r="2" spans="1:3" ht="58.2" thickBot="1" x14ac:dyDescent="0.3">
      <c r="A2" s="249" t="s">
        <v>277</v>
      </c>
      <c r="B2" s="250" t="s">
        <v>278</v>
      </c>
      <c r="C2" s="251" t="s">
        <v>361</v>
      </c>
    </row>
    <row r="3" spans="1:3" ht="15" thickBot="1" x14ac:dyDescent="0.3">
      <c r="A3" s="430" t="str">
        <f>+'2017 Sub &amp; Feeder NCP %'!A5</f>
        <v>Customer 11</v>
      </c>
      <c r="B3" s="431"/>
      <c r="C3" s="432">
        <v>0.94930000000000003</v>
      </c>
    </row>
    <row r="4" spans="1:3" ht="15" thickBot="1" x14ac:dyDescent="0.3">
      <c r="A4" s="231" t="str">
        <f>+'2017 Sub &amp; Feeder NCP %'!A10</f>
        <v>Customer 12</v>
      </c>
      <c r="B4" s="232"/>
      <c r="C4" s="233">
        <v>0.97319999999999995</v>
      </c>
    </row>
    <row r="5" spans="1:3" ht="15" thickBot="1" x14ac:dyDescent="0.3">
      <c r="A5" s="231" t="str">
        <f>+'2017 Sub &amp; Feeder NCP %'!A12</f>
        <v>Customer 4</v>
      </c>
      <c r="B5" s="232"/>
      <c r="C5" s="233">
        <v>1</v>
      </c>
    </row>
    <row r="6" spans="1:3" ht="15" thickBot="1" x14ac:dyDescent="0.3">
      <c r="A6" s="231" t="str">
        <f>+'2017 Sub &amp; Feeder NCP %'!A20</f>
        <v>Customer 9</v>
      </c>
      <c r="B6" s="232"/>
      <c r="C6" s="233">
        <v>0.91700000000000004</v>
      </c>
    </row>
    <row r="7" spans="1:3" ht="15" thickBot="1" x14ac:dyDescent="0.3">
      <c r="A7" s="231" t="str">
        <f>+'2017 Sub &amp; Feeder NCP %'!A24</f>
        <v>Customer 1</v>
      </c>
      <c r="B7" s="232"/>
      <c r="C7" s="233">
        <v>0.88980000000000004</v>
      </c>
    </row>
    <row r="8" spans="1:3" ht="15" thickBot="1" x14ac:dyDescent="0.3">
      <c r="A8" s="231" t="str">
        <f>+'2017 Sub &amp; Feeder NCP %'!A23</f>
        <v>Customer 3</v>
      </c>
      <c r="B8" s="232"/>
      <c r="C8" s="233">
        <v>1</v>
      </c>
    </row>
    <row r="9" spans="1:3" ht="15" thickBot="1" x14ac:dyDescent="0.3">
      <c r="A9" s="231" t="str">
        <f>+'2017 Sub &amp; Feeder NCP %'!A39</f>
        <v>Customer 2</v>
      </c>
      <c r="B9" s="232"/>
      <c r="C9" s="233">
        <v>0.89859999999999995</v>
      </c>
    </row>
    <row r="10" spans="1:3" ht="15" thickBot="1" x14ac:dyDescent="0.3">
      <c r="A10" s="231" t="str">
        <f>+'2017 Sub &amp; Feeder NCP %'!A13</f>
        <v>Customer 10</v>
      </c>
      <c r="B10" s="232"/>
      <c r="C10" s="233">
        <v>0.95850000000000002</v>
      </c>
    </row>
    <row r="11" spans="1:3" ht="15" thickBot="1" x14ac:dyDescent="0.3">
      <c r="A11" s="231" t="str">
        <f>+'2017 Sub &amp; Feeder NCP %'!A14</f>
        <v>Customer 8</v>
      </c>
      <c r="B11" s="232"/>
      <c r="C11" s="233">
        <v>0.99770000000000003</v>
      </c>
    </row>
    <row r="12" spans="1:3" ht="15" thickBot="1" x14ac:dyDescent="0.3">
      <c r="A12" s="231" t="str">
        <f>+'2017 Sub &amp; Feeder NCP %'!A17</f>
        <v>Customer 5</v>
      </c>
      <c r="B12" s="232"/>
      <c r="C12" s="233">
        <v>0.98680000000000001</v>
      </c>
    </row>
    <row r="13" spans="1:3" ht="15" thickBot="1" x14ac:dyDescent="0.3">
      <c r="A13" s="433" t="str">
        <f>+'Distribution Subs 2017'!CE6</f>
        <v>Customer 7</v>
      </c>
      <c r="B13" s="232"/>
      <c r="C13" s="233">
        <v>1</v>
      </c>
    </row>
    <row r="14" spans="1:3" ht="15" thickBot="1" x14ac:dyDescent="0.3">
      <c r="A14" s="231" t="str">
        <f>+'2017 Sub &amp; Feeder NCP %'!A4</f>
        <v>Customer 6</v>
      </c>
      <c r="B14" s="232"/>
      <c r="C14" s="233">
        <v>1</v>
      </c>
    </row>
    <row r="15" spans="1:3" ht="15" thickBot="1" x14ac:dyDescent="0.3">
      <c r="A15" s="231"/>
      <c r="B15" s="232"/>
      <c r="C15" s="233"/>
    </row>
    <row r="16" spans="1:3" ht="15" thickBot="1" x14ac:dyDescent="0.3">
      <c r="A16" s="231"/>
      <c r="B16" s="232"/>
      <c r="C16" s="233"/>
    </row>
    <row r="17" spans="1:3" ht="15" thickBot="1" x14ac:dyDescent="0.3">
      <c r="A17" s="231"/>
      <c r="B17" s="232"/>
      <c r="C17" s="232"/>
    </row>
    <row r="18" spans="1:3" ht="15" thickBot="1" x14ac:dyDescent="0.3">
      <c r="A18" s="234"/>
      <c r="B18" s="232"/>
      <c r="C18" s="233"/>
    </row>
  </sheetData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>
      <pane xSplit="1" ySplit="3" topLeftCell="B4" activePane="bottomRight" state="frozen"/>
      <selection activeCell="D46" sqref="D46"/>
      <selection pane="topRight" activeCell="D46" sqref="D46"/>
      <selection pane="bottomLeft" activeCell="D46" sqref="D46"/>
      <selection pane="bottomRight" activeCell="A54" sqref="A54:XFD54"/>
    </sheetView>
  </sheetViews>
  <sheetFormatPr defaultColWidth="9.109375" defaultRowHeight="13.2" x14ac:dyDescent="0.25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5" width="9.109375" style="3"/>
    <col min="6" max="6" width="49.33203125" style="3" bestFit="1" customWidth="1"/>
    <col min="7" max="7" width="18" style="3" bestFit="1" customWidth="1"/>
    <col min="8" max="8" width="19" style="3" bestFit="1" customWidth="1"/>
    <col min="9" max="9" width="9.109375" style="3"/>
    <col min="10" max="10" width="14" style="3" bestFit="1" customWidth="1"/>
    <col min="11" max="16384" width="9.109375" style="3"/>
  </cols>
  <sheetData>
    <row r="1" spans="1:8" ht="59.4" customHeight="1" x14ac:dyDescent="0.25">
      <c r="A1" s="655" t="str">
        <f ca="1">+'[3]Sch 40 FCR Table'!$A$2:$D$2</f>
        <v>Docket No. UE-170033 + Weighted Cost of Capital = 7.60% + 49 Year Substation Plant Life + 35 Year Feeder Plant Life</v>
      </c>
      <c r="B1" s="655"/>
      <c r="C1" s="655"/>
      <c r="D1" s="655"/>
    </row>
    <row r="2" spans="1:8" ht="13.8" thickBot="1" x14ac:dyDescent="0.3">
      <c r="A2" s="656"/>
      <c r="B2" s="656"/>
      <c r="C2" s="656"/>
      <c r="D2" s="656"/>
    </row>
    <row r="3" spans="1:8" ht="55.8" customHeight="1" thickBot="1" x14ac:dyDescent="0.3">
      <c r="A3" s="200" t="s">
        <v>280</v>
      </c>
      <c r="B3" s="201" t="s">
        <v>281</v>
      </c>
      <c r="C3" s="201" t="s">
        <v>282</v>
      </c>
      <c r="D3" s="201" t="s">
        <v>283</v>
      </c>
      <c r="F3" s="652" t="s">
        <v>302</v>
      </c>
      <c r="G3" s="653"/>
      <c r="H3" s="654"/>
    </row>
    <row r="4" spans="1:8" ht="13.8" thickBot="1" x14ac:dyDescent="0.3">
      <c r="A4" s="186">
        <v>0</v>
      </c>
      <c r="B4" s="202">
        <f ca="1">+'[3]Sch 40 FCR Table'!$B$7</f>
        <v>9.1354726579609066E-2</v>
      </c>
      <c r="C4" s="202">
        <f ca="1">+'[3]Sch 40 FCR Table'!C7</f>
        <v>8.9372582615905138E-2</v>
      </c>
      <c r="D4" s="202">
        <f ca="1">+'[3]Sch 40 FCR Table'!D7</f>
        <v>0.10055297513164314</v>
      </c>
      <c r="F4" s="213"/>
      <c r="G4" s="214"/>
      <c r="H4" s="215"/>
    </row>
    <row r="5" spans="1:8" x14ac:dyDescent="0.25">
      <c r="A5" s="186">
        <v>1</v>
      </c>
      <c r="B5" s="185"/>
      <c r="C5" s="202">
        <f ca="1">+'[3]Sch 40 FCR Table'!C8</f>
        <v>8.93939629923301E-2</v>
      </c>
      <c r="D5" s="202">
        <f ca="1">+'[3]Sch 40 FCR Table'!D8</f>
        <v>9.9985576167679099E-2</v>
      </c>
      <c r="F5" s="216" t="s">
        <v>7</v>
      </c>
      <c r="G5" s="217" t="s">
        <v>41</v>
      </c>
      <c r="H5" s="218" t="s">
        <v>42</v>
      </c>
    </row>
    <row r="6" spans="1:8" x14ac:dyDescent="0.25">
      <c r="A6" s="186">
        <f t="shared" ref="A6:A28" si="0">A5+1</f>
        <v>2</v>
      </c>
      <c r="B6" s="185"/>
      <c r="C6" s="202">
        <f ca="1">+'[3]Sch 40 FCR Table'!C9</f>
        <v>8.9572536277129175E-2</v>
      </c>
      <c r="D6" s="202">
        <f ca="1">+'[3]Sch 40 FCR Table'!D9</f>
        <v>9.9612111045201887E-2</v>
      </c>
      <c r="F6" s="219" t="s">
        <v>368</v>
      </c>
      <c r="G6" s="220">
        <v>564888008.76499999</v>
      </c>
      <c r="H6" s="221"/>
    </row>
    <row r="7" spans="1:8" ht="13.8" thickBot="1" x14ac:dyDescent="0.3">
      <c r="A7" s="186">
        <f t="shared" si="0"/>
        <v>3</v>
      </c>
      <c r="B7" s="185"/>
      <c r="C7" s="202">
        <f ca="1">+'[3]Sch 40 FCR Table'!C10</f>
        <v>8.9818076622133231E-2</v>
      </c>
      <c r="D7" s="202">
        <f ca="1">+'[3]Sch 40 FCR Table'!D10</f>
        <v>9.9259681469330549E-2</v>
      </c>
      <c r="F7" s="222" t="s">
        <v>369</v>
      </c>
      <c r="G7" s="223">
        <v>182639912.30400005</v>
      </c>
      <c r="H7" s="224">
        <f>ROUND(+G6/SQRT(G7^2+G6^2),2)</f>
        <v>0.95</v>
      </c>
    </row>
    <row r="8" spans="1:8" x14ac:dyDescent="0.25">
      <c r="A8" s="186">
        <f t="shared" si="0"/>
        <v>4</v>
      </c>
      <c r="B8" s="185"/>
      <c r="C8" s="202">
        <f ca="1">+'[3]Sch 40 FCR Table'!C11</f>
        <v>9.0132176752108287E-2</v>
      </c>
      <c r="D8" s="202">
        <f ca="1">+'[3]Sch 40 FCR Table'!D11</f>
        <v>9.8917329835737006E-2</v>
      </c>
      <c r="G8" s="4"/>
    </row>
    <row r="9" spans="1:8" x14ac:dyDescent="0.25">
      <c r="A9" s="186">
        <f t="shared" si="0"/>
        <v>5</v>
      </c>
      <c r="B9" s="185"/>
      <c r="C9" s="202">
        <f ca="1">+'[3]Sch 40 FCR Table'!C12</f>
        <v>9.0516064949685726E-2</v>
      </c>
      <c r="D9" s="202">
        <f ca="1">+'[3]Sch 40 FCR Table'!D12</f>
        <v>9.8572141687167159E-2</v>
      </c>
      <c r="F9" s="196" t="s">
        <v>303</v>
      </c>
      <c r="G9" s="196"/>
      <c r="H9" s="196" t="s">
        <v>119</v>
      </c>
    </row>
    <row r="10" spans="1:8" x14ac:dyDescent="0.25">
      <c r="A10" s="186">
        <f t="shared" si="0"/>
        <v>6</v>
      </c>
      <c r="B10" s="185"/>
      <c r="C10" s="202">
        <f ca="1">+'[3]Sch 40 FCR Table'!C13</f>
        <v>9.0975656829447943E-2</v>
      </c>
      <c r="D10" s="202">
        <f ca="1">+'[3]Sch 40 FCR Table'!D13</f>
        <v>9.8217281170201107E-2</v>
      </c>
      <c r="F10" s="225" t="s">
        <v>304</v>
      </c>
      <c r="G10" s="226">
        <f>+'LR - 2017 Loss Factor by Class'!K57</f>
        <v>1.7552976600949292E-2</v>
      </c>
      <c r="H10" s="196"/>
    </row>
    <row r="11" spans="1:8" x14ac:dyDescent="0.25">
      <c r="A11" s="186">
        <f t="shared" si="0"/>
        <v>7</v>
      </c>
      <c r="B11" s="185"/>
      <c r="C11" s="202">
        <f ca="1">+'[3]Sch 40 FCR Table'!C14</f>
        <v>9.1514156859175882E-2</v>
      </c>
      <c r="D11" s="202">
        <f ca="1">+'[3]Sch 40 FCR Table'!D14</f>
        <v>9.7839477750319009E-2</v>
      </c>
      <c r="F11" s="227" t="s">
        <v>305</v>
      </c>
      <c r="G11" s="226">
        <f>+'LR - 2017 Loss Factor by Class'!K56</f>
        <v>3.7069728960821585E-2</v>
      </c>
      <c r="H11" s="226">
        <f>+G11-G10</f>
        <v>1.9516752359872293E-2</v>
      </c>
    </row>
    <row r="12" spans="1:8" x14ac:dyDescent="0.25">
      <c r="A12" s="186">
        <f t="shared" si="0"/>
        <v>8</v>
      </c>
      <c r="B12" s="185"/>
      <c r="C12" s="202">
        <f ca="1">+'[3]Sch 40 FCR Table'!C15</f>
        <v>9.2134584573126857E-2</v>
      </c>
      <c r="D12" s="202">
        <f ca="1">+'[3]Sch 40 FCR Table'!D15</f>
        <v>9.7423186834848061E-2</v>
      </c>
      <c r="F12" s="227" t="s">
        <v>306</v>
      </c>
      <c r="G12" s="226">
        <f>+'LR - 2017 Loss Factor by Class'!K55</f>
        <v>7.8836606634277315E-2</v>
      </c>
      <c r="H12" s="226">
        <f>+G12-G10</f>
        <v>6.1283630033328026E-2</v>
      </c>
    </row>
    <row r="13" spans="1:8" x14ac:dyDescent="0.25">
      <c r="A13" s="186">
        <f t="shared" si="0"/>
        <v>9</v>
      </c>
      <c r="B13" s="185"/>
      <c r="C13" s="202">
        <f ca="1">+'[3]Sch 40 FCR Table'!C16</f>
        <v>9.2863655117495059E-2</v>
      </c>
      <c r="D13" s="202">
        <f ca="1">+'[3]Sch 40 FCR Table'!D16</f>
        <v>9.6986081373603553E-2</v>
      </c>
      <c r="G13" s="4"/>
    </row>
    <row r="14" spans="1:8" x14ac:dyDescent="0.25">
      <c r="A14" s="186">
        <f t="shared" si="0"/>
        <v>10</v>
      </c>
      <c r="B14" s="185"/>
      <c r="C14" s="202">
        <f ca="1">+'[3]Sch 40 FCR Table'!C17</f>
        <v>9.371900028296011E-2</v>
      </c>
      <c r="D14" s="202">
        <f ca="1">+'[3]Sch 40 FCR Table'!D17</f>
        <v>9.6526560247679818E-2</v>
      </c>
      <c r="G14" s="4"/>
    </row>
    <row r="15" spans="1:8" x14ac:dyDescent="0.25">
      <c r="A15" s="186">
        <f t="shared" si="0"/>
        <v>11</v>
      </c>
      <c r="B15" s="185"/>
      <c r="C15" s="202">
        <f ca="1">+'[3]Sch 40 FCR Table'!C18</f>
        <v>9.4721818336803973E-2</v>
      </c>
      <c r="D15" s="202">
        <f ca="1">+'[3]Sch 40 FCR Table'!D18</f>
        <v>9.6169843043430431E-2</v>
      </c>
      <c r="G15" s="4"/>
    </row>
    <row r="16" spans="1:8" x14ac:dyDescent="0.25">
      <c r="A16" s="186">
        <f t="shared" si="0"/>
        <v>12</v>
      </c>
      <c r="B16" s="185"/>
      <c r="C16" s="202">
        <f ca="1">+'[3]Sch 40 FCR Table'!C19</f>
        <v>9.5897790349641604E-2</v>
      </c>
      <c r="D16" s="202">
        <f ca="1">+'[3]Sch 40 FCR Table'!D19</f>
        <v>9.5932887081696686E-2</v>
      </c>
      <c r="G16" s="4"/>
    </row>
    <row r="17" spans="1:7" x14ac:dyDescent="0.25">
      <c r="A17" s="186">
        <f t="shared" si="0"/>
        <v>13</v>
      </c>
      <c r="B17" s="185"/>
      <c r="C17" s="202">
        <f ca="1">+'[3]Sch 40 FCR Table'!C20</f>
        <v>9.7278287260613203E-2</v>
      </c>
      <c r="D17" s="202">
        <f ca="1">+'[3]Sch 40 FCR Table'!D20</f>
        <v>9.5786316518425424E-2</v>
      </c>
      <c r="G17" s="4"/>
    </row>
    <row r="18" spans="1:7" x14ac:dyDescent="0.25">
      <c r="A18" s="186">
        <f t="shared" si="0"/>
        <v>14</v>
      </c>
      <c r="B18" s="185"/>
      <c r="C18" s="202">
        <f ca="1">+'[3]Sch 40 FCR Table'!C21</f>
        <v>9.8901978890415465E-2</v>
      </c>
      <c r="D18" s="202">
        <f ca="1">+'[3]Sch 40 FCR Table'!D21</f>
        <v>9.5745973295095682E-2</v>
      </c>
      <c r="G18" s="4"/>
    </row>
    <row r="19" spans="1:7" x14ac:dyDescent="0.25">
      <c r="A19" s="186">
        <f t="shared" si="0"/>
        <v>15</v>
      </c>
      <c r="B19" s="185"/>
      <c r="C19" s="202">
        <f ca="1">+'[3]Sch 40 FCR Table'!C22</f>
        <v>0.10081700659633357</v>
      </c>
      <c r="D19" s="202">
        <f ca="1">+'[3]Sch 40 FCR Table'!D22</f>
        <v>9.5830196396109957E-2</v>
      </c>
      <c r="G19" s="4"/>
    </row>
    <row r="20" spans="1:7" x14ac:dyDescent="0.25">
      <c r="A20" s="186">
        <f t="shared" si="0"/>
        <v>16</v>
      </c>
      <c r="B20" s="185"/>
      <c r="C20" s="202">
        <f ca="1">+'[3]Sch 40 FCR Table'!C23</f>
        <v>0.10308395865366585</v>
      </c>
      <c r="D20" s="202">
        <f ca="1">+'[3]Sch 40 FCR Table'!D23</f>
        <v>9.6060249776773785E-2</v>
      </c>
    </row>
    <row r="21" spans="1:7" x14ac:dyDescent="0.25">
      <c r="A21" s="186">
        <f t="shared" si="0"/>
        <v>17</v>
      </c>
      <c r="B21" s="185"/>
      <c r="C21" s="202">
        <f ca="1">+'[3]Sch 40 FCR Table'!C24</f>
        <v>0.10578000844541775</v>
      </c>
      <c r="D21" s="202">
        <f ca="1">+'[3]Sch 40 FCR Table'!D24</f>
        <v>9.6460834414242094E-2</v>
      </c>
    </row>
    <row r="22" spans="1:7" x14ac:dyDescent="0.25">
      <c r="A22" s="186">
        <f t="shared" si="0"/>
        <v>18</v>
      </c>
      <c r="B22" s="185"/>
      <c r="C22" s="202">
        <f ca="1">+'[3]Sch 40 FCR Table'!C25</f>
        <v>0.10900476885770152</v>
      </c>
      <c r="D22" s="202">
        <f ca="1">+'[3]Sch 40 FCR Table'!D25</f>
        <v>9.7060703781840674E-2</v>
      </c>
    </row>
    <row r="23" spans="1:7" x14ac:dyDescent="0.25">
      <c r="A23" s="186">
        <f t="shared" si="0"/>
        <v>19</v>
      </c>
      <c r="B23" s="185"/>
      <c r="C23" s="202">
        <f ca="1">+'[3]Sch 40 FCR Table'!C26</f>
        <v>0.11288873259631342</v>
      </c>
      <c r="D23" s="202">
        <f ca="1">+'[3]Sch 40 FCR Table'!D26</f>
        <v>9.7893407217892386E-2</v>
      </c>
    </row>
    <row r="24" spans="1:7" x14ac:dyDescent="0.25">
      <c r="A24" s="186">
        <f t="shared" si="0"/>
        <v>20</v>
      </c>
      <c r="B24" s="185"/>
      <c r="C24" s="202">
        <f ca="1">+'[3]Sch 40 FCR Table'!C27</f>
        <v>0.11760569960438103</v>
      </c>
      <c r="D24" s="202">
        <f ca="1">+'[3]Sch 40 FCR Table'!D27</f>
        <v>9.8998192437485213E-2</v>
      </c>
    </row>
    <row r="25" spans="1:7" x14ac:dyDescent="0.25">
      <c r="A25" s="186">
        <f t="shared" si="0"/>
        <v>21</v>
      </c>
      <c r="B25" s="185"/>
      <c r="C25" s="202">
        <f ca="1">+'[3]Sch 40 FCR Table'!C28</f>
        <v>0.12297683193566911</v>
      </c>
      <c r="D25" s="202">
        <f ca="1">+'[3]Sch 40 FCR Table'!D28</f>
        <v>0.10006258588367062</v>
      </c>
    </row>
    <row r="26" spans="1:7" x14ac:dyDescent="0.25">
      <c r="A26" s="186">
        <f t="shared" si="0"/>
        <v>22</v>
      </c>
      <c r="B26" s="185"/>
      <c r="C26" s="202">
        <f ca="1">+'[3]Sch 40 FCR Table'!C29</f>
        <v>0.12914303943838007</v>
      </c>
      <c r="D26" s="202">
        <f ca="1">+'[3]Sch 40 FCR Table'!D29</f>
        <v>0.10107637450967134</v>
      </c>
    </row>
    <row r="27" spans="1:7" x14ac:dyDescent="0.25">
      <c r="A27" s="186">
        <f t="shared" si="0"/>
        <v>23</v>
      </c>
      <c r="B27" s="185"/>
      <c r="C27" s="202">
        <f ca="1">+'[3]Sch 40 FCR Table'!C30</f>
        <v>0.13648155587681532</v>
      </c>
      <c r="D27" s="202">
        <f ca="1">+'[3]Sch 40 FCR Table'!D30</f>
        <v>0.10216814687613364</v>
      </c>
    </row>
    <row r="28" spans="1:7" x14ac:dyDescent="0.25">
      <c r="A28" s="186">
        <f t="shared" si="0"/>
        <v>24</v>
      </c>
      <c r="B28" s="185"/>
      <c r="C28" s="202">
        <f ca="1">+'[3]Sch 40 FCR Table'!C31</f>
        <v>0.14533608713281182</v>
      </c>
      <c r="D28" s="202">
        <f ca="1">+'[3]Sch 40 FCR Table'!D31</f>
        <v>0.10334726103191294</v>
      </c>
    </row>
    <row r="29" spans="1:7" x14ac:dyDescent="0.25">
      <c r="A29" s="186">
        <f t="shared" ref="A29:A53" si="1">A28+1</f>
        <v>25</v>
      </c>
      <c r="B29" s="185"/>
      <c r="C29" s="202">
        <f ca="1">+'[3]Sch 40 FCR Table'!C32</f>
        <v>0.15619786542009914</v>
      </c>
      <c r="D29" s="202">
        <f ca="1">+'[3]Sch 40 FCR Table'!D32</f>
        <v>0.10462463470067378</v>
      </c>
    </row>
    <row r="30" spans="1:7" x14ac:dyDescent="0.25">
      <c r="A30" s="186">
        <f t="shared" si="1"/>
        <v>26</v>
      </c>
      <c r="B30" s="185"/>
      <c r="C30" s="202">
        <f ca="1">+'[3]Sch 40 FCR Table'!C33</f>
        <v>0.16979384787703997</v>
      </c>
      <c r="D30" s="202">
        <f ca="1">+'[3]Sch 40 FCR Table'!D33</f>
        <v>0.10601308434063127</v>
      </c>
    </row>
    <row r="31" spans="1:7" x14ac:dyDescent="0.25">
      <c r="A31" s="186">
        <f t="shared" si="1"/>
        <v>27</v>
      </c>
      <c r="B31" s="185"/>
      <c r="C31" s="202">
        <f ca="1">+'[3]Sch 40 FCR Table'!C34</f>
        <v>0.18724633233402441</v>
      </c>
      <c r="D31" s="202">
        <f ca="1">+'[3]Sch 40 FCR Table'!D34</f>
        <v>0.10752775667513036</v>
      </c>
    </row>
    <row r="32" spans="1:7" x14ac:dyDescent="0.25">
      <c r="A32" s="186">
        <f t="shared" si="1"/>
        <v>28</v>
      </c>
      <c r="B32" s="185"/>
      <c r="C32" s="202">
        <f ca="1">+'[3]Sch 40 FCR Table'!C35</f>
        <v>0.21038142799078391</v>
      </c>
      <c r="D32" s="202">
        <f ca="1">+'[3]Sch 40 FCR Table'!D35</f>
        <v>0.10918668351767695</v>
      </c>
    </row>
    <row r="33" spans="1:4" x14ac:dyDescent="0.25">
      <c r="A33" s="186">
        <f t="shared" si="1"/>
        <v>29</v>
      </c>
      <c r="B33" s="185"/>
      <c r="C33" s="202">
        <f ca="1">+'[3]Sch 40 FCR Table'!C36</f>
        <v>0.24237643431574435</v>
      </c>
      <c r="D33" s="202">
        <f ca="1">+'[3]Sch 40 FCR Table'!D36</f>
        <v>0.11101150304447822</v>
      </c>
    </row>
    <row r="34" spans="1:4" x14ac:dyDescent="0.25">
      <c r="A34" s="186">
        <f t="shared" si="1"/>
        <v>30</v>
      </c>
      <c r="B34" s="185"/>
      <c r="C34" s="202">
        <f ca="1">+'[3]Sch 40 FCR Table'!C37</f>
        <v>0.28927173406727447</v>
      </c>
      <c r="D34" s="202">
        <f ca="1">+'[3]Sch 40 FCR Table'!D37</f>
        <v>0.11302840883725855</v>
      </c>
    </row>
    <row r="35" spans="1:4" x14ac:dyDescent="0.25">
      <c r="A35" s="186">
        <f t="shared" si="1"/>
        <v>31</v>
      </c>
      <c r="B35" s="185"/>
      <c r="C35" s="202">
        <f ca="1">+'[3]Sch 40 FCR Table'!C38</f>
        <v>0.364051854003211</v>
      </c>
      <c r="D35" s="202">
        <f ca="1">+'[3]Sch 40 FCR Table'!D38</f>
        <v>0.11526941527368116</v>
      </c>
    </row>
    <row r="36" spans="1:4" x14ac:dyDescent="0.25">
      <c r="A36" s="186">
        <f t="shared" si="1"/>
        <v>32</v>
      </c>
      <c r="B36" s="185"/>
      <c r="C36" s="202">
        <f ca="1">+'[3]Sch 40 FCR Table'!C39</f>
        <v>0.5002278809951437</v>
      </c>
      <c r="D36" s="202">
        <f ca="1">+'[3]Sch 40 FCR Table'!D39</f>
        <v>0.11777406952615349</v>
      </c>
    </row>
    <row r="37" spans="1:4" x14ac:dyDescent="0.25">
      <c r="A37" s="186">
        <f t="shared" si="1"/>
        <v>33</v>
      </c>
      <c r="B37" s="185"/>
      <c r="C37" s="202">
        <f ca="1">+'[3]Sch 40 FCR Table'!C40</f>
        <v>0.81520695045066449</v>
      </c>
      <c r="D37" s="202">
        <f ca="1">+'[3]Sch 40 FCR Table'!D40</f>
        <v>0.12059180556018483</v>
      </c>
    </row>
    <row r="38" spans="1:4" x14ac:dyDescent="0.25">
      <c r="A38" s="186">
        <f t="shared" si="1"/>
        <v>34</v>
      </c>
      <c r="B38" s="185"/>
      <c r="C38" s="202">
        <f ca="1">+'[3]Sch 40 FCR Table'!C41</f>
        <v>2.0985158257799204</v>
      </c>
      <c r="D38" s="202">
        <f ca="1">+'[3]Sch 40 FCR Table'!D41</f>
        <v>0.12378523973208705</v>
      </c>
    </row>
    <row r="39" spans="1:4" x14ac:dyDescent="0.25">
      <c r="A39" s="186">
        <f t="shared" si="1"/>
        <v>35</v>
      </c>
      <c r="B39" s="185"/>
      <c r="C39" s="202"/>
      <c r="D39" s="202">
        <f ca="1">+'[3]Sch 40 FCR Table'!D42</f>
        <v>0.12743487878568954</v>
      </c>
    </row>
    <row r="40" spans="1:4" x14ac:dyDescent="0.25">
      <c r="A40" s="186">
        <f t="shared" si="1"/>
        <v>36</v>
      </c>
      <c r="B40" s="185"/>
      <c r="C40" s="202"/>
      <c r="D40" s="202">
        <f ca="1">+'[3]Sch 40 FCR Table'!D43</f>
        <v>0.12439026050006773</v>
      </c>
    </row>
    <row r="41" spans="1:4" x14ac:dyDescent="0.25">
      <c r="A41" s="186">
        <f t="shared" si="1"/>
        <v>37</v>
      </c>
      <c r="B41" s="185"/>
      <c r="C41" s="202"/>
      <c r="D41" s="202">
        <f ca="1">+'[3]Sch 40 FCR Table'!D44</f>
        <v>0.12066697456438914</v>
      </c>
    </row>
    <row r="42" spans="1:4" x14ac:dyDescent="0.25">
      <c r="A42" s="186">
        <f t="shared" si="1"/>
        <v>38</v>
      </c>
      <c r="B42" s="185"/>
      <c r="C42" s="202"/>
      <c r="D42" s="202">
        <f ca="1">+'[3]Sch 40 FCR Table'!D45</f>
        <v>0.11606573317250761</v>
      </c>
    </row>
    <row r="43" spans="1:4" x14ac:dyDescent="0.25">
      <c r="A43" s="186">
        <f t="shared" si="1"/>
        <v>39</v>
      </c>
      <c r="B43" s="185"/>
      <c r="C43" s="202"/>
      <c r="D43" s="202">
        <f ca="1">+'[3]Sch 40 FCR Table'!D46</f>
        <v>0.12205699665777235</v>
      </c>
    </row>
    <row r="44" spans="1:4" x14ac:dyDescent="0.25">
      <c r="A44" s="186">
        <f t="shared" si="1"/>
        <v>40</v>
      </c>
      <c r="B44" s="185"/>
      <c r="C44" s="202"/>
      <c r="D44" s="202">
        <f ca="1">+'[3]Sch 40 FCR Table'!D47</f>
        <v>0.12937965202865148</v>
      </c>
    </row>
    <row r="45" spans="1:4" x14ac:dyDescent="0.25">
      <c r="A45" s="186">
        <f t="shared" si="1"/>
        <v>41</v>
      </c>
      <c r="B45" s="185"/>
      <c r="C45" s="202"/>
      <c r="D45" s="202">
        <f ca="1">+'[3]Sch 40 FCR Table'!D48</f>
        <v>0.13853297124225036</v>
      </c>
    </row>
    <row r="46" spans="1:4" x14ac:dyDescent="0.25">
      <c r="A46" s="186">
        <f t="shared" si="1"/>
        <v>42</v>
      </c>
      <c r="B46" s="185"/>
      <c r="C46" s="202"/>
      <c r="D46" s="202">
        <f ca="1">+'[3]Sch 40 FCR Table'!D49</f>
        <v>0.15030152451687745</v>
      </c>
    </row>
    <row r="47" spans="1:4" x14ac:dyDescent="0.25">
      <c r="A47" s="186">
        <f t="shared" si="1"/>
        <v>43</v>
      </c>
      <c r="B47" s="185"/>
      <c r="C47" s="202"/>
      <c r="D47" s="202">
        <f ca="1">+'[3]Sch 40 FCR Table'!D50</f>
        <v>0.1506556606842763</v>
      </c>
    </row>
    <row r="48" spans="1:4" x14ac:dyDescent="0.25">
      <c r="A48" s="186">
        <f t="shared" si="1"/>
        <v>44</v>
      </c>
      <c r="B48" s="185"/>
      <c r="C48" s="202"/>
      <c r="D48" s="202">
        <f ca="1">+'[3]Sch 40 FCR Table'!D51</f>
        <v>0.1510268370493387</v>
      </c>
    </row>
    <row r="49" spans="1:4" x14ac:dyDescent="0.25">
      <c r="A49" s="186">
        <f t="shared" si="1"/>
        <v>45</v>
      </c>
      <c r="B49" s="185"/>
      <c r="C49" s="202"/>
      <c r="D49" s="202">
        <f ca="1">+'[3]Sch 40 FCR Table'!D52</f>
        <v>0.15141599540472925</v>
      </c>
    </row>
    <row r="50" spans="1:4" x14ac:dyDescent="0.25">
      <c r="A50" s="186">
        <f t="shared" si="1"/>
        <v>46</v>
      </c>
      <c r="B50" s="185"/>
      <c r="C50" s="202"/>
      <c r="D50" s="202">
        <f ca="1">+'[3]Sch 40 FCR Table'!D53</f>
        <v>0.15182413364663286</v>
      </c>
    </row>
    <row r="51" spans="1:4" x14ac:dyDescent="0.25">
      <c r="A51" s="186">
        <f t="shared" si="1"/>
        <v>47</v>
      </c>
      <c r="B51" s="185"/>
      <c r="C51" s="202"/>
      <c r="D51" s="202">
        <f ca="1">+'[3]Sch 40 FCR Table'!D54</f>
        <v>0.152252309276872</v>
      </c>
    </row>
    <row r="52" spans="1:4" x14ac:dyDescent="0.25">
      <c r="A52" s="186">
        <f t="shared" si="1"/>
        <v>48</v>
      </c>
      <c r="B52" s="185"/>
      <c r="C52" s="202"/>
      <c r="D52" s="202">
        <f ca="1">+'[3]Sch 40 FCR Table'!D55</f>
        <v>0.15270164313071075</v>
      </c>
    </row>
    <row r="53" spans="1:4" x14ac:dyDescent="0.25">
      <c r="A53" s="186">
        <f t="shared" si="1"/>
        <v>49</v>
      </c>
      <c r="B53" s="185"/>
      <c r="C53" s="202"/>
      <c r="D53" s="202">
        <f ca="1">+'[3]Sch 40 FCR Table'!D56</f>
        <v>0</v>
      </c>
    </row>
    <row r="54" spans="1:4" ht="13.8" thickBot="1" x14ac:dyDescent="0.3">
      <c r="A54" s="187"/>
      <c r="B54" s="184"/>
      <c r="C54" s="184"/>
      <c r="D54" s="184"/>
    </row>
  </sheetData>
  <mergeCells count="3">
    <mergeCell ref="F3:H3"/>
    <mergeCell ref="A1:D1"/>
    <mergeCell ref="A2:D2"/>
  </mergeCells>
  <phoneticPr fontId="0" type="noConversion"/>
  <printOptions horizontalCentered="1"/>
  <pageMargins left="0.25" right="0.25" top="1.5" bottom="1" header="0.5" footer="0.5"/>
  <pageSetup scale="56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xSplit="1" ySplit="2" topLeftCell="B3" activePane="bottomRight" state="frozen"/>
      <selection activeCell="D46" sqref="D46"/>
      <selection pane="topRight" activeCell="D46" sqref="D46"/>
      <selection pane="bottomLeft" activeCell="D46" sqref="D46"/>
      <selection pane="bottomRight" activeCell="B3" sqref="B3"/>
    </sheetView>
  </sheetViews>
  <sheetFormatPr defaultRowHeight="13.2" x14ac:dyDescent="0.25"/>
  <cols>
    <col min="1" max="1" width="5" bestFit="1" customWidth="1"/>
    <col min="2" max="2" width="9.109375" customWidth="1"/>
    <col min="3" max="5" width="7.88671875" bestFit="1" customWidth="1"/>
  </cols>
  <sheetData>
    <row r="1" spans="1:5" x14ac:dyDescent="0.25">
      <c r="A1" s="657" t="s">
        <v>367</v>
      </c>
      <c r="B1" s="657"/>
      <c r="C1" s="657"/>
      <c r="D1" s="657"/>
      <c r="E1" s="657"/>
    </row>
    <row r="2" spans="1:5" s="178" customFormat="1" ht="26.4" x14ac:dyDescent="0.25">
      <c r="A2" s="179" t="s">
        <v>255</v>
      </c>
      <c r="B2" s="180" t="s">
        <v>258</v>
      </c>
      <c r="C2" s="179" t="s">
        <v>194</v>
      </c>
      <c r="D2" s="179" t="s">
        <v>256</v>
      </c>
      <c r="E2" s="180" t="s">
        <v>257</v>
      </c>
    </row>
    <row r="3" spans="1:5" x14ac:dyDescent="0.25">
      <c r="A3" s="175">
        <v>1912</v>
      </c>
      <c r="B3" s="176">
        <f>ROUND(C3,0)</f>
        <v>13</v>
      </c>
      <c r="C3" s="177">
        <v>13</v>
      </c>
      <c r="D3" s="177"/>
      <c r="E3" s="177"/>
    </row>
    <row r="4" spans="1:5" x14ac:dyDescent="0.25">
      <c r="A4" s="175">
        <f>+A3+1</f>
        <v>1913</v>
      </c>
      <c r="B4" s="176">
        <f t="shared" ref="B4:B67" si="0">ROUND(C4,0)</f>
        <v>13</v>
      </c>
      <c r="C4" s="177">
        <v>13</v>
      </c>
      <c r="D4" s="177"/>
      <c r="E4" s="177"/>
    </row>
    <row r="5" spans="1:5" x14ac:dyDescent="0.25">
      <c r="A5" s="175">
        <f t="shared" ref="A5:A68" si="1">+A4+1</f>
        <v>1914</v>
      </c>
      <c r="B5" s="176">
        <f t="shared" si="0"/>
        <v>12</v>
      </c>
      <c r="C5" s="177">
        <v>12</v>
      </c>
      <c r="D5" s="177"/>
      <c r="E5" s="177"/>
    </row>
    <row r="6" spans="1:5" x14ac:dyDescent="0.25">
      <c r="A6" s="175">
        <f t="shared" si="1"/>
        <v>1915</v>
      </c>
      <c r="B6" s="176">
        <f t="shared" si="0"/>
        <v>13</v>
      </c>
      <c r="C6" s="177">
        <v>13</v>
      </c>
      <c r="D6" s="177"/>
      <c r="E6" s="177"/>
    </row>
    <row r="7" spans="1:5" x14ac:dyDescent="0.25">
      <c r="A7" s="175">
        <f t="shared" si="1"/>
        <v>1916</v>
      </c>
      <c r="B7" s="176">
        <f t="shared" si="0"/>
        <v>15</v>
      </c>
      <c r="C7" s="177">
        <v>15</v>
      </c>
      <c r="D7" s="177"/>
      <c r="E7" s="177"/>
    </row>
    <row r="8" spans="1:5" x14ac:dyDescent="0.25">
      <c r="A8" s="175">
        <f t="shared" si="1"/>
        <v>1917</v>
      </c>
      <c r="B8" s="176">
        <f t="shared" si="0"/>
        <v>17</v>
      </c>
      <c r="C8" s="177">
        <v>17</v>
      </c>
      <c r="D8" s="177"/>
      <c r="E8" s="177"/>
    </row>
    <row r="9" spans="1:5" x14ac:dyDescent="0.25">
      <c r="A9" s="175">
        <f t="shared" si="1"/>
        <v>1918</v>
      </c>
      <c r="B9" s="176">
        <f t="shared" si="0"/>
        <v>21</v>
      </c>
      <c r="C9" s="177">
        <v>21</v>
      </c>
      <c r="D9" s="177"/>
      <c r="E9" s="177"/>
    </row>
    <row r="10" spans="1:5" x14ac:dyDescent="0.25">
      <c r="A10" s="175">
        <f t="shared" si="1"/>
        <v>1919</v>
      </c>
      <c r="B10" s="176">
        <f t="shared" si="0"/>
        <v>22</v>
      </c>
      <c r="C10" s="177">
        <v>22</v>
      </c>
      <c r="D10" s="177"/>
      <c r="E10" s="177"/>
    </row>
    <row r="11" spans="1:5" x14ac:dyDescent="0.25">
      <c r="A11" s="175">
        <f t="shared" si="1"/>
        <v>1920</v>
      </c>
      <c r="B11" s="176">
        <f t="shared" si="0"/>
        <v>24</v>
      </c>
      <c r="C11" s="177">
        <v>24</v>
      </c>
      <c r="D11" s="177"/>
      <c r="E11" s="177"/>
    </row>
    <row r="12" spans="1:5" x14ac:dyDescent="0.25">
      <c r="A12" s="175">
        <f t="shared" si="1"/>
        <v>1921</v>
      </c>
      <c r="B12" s="176">
        <f t="shared" si="0"/>
        <v>23</v>
      </c>
      <c r="C12" s="177">
        <v>23</v>
      </c>
      <c r="D12" s="177"/>
      <c r="E12" s="177"/>
    </row>
    <row r="13" spans="1:5" x14ac:dyDescent="0.25">
      <c r="A13" s="175">
        <f t="shared" si="1"/>
        <v>1922</v>
      </c>
      <c r="B13" s="176">
        <f t="shared" si="0"/>
        <v>21</v>
      </c>
      <c r="C13" s="177">
        <v>21</v>
      </c>
      <c r="D13" s="177"/>
      <c r="E13" s="177"/>
    </row>
    <row r="14" spans="1:5" x14ac:dyDescent="0.25">
      <c r="A14" s="175">
        <f t="shared" si="1"/>
        <v>1923</v>
      </c>
      <c r="B14" s="176">
        <f t="shared" si="0"/>
        <v>21</v>
      </c>
      <c r="C14" s="177">
        <v>21</v>
      </c>
      <c r="D14" s="177"/>
      <c r="E14" s="177"/>
    </row>
    <row r="15" spans="1:5" x14ac:dyDescent="0.25">
      <c r="A15" s="175">
        <f t="shared" si="1"/>
        <v>1924</v>
      </c>
      <c r="B15" s="176">
        <f t="shared" si="0"/>
        <v>21</v>
      </c>
      <c r="C15" s="177">
        <v>21</v>
      </c>
      <c r="D15" s="177"/>
      <c r="E15" s="177"/>
    </row>
    <row r="16" spans="1:5" x14ac:dyDescent="0.25">
      <c r="A16" s="175">
        <f t="shared" si="1"/>
        <v>1925</v>
      </c>
      <c r="B16" s="176">
        <f t="shared" si="0"/>
        <v>21</v>
      </c>
      <c r="C16" s="177">
        <v>21</v>
      </c>
      <c r="D16" s="177"/>
      <c r="E16" s="177"/>
    </row>
    <row r="17" spans="1:5" x14ac:dyDescent="0.25">
      <c r="A17" s="175">
        <f t="shared" si="1"/>
        <v>1926</v>
      </c>
      <c r="B17" s="176">
        <f t="shared" si="0"/>
        <v>20</v>
      </c>
      <c r="C17" s="177">
        <v>20</v>
      </c>
      <c r="D17" s="177"/>
      <c r="E17" s="177"/>
    </row>
    <row r="18" spans="1:5" x14ac:dyDescent="0.25">
      <c r="A18" s="175">
        <f t="shared" si="1"/>
        <v>1927</v>
      </c>
      <c r="B18" s="176">
        <f t="shared" si="0"/>
        <v>20</v>
      </c>
      <c r="C18" s="177">
        <v>20</v>
      </c>
      <c r="D18" s="177"/>
      <c r="E18" s="177"/>
    </row>
    <row r="19" spans="1:5" x14ac:dyDescent="0.25">
      <c r="A19" s="175">
        <f t="shared" si="1"/>
        <v>1928</v>
      </c>
      <c r="B19" s="176">
        <f t="shared" si="0"/>
        <v>20</v>
      </c>
      <c r="C19" s="177">
        <v>20</v>
      </c>
      <c r="D19" s="177"/>
      <c r="E19" s="177"/>
    </row>
    <row r="20" spans="1:5" x14ac:dyDescent="0.25">
      <c r="A20" s="175">
        <f t="shared" si="1"/>
        <v>1929</v>
      </c>
      <c r="B20" s="176">
        <f t="shared" si="0"/>
        <v>21</v>
      </c>
      <c r="C20" s="177">
        <v>21</v>
      </c>
      <c r="D20" s="177"/>
      <c r="E20" s="177"/>
    </row>
    <row r="21" spans="1:5" x14ac:dyDescent="0.25">
      <c r="A21" s="175">
        <f t="shared" si="1"/>
        <v>1930</v>
      </c>
      <c r="B21" s="176">
        <f t="shared" si="0"/>
        <v>20</v>
      </c>
      <c r="C21" s="177">
        <v>20</v>
      </c>
      <c r="D21" s="177"/>
      <c r="E21" s="177"/>
    </row>
    <row r="22" spans="1:5" x14ac:dyDescent="0.25">
      <c r="A22" s="175">
        <f t="shared" si="1"/>
        <v>1931</v>
      </c>
      <c r="B22" s="176">
        <f t="shared" si="0"/>
        <v>20</v>
      </c>
      <c r="C22" s="177">
        <v>20</v>
      </c>
      <c r="D22" s="177"/>
      <c r="E22" s="177"/>
    </row>
    <row r="23" spans="1:5" x14ac:dyDescent="0.25">
      <c r="A23" s="175">
        <f t="shared" si="1"/>
        <v>1932</v>
      </c>
      <c r="B23" s="176">
        <f t="shared" si="0"/>
        <v>18</v>
      </c>
      <c r="C23" s="177">
        <v>18</v>
      </c>
      <c r="D23" s="177"/>
      <c r="E23" s="177"/>
    </row>
    <row r="24" spans="1:5" x14ac:dyDescent="0.25">
      <c r="A24" s="175">
        <f t="shared" si="1"/>
        <v>1933</v>
      </c>
      <c r="B24" s="176">
        <f t="shared" si="0"/>
        <v>19</v>
      </c>
      <c r="C24" s="177">
        <v>19</v>
      </c>
      <c r="D24" s="177"/>
      <c r="E24" s="177"/>
    </row>
    <row r="25" spans="1:5" x14ac:dyDescent="0.25">
      <c r="A25" s="175">
        <f t="shared" si="1"/>
        <v>1934</v>
      </c>
      <c r="B25" s="176">
        <f t="shared" si="0"/>
        <v>20</v>
      </c>
      <c r="C25" s="177">
        <v>20</v>
      </c>
      <c r="D25" s="177"/>
      <c r="E25" s="177"/>
    </row>
    <row r="26" spans="1:5" x14ac:dyDescent="0.25">
      <c r="A26" s="175">
        <f t="shared" si="1"/>
        <v>1935</v>
      </c>
      <c r="B26" s="176">
        <f t="shared" si="0"/>
        <v>21</v>
      </c>
      <c r="C26" s="177">
        <v>21</v>
      </c>
      <c r="D26" s="177"/>
      <c r="E26" s="177"/>
    </row>
    <row r="27" spans="1:5" x14ac:dyDescent="0.25">
      <c r="A27" s="175">
        <f t="shared" si="1"/>
        <v>1936</v>
      </c>
      <c r="B27" s="176">
        <f t="shared" si="0"/>
        <v>21</v>
      </c>
      <c r="C27" s="177">
        <v>21</v>
      </c>
      <c r="D27" s="177"/>
      <c r="E27" s="177"/>
    </row>
    <row r="28" spans="1:5" x14ac:dyDescent="0.25">
      <c r="A28" s="175">
        <f t="shared" si="1"/>
        <v>1937</v>
      </c>
      <c r="B28" s="176">
        <f t="shared" si="0"/>
        <v>23</v>
      </c>
      <c r="C28" s="177">
        <v>23</v>
      </c>
      <c r="D28" s="177"/>
      <c r="E28" s="177"/>
    </row>
    <row r="29" spans="1:5" x14ac:dyDescent="0.25">
      <c r="A29" s="175">
        <f t="shared" si="1"/>
        <v>1938</v>
      </c>
      <c r="B29" s="176">
        <f t="shared" si="0"/>
        <v>23</v>
      </c>
      <c r="C29" s="177">
        <v>23</v>
      </c>
      <c r="D29" s="177"/>
      <c r="E29" s="177"/>
    </row>
    <row r="30" spans="1:5" x14ac:dyDescent="0.25">
      <c r="A30" s="175">
        <f t="shared" si="1"/>
        <v>1939</v>
      </c>
      <c r="B30" s="176">
        <f t="shared" si="0"/>
        <v>23</v>
      </c>
      <c r="C30" s="177">
        <v>23</v>
      </c>
      <c r="D30" s="177"/>
      <c r="E30" s="177"/>
    </row>
    <row r="31" spans="1:5" x14ac:dyDescent="0.25">
      <c r="A31" s="175">
        <f t="shared" si="1"/>
        <v>1940</v>
      </c>
      <c r="B31" s="176">
        <f t="shared" si="0"/>
        <v>23</v>
      </c>
      <c r="C31" s="177">
        <v>23</v>
      </c>
      <c r="D31" s="177"/>
      <c r="E31" s="177"/>
    </row>
    <row r="32" spans="1:5" x14ac:dyDescent="0.25">
      <c r="A32" s="175">
        <f t="shared" si="1"/>
        <v>1941</v>
      </c>
      <c r="B32" s="176">
        <f t="shared" si="0"/>
        <v>25</v>
      </c>
      <c r="C32" s="177">
        <v>25</v>
      </c>
      <c r="D32" s="177"/>
      <c r="E32" s="177"/>
    </row>
    <row r="33" spans="1:5" x14ac:dyDescent="0.25">
      <c r="A33" s="175">
        <f t="shared" si="1"/>
        <v>1942</v>
      </c>
      <c r="B33" s="176">
        <f t="shared" si="0"/>
        <v>26</v>
      </c>
      <c r="C33" s="177">
        <v>26</v>
      </c>
      <c r="D33" s="177"/>
      <c r="E33" s="177"/>
    </row>
    <row r="34" spans="1:5" x14ac:dyDescent="0.25">
      <c r="A34" s="175">
        <f t="shared" si="1"/>
        <v>1943</v>
      </c>
      <c r="B34" s="176">
        <f t="shared" si="0"/>
        <v>26</v>
      </c>
      <c r="C34" s="177">
        <v>26</v>
      </c>
      <c r="D34" s="177"/>
      <c r="E34" s="177"/>
    </row>
    <row r="35" spans="1:5" x14ac:dyDescent="0.25">
      <c r="A35" s="175">
        <f t="shared" si="1"/>
        <v>1944</v>
      </c>
      <c r="B35" s="176">
        <f t="shared" si="0"/>
        <v>27</v>
      </c>
      <c r="C35" s="177">
        <v>27</v>
      </c>
      <c r="D35" s="177"/>
      <c r="E35" s="177"/>
    </row>
    <row r="36" spans="1:5" x14ac:dyDescent="0.25">
      <c r="A36" s="175">
        <f t="shared" si="1"/>
        <v>1945</v>
      </c>
      <c r="B36" s="176">
        <f t="shared" si="0"/>
        <v>28</v>
      </c>
      <c r="C36" s="177">
        <v>28</v>
      </c>
      <c r="D36" s="177"/>
      <c r="E36" s="177"/>
    </row>
    <row r="37" spans="1:5" x14ac:dyDescent="0.25">
      <c r="A37" s="175">
        <f t="shared" si="1"/>
        <v>1946</v>
      </c>
      <c r="B37" s="176">
        <f t="shared" si="0"/>
        <v>30</v>
      </c>
      <c r="C37" s="177">
        <v>30</v>
      </c>
      <c r="D37" s="177"/>
      <c r="E37" s="177"/>
    </row>
    <row r="38" spans="1:5" x14ac:dyDescent="0.25">
      <c r="A38" s="175">
        <f t="shared" si="1"/>
        <v>1947</v>
      </c>
      <c r="B38" s="176">
        <f t="shared" si="0"/>
        <v>37</v>
      </c>
      <c r="C38" s="177">
        <v>37</v>
      </c>
      <c r="D38" s="177"/>
      <c r="E38" s="177"/>
    </row>
    <row r="39" spans="1:5" x14ac:dyDescent="0.25">
      <c r="A39" s="175">
        <f t="shared" si="1"/>
        <v>1948</v>
      </c>
      <c r="B39" s="176">
        <f t="shared" si="0"/>
        <v>39</v>
      </c>
      <c r="C39" s="177">
        <v>39</v>
      </c>
      <c r="D39" s="177"/>
      <c r="E39" s="177"/>
    </row>
    <row r="40" spans="1:5" x14ac:dyDescent="0.25">
      <c r="A40" s="175">
        <f t="shared" si="1"/>
        <v>1949</v>
      </c>
      <c r="B40" s="176">
        <f t="shared" si="0"/>
        <v>41</v>
      </c>
      <c r="C40" s="177">
        <v>41</v>
      </c>
      <c r="D40" s="177"/>
      <c r="E40" s="177"/>
    </row>
    <row r="41" spans="1:5" x14ac:dyDescent="0.25">
      <c r="A41" s="175">
        <f t="shared" si="1"/>
        <v>1950</v>
      </c>
      <c r="B41" s="176">
        <f t="shared" si="0"/>
        <v>42</v>
      </c>
      <c r="C41" s="177">
        <v>42</v>
      </c>
      <c r="D41" s="177"/>
      <c r="E41" s="177"/>
    </row>
    <row r="42" spans="1:5" x14ac:dyDescent="0.25">
      <c r="A42" s="175">
        <f t="shared" si="1"/>
        <v>1951</v>
      </c>
      <c r="B42" s="176">
        <f t="shared" si="0"/>
        <v>47</v>
      </c>
      <c r="C42" s="177">
        <v>47</v>
      </c>
      <c r="D42" s="177"/>
      <c r="E42" s="177"/>
    </row>
    <row r="43" spans="1:5" x14ac:dyDescent="0.25">
      <c r="A43" s="175">
        <f t="shared" si="1"/>
        <v>1952</v>
      </c>
      <c r="B43" s="176">
        <f t="shared" si="0"/>
        <v>48</v>
      </c>
      <c r="C43" s="177">
        <v>48</v>
      </c>
      <c r="D43" s="177"/>
      <c r="E43" s="177"/>
    </row>
    <row r="44" spans="1:5" x14ac:dyDescent="0.25">
      <c r="A44" s="175">
        <f t="shared" si="1"/>
        <v>1953</v>
      </c>
      <c r="B44" s="176">
        <f t="shared" si="0"/>
        <v>50</v>
      </c>
      <c r="C44" s="177">
        <v>50</v>
      </c>
      <c r="D44" s="177"/>
      <c r="E44" s="177"/>
    </row>
    <row r="45" spans="1:5" x14ac:dyDescent="0.25">
      <c r="A45" s="175">
        <f t="shared" si="1"/>
        <v>1954</v>
      </c>
      <c r="B45" s="176">
        <f t="shared" si="0"/>
        <v>51</v>
      </c>
      <c r="C45" s="177">
        <v>51</v>
      </c>
      <c r="D45" s="177"/>
      <c r="E45" s="177"/>
    </row>
    <row r="46" spans="1:5" x14ac:dyDescent="0.25">
      <c r="A46" s="175">
        <f t="shared" si="1"/>
        <v>1955</v>
      </c>
      <c r="B46" s="176">
        <f t="shared" si="0"/>
        <v>52</v>
      </c>
      <c r="C46" s="177">
        <v>52</v>
      </c>
      <c r="D46" s="177"/>
      <c r="E46" s="177"/>
    </row>
    <row r="47" spans="1:5" x14ac:dyDescent="0.25">
      <c r="A47" s="175">
        <f t="shared" si="1"/>
        <v>1956</v>
      </c>
      <c r="B47" s="176">
        <f t="shared" si="0"/>
        <v>55</v>
      </c>
      <c r="C47" s="177">
        <v>55</v>
      </c>
      <c r="D47" s="177"/>
      <c r="E47" s="177"/>
    </row>
    <row r="48" spans="1:5" x14ac:dyDescent="0.25">
      <c r="A48" s="175">
        <f t="shared" si="1"/>
        <v>1957</v>
      </c>
      <c r="B48" s="176">
        <f t="shared" si="0"/>
        <v>57</v>
      </c>
      <c r="C48" s="177">
        <v>57</v>
      </c>
      <c r="D48" s="177"/>
      <c r="E48" s="177"/>
    </row>
    <row r="49" spans="1:5" x14ac:dyDescent="0.25">
      <c r="A49" s="175">
        <f t="shared" si="1"/>
        <v>1958</v>
      </c>
      <c r="B49" s="176">
        <f t="shared" si="0"/>
        <v>59</v>
      </c>
      <c r="C49" s="177">
        <v>59</v>
      </c>
      <c r="D49" s="177"/>
      <c r="E49" s="177"/>
    </row>
    <row r="50" spans="1:5" x14ac:dyDescent="0.25">
      <c r="A50" s="175">
        <f t="shared" si="1"/>
        <v>1959</v>
      </c>
      <c r="B50" s="176">
        <f t="shared" si="0"/>
        <v>60</v>
      </c>
      <c r="C50" s="177">
        <v>60</v>
      </c>
      <c r="D50" s="177"/>
      <c r="E50" s="177"/>
    </row>
    <row r="51" spans="1:5" x14ac:dyDescent="0.25">
      <c r="A51" s="175">
        <f t="shared" si="1"/>
        <v>1960</v>
      </c>
      <c r="B51" s="176">
        <f t="shared" si="0"/>
        <v>61</v>
      </c>
      <c r="C51" s="177">
        <v>61</v>
      </c>
      <c r="D51" s="177"/>
      <c r="E51" s="177"/>
    </row>
    <row r="52" spans="1:5" x14ac:dyDescent="0.25">
      <c r="A52" s="175">
        <f t="shared" si="1"/>
        <v>1961</v>
      </c>
      <c r="B52" s="176">
        <f t="shared" si="0"/>
        <v>61</v>
      </c>
      <c r="C52" s="177">
        <v>61</v>
      </c>
      <c r="D52" s="177"/>
      <c r="E52" s="177"/>
    </row>
    <row r="53" spans="1:5" x14ac:dyDescent="0.25">
      <c r="A53" s="175">
        <f t="shared" si="1"/>
        <v>1962</v>
      </c>
      <c r="B53" s="176">
        <f t="shared" si="0"/>
        <v>61</v>
      </c>
      <c r="C53" s="177">
        <v>61</v>
      </c>
      <c r="D53" s="177"/>
      <c r="E53" s="177"/>
    </row>
    <row r="54" spans="1:5" x14ac:dyDescent="0.25">
      <c r="A54" s="175">
        <f t="shared" si="1"/>
        <v>1963</v>
      </c>
      <c r="B54" s="176">
        <f t="shared" si="0"/>
        <v>61</v>
      </c>
      <c r="C54" s="177">
        <v>61</v>
      </c>
      <c r="D54" s="177"/>
      <c r="E54" s="177"/>
    </row>
    <row r="55" spans="1:5" x14ac:dyDescent="0.25">
      <c r="A55" s="175">
        <f t="shared" si="1"/>
        <v>1964</v>
      </c>
      <c r="B55" s="176">
        <f t="shared" si="0"/>
        <v>63</v>
      </c>
      <c r="C55" s="177">
        <v>63</v>
      </c>
      <c r="D55" s="177"/>
      <c r="E55" s="177"/>
    </row>
    <row r="56" spans="1:5" x14ac:dyDescent="0.25">
      <c r="A56" s="175">
        <f t="shared" si="1"/>
        <v>1965</v>
      </c>
      <c r="B56" s="176">
        <f t="shared" si="0"/>
        <v>65</v>
      </c>
      <c r="C56" s="177">
        <v>65</v>
      </c>
      <c r="D56" s="177"/>
      <c r="E56" s="177"/>
    </row>
    <row r="57" spans="1:5" x14ac:dyDescent="0.25">
      <c r="A57" s="175">
        <f t="shared" si="1"/>
        <v>1966</v>
      </c>
      <c r="B57" s="176">
        <f t="shared" si="0"/>
        <v>68</v>
      </c>
      <c r="C57" s="177">
        <v>68</v>
      </c>
      <c r="D57" s="177"/>
      <c r="E57" s="177"/>
    </row>
    <row r="58" spans="1:5" x14ac:dyDescent="0.25">
      <c r="A58" s="175">
        <f t="shared" si="1"/>
        <v>1967</v>
      </c>
      <c r="B58" s="176">
        <f t="shared" si="0"/>
        <v>71</v>
      </c>
      <c r="C58" s="177">
        <v>71</v>
      </c>
      <c r="D58" s="177"/>
      <c r="E58" s="177"/>
    </row>
    <row r="59" spans="1:5" x14ac:dyDescent="0.25">
      <c r="A59" s="175">
        <f t="shared" si="1"/>
        <v>1968</v>
      </c>
      <c r="B59" s="176">
        <f t="shared" si="0"/>
        <v>74</v>
      </c>
      <c r="C59" s="177">
        <v>74</v>
      </c>
      <c r="D59" s="177"/>
      <c r="E59" s="177"/>
    </row>
    <row r="60" spans="1:5" x14ac:dyDescent="0.25">
      <c r="A60" s="175">
        <f t="shared" si="1"/>
        <v>1969</v>
      </c>
      <c r="B60" s="176">
        <f t="shared" si="0"/>
        <v>78</v>
      </c>
      <c r="C60" s="177">
        <v>78</v>
      </c>
      <c r="D60" s="177"/>
      <c r="E60" s="177"/>
    </row>
    <row r="61" spans="1:5" x14ac:dyDescent="0.25">
      <c r="A61" s="175">
        <f t="shared" si="1"/>
        <v>1970</v>
      </c>
      <c r="B61" s="176">
        <f t="shared" si="0"/>
        <v>83</v>
      </c>
      <c r="C61" s="177">
        <v>83</v>
      </c>
      <c r="D61" s="177"/>
      <c r="E61" s="177"/>
    </row>
    <row r="62" spans="1:5" x14ac:dyDescent="0.25">
      <c r="A62" s="175">
        <f t="shared" si="1"/>
        <v>1971</v>
      </c>
      <c r="B62" s="176">
        <f t="shared" si="0"/>
        <v>88</v>
      </c>
      <c r="C62" s="177">
        <v>88</v>
      </c>
      <c r="D62" s="177"/>
      <c r="E62" s="177"/>
    </row>
    <row r="63" spans="1:5" x14ac:dyDescent="0.25">
      <c r="A63" s="175">
        <f t="shared" si="1"/>
        <v>1972</v>
      </c>
      <c r="B63" s="176">
        <f t="shared" si="0"/>
        <v>93</v>
      </c>
      <c r="C63" s="177">
        <v>93</v>
      </c>
      <c r="D63" s="177"/>
      <c r="E63" s="177"/>
    </row>
    <row r="64" spans="1:5" x14ac:dyDescent="0.25">
      <c r="A64" s="175">
        <f t="shared" si="1"/>
        <v>1973</v>
      </c>
      <c r="B64" s="176">
        <f t="shared" si="0"/>
        <v>100</v>
      </c>
      <c r="C64" s="177">
        <v>100</v>
      </c>
      <c r="D64" s="177"/>
      <c r="E64" s="177"/>
    </row>
    <row r="65" spans="1:5" x14ac:dyDescent="0.25">
      <c r="A65" s="175">
        <f t="shared" si="1"/>
        <v>1974</v>
      </c>
      <c r="B65" s="176">
        <f t="shared" si="0"/>
        <v>120</v>
      </c>
      <c r="C65" s="177">
        <v>120</v>
      </c>
      <c r="D65" s="177"/>
      <c r="E65" s="177"/>
    </row>
    <row r="66" spans="1:5" x14ac:dyDescent="0.25">
      <c r="A66" s="175">
        <f t="shared" si="1"/>
        <v>1975</v>
      </c>
      <c r="B66" s="176">
        <f t="shared" si="0"/>
        <v>139</v>
      </c>
      <c r="C66" s="177">
        <v>139</v>
      </c>
      <c r="D66" s="177"/>
      <c r="E66" s="177"/>
    </row>
    <row r="67" spans="1:5" x14ac:dyDescent="0.25">
      <c r="A67" s="175">
        <f t="shared" si="1"/>
        <v>1976</v>
      </c>
      <c r="B67" s="176">
        <f t="shared" si="0"/>
        <v>150</v>
      </c>
      <c r="C67" s="177">
        <v>150</v>
      </c>
      <c r="D67" s="177"/>
      <c r="E67" s="177"/>
    </row>
    <row r="68" spans="1:5" x14ac:dyDescent="0.25">
      <c r="A68" s="175">
        <f t="shared" si="1"/>
        <v>1977</v>
      </c>
      <c r="B68" s="176">
        <f t="shared" ref="B68:B91" si="2">ROUND(C68,0)</f>
        <v>162</v>
      </c>
      <c r="C68" s="177">
        <v>162</v>
      </c>
      <c r="D68" s="177"/>
      <c r="E68" s="177"/>
    </row>
    <row r="69" spans="1:5" x14ac:dyDescent="0.25">
      <c r="A69" s="175">
        <f t="shared" ref="A69:A107" si="3">+A68+1</f>
        <v>1978</v>
      </c>
      <c r="B69" s="176">
        <f t="shared" si="2"/>
        <v>172</v>
      </c>
      <c r="C69" s="177">
        <v>172</v>
      </c>
      <c r="D69" s="177"/>
      <c r="E69" s="177"/>
    </row>
    <row r="70" spans="1:5" x14ac:dyDescent="0.25">
      <c r="A70" s="175">
        <f t="shared" si="3"/>
        <v>1979</v>
      </c>
      <c r="B70" s="176">
        <f t="shared" si="2"/>
        <v>190</v>
      </c>
      <c r="C70" s="177">
        <v>190</v>
      </c>
      <c r="D70" s="177"/>
      <c r="E70" s="177"/>
    </row>
    <row r="71" spans="1:5" x14ac:dyDescent="0.25">
      <c r="A71" s="175">
        <f t="shared" si="3"/>
        <v>1980</v>
      </c>
      <c r="B71" s="176">
        <f t="shared" si="2"/>
        <v>208</v>
      </c>
      <c r="C71" s="177">
        <v>208</v>
      </c>
      <c r="D71" s="177"/>
      <c r="E71" s="177"/>
    </row>
    <row r="72" spans="1:5" x14ac:dyDescent="0.25">
      <c r="A72" s="175">
        <f t="shared" si="3"/>
        <v>1981</v>
      </c>
      <c r="B72" s="176">
        <f t="shared" si="2"/>
        <v>229</v>
      </c>
      <c r="C72" s="177">
        <v>229</v>
      </c>
      <c r="D72" s="177"/>
      <c r="E72" s="177"/>
    </row>
    <row r="73" spans="1:5" x14ac:dyDescent="0.25">
      <c r="A73" s="175">
        <f t="shared" si="3"/>
        <v>1982</v>
      </c>
      <c r="B73" s="176">
        <f t="shared" si="2"/>
        <v>246</v>
      </c>
      <c r="C73" s="177">
        <v>246</v>
      </c>
      <c r="D73" s="177"/>
      <c r="E73" s="177"/>
    </row>
    <row r="74" spans="1:5" x14ac:dyDescent="0.25">
      <c r="A74" s="175">
        <f t="shared" si="3"/>
        <v>1983</v>
      </c>
      <c r="B74" s="176">
        <f t="shared" si="2"/>
        <v>253</v>
      </c>
      <c r="C74" s="177">
        <v>253</v>
      </c>
      <c r="D74" s="177"/>
      <c r="E74" s="177"/>
    </row>
    <row r="75" spans="1:5" x14ac:dyDescent="0.25">
      <c r="A75" s="175">
        <f t="shared" si="3"/>
        <v>1984</v>
      </c>
      <c r="B75" s="176">
        <f t="shared" si="2"/>
        <v>254</v>
      </c>
      <c r="C75" s="177">
        <v>254</v>
      </c>
      <c r="D75" s="177"/>
      <c r="E75" s="177"/>
    </row>
    <row r="76" spans="1:5" x14ac:dyDescent="0.25">
      <c r="A76" s="175">
        <f t="shared" si="3"/>
        <v>1985</v>
      </c>
      <c r="B76" s="176">
        <f t="shared" si="2"/>
        <v>250</v>
      </c>
      <c r="C76" s="177">
        <v>250</v>
      </c>
      <c r="D76" s="177"/>
      <c r="E76" s="177"/>
    </row>
    <row r="77" spans="1:5" x14ac:dyDescent="0.25">
      <c r="A77" s="175">
        <f t="shared" si="3"/>
        <v>1986</v>
      </c>
      <c r="B77" s="176">
        <f t="shared" si="2"/>
        <v>251</v>
      </c>
      <c r="C77" s="177">
        <v>251</v>
      </c>
      <c r="D77" s="177"/>
      <c r="E77" s="177"/>
    </row>
    <row r="78" spans="1:5" x14ac:dyDescent="0.25">
      <c r="A78" s="175">
        <f t="shared" si="3"/>
        <v>1987</v>
      </c>
      <c r="B78" s="176">
        <f t="shared" si="2"/>
        <v>253</v>
      </c>
      <c r="C78" s="177">
        <v>253</v>
      </c>
      <c r="D78" s="177"/>
      <c r="E78" s="177"/>
    </row>
    <row r="79" spans="1:5" x14ac:dyDescent="0.25">
      <c r="A79" s="175">
        <f t="shared" si="3"/>
        <v>1988</v>
      </c>
      <c r="B79" s="176">
        <f t="shared" si="2"/>
        <v>267</v>
      </c>
      <c r="C79" s="177">
        <v>266.75</v>
      </c>
      <c r="D79" s="177"/>
      <c r="E79" s="177"/>
    </row>
    <row r="80" spans="1:5" x14ac:dyDescent="0.25">
      <c r="A80" s="175">
        <f t="shared" si="3"/>
        <v>1989</v>
      </c>
      <c r="B80" s="176">
        <f t="shared" si="2"/>
        <v>280</v>
      </c>
      <c r="C80" s="177">
        <v>279.5</v>
      </c>
      <c r="D80" s="177"/>
      <c r="E80" s="177"/>
    </row>
    <row r="81" spans="1:5" x14ac:dyDescent="0.25">
      <c r="A81" s="175">
        <f t="shared" si="3"/>
        <v>1990</v>
      </c>
      <c r="B81" s="176">
        <f t="shared" si="2"/>
        <v>287</v>
      </c>
      <c r="C81" s="177">
        <v>286.75</v>
      </c>
      <c r="D81" s="177"/>
      <c r="E81" s="177"/>
    </row>
    <row r="82" spans="1:5" x14ac:dyDescent="0.25">
      <c r="A82" s="175">
        <f t="shared" si="3"/>
        <v>1991</v>
      </c>
      <c r="B82" s="176">
        <f t="shared" si="2"/>
        <v>292</v>
      </c>
      <c r="C82" s="177">
        <v>292</v>
      </c>
      <c r="D82" s="177"/>
      <c r="E82" s="177"/>
    </row>
    <row r="83" spans="1:5" x14ac:dyDescent="0.25">
      <c r="A83" s="175">
        <f t="shared" si="3"/>
        <v>1992</v>
      </c>
      <c r="B83" s="176">
        <f t="shared" si="2"/>
        <v>295</v>
      </c>
      <c r="C83" s="177">
        <v>295.25</v>
      </c>
      <c r="D83" s="177"/>
      <c r="E83" s="177"/>
    </row>
    <row r="84" spans="1:5" x14ac:dyDescent="0.25">
      <c r="A84" s="175">
        <f t="shared" si="3"/>
        <v>1993</v>
      </c>
      <c r="B84" s="176">
        <f t="shared" si="2"/>
        <v>303</v>
      </c>
      <c r="C84" s="177">
        <v>303</v>
      </c>
      <c r="D84" s="177"/>
      <c r="E84" s="177"/>
    </row>
    <row r="85" spans="1:5" x14ac:dyDescent="0.25">
      <c r="A85" s="175">
        <f t="shared" si="3"/>
        <v>1994</v>
      </c>
      <c r="B85" s="176">
        <f t="shared" si="2"/>
        <v>311</v>
      </c>
      <c r="C85" s="177">
        <v>310.75</v>
      </c>
      <c r="D85" s="177"/>
      <c r="E85" s="177"/>
    </row>
    <row r="86" spans="1:5" x14ac:dyDescent="0.25">
      <c r="A86" s="175">
        <f t="shared" si="3"/>
        <v>1995</v>
      </c>
      <c r="B86" s="176">
        <f t="shared" si="2"/>
        <v>322</v>
      </c>
      <c r="C86" s="177">
        <v>322</v>
      </c>
      <c r="D86" s="177"/>
      <c r="E86" s="177"/>
    </row>
    <row r="87" spans="1:5" x14ac:dyDescent="0.25">
      <c r="A87" s="175">
        <f t="shared" si="3"/>
        <v>1996</v>
      </c>
      <c r="B87" s="176">
        <f t="shared" si="2"/>
        <v>325</v>
      </c>
      <c r="C87" s="177">
        <v>325.25</v>
      </c>
      <c r="D87" s="177"/>
      <c r="E87" s="177"/>
    </row>
    <row r="88" spans="1:5" x14ac:dyDescent="0.25">
      <c r="A88" s="175">
        <f t="shared" si="3"/>
        <v>1997</v>
      </c>
      <c r="B88" s="176">
        <f t="shared" si="2"/>
        <v>329</v>
      </c>
      <c r="C88" s="177">
        <v>328.75</v>
      </c>
      <c r="D88" s="177"/>
      <c r="E88" s="177"/>
    </row>
    <row r="89" spans="1:5" x14ac:dyDescent="0.25">
      <c r="A89" s="175">
        <f t="shared" si="3"/>
        <v>1998</v>
      </c>
      <c r="B89" s="176">
        <f t="shared" si="2"/>
        <v>336</v>
      </c>
      <c r="C89" s="177">
        <v>336.25</v>
      </c>
      <c r="D89" s="177"/>
      <c r="E89" s="177"/>
    </row>
    <row r="90" spans="1:5" x14ac:dyDescent="0.25">
      <c r="A90" s="175">
        <f t="shared" si="3"/>
        <v>1999</v>
      </c>
      <c r="B90" s="176">
        <f t="shared" si="2"/>
        <v>337</v>
      </c>
      <c r="C90" s="177">
        <v>337.25</v>
      </c>
      <c r="D90" s="177"/>
      <c r="E90" s="177"/>
    </row>
    <row r="91" spans="1:5" x14ac:dyDescent="0.25">
      <c r="A91" s="175">
        <f t="shared" si="3"/>
        <v>2000</v>
      </c>
      <c r="B91" s="176">
        <f t="shared" si="2"/>
        <v>345</v>
      </c>
      <c r="C91" s="177">
        <v>345</v>
      </c>
      <c r="D91" s="177"/>
      <c r="E91" s="177"/>
    </row>
    <row r="92" spans="1:5" x14ac:dyDescent="0.25">
      <c r="A92" s="175">
        <f t="shared" si="3"/>
        <v>2001</v>
      </c>
      <c r="B92" s="176">
        <f>ROUND(E92,0)</f>
        <v>351</v>
      </c>
      <c r="C92" s="177"/>
      <c r="D92" s="177">
        <v>350</v>
      </c>
      <c r="E92" s="177">
        <v>351</v>
      </c>
    </row>
    <row r="93" spans="1:5" x14ac:dyDescent="0.25">
      <c r="A93" s="175">
        <f t="shared" si="3"/>
        <v>2002</v>
      </c>
      <c r="B93" s="176">
        <f t="shared" ref="B93:B107" si="4">ROUND(E93,0)</f>
        <v>369</v>
      </c>
      <c r="C93" s="177"/>
      <c r="D93" s="177">
        <v>366</v>
      </c>
      <c r="E93" s="177">
        <v>369</v>
      </c>
    </row>
    <row r="94" spans="1:5" x14ac:dyDescent="0.25">
      <c r="A94" s="175">
        <f t="shared" si="3"/>
        <v>2003</v>
      </c>
      <c r="B94" s="176">
        <f t="shared" si="4"/>
        <v>378</v>
      </c>
      <c r="C94" s="177"/>
      <c r="D94" s="177">
        <v>376</v>
      </c>
      <c r="E94" s="177">
        <v>378</v>
      </c>
    </row>
    <row r="95" spans="1:5" x14ac:dyDescent="0.25">
      <c r="A95" s="175">
        <f t="shared" si="3"/>
        <v>2004</v>
      </c>
      <c r="B95" s="176">
        <f t="shared" si="4"/>
        <v>401</v>
      </c>
      <c r="C95" s="177"/>
      <c r="D95" s="177">
        <v>383</v>
      </c>
      <c r="E95" s="177">
        <v>401</v>
      </c>
    </row>
    <row r="96" spans="1:5" x14ac:dyDescent="0.25">
      <c r="A96" s="175">
        <f t="shared" si="3"/>
        <v>2005</v>
      </c>
      <c r="B96" s="176">
        <f t="shared" si="4"/>
        <v>425</v>
      </c>
      <c r="C96" s="177"/>
      <c r="D96" s="177">
        <v>417</v>
      </c>
      <c r="E96" s="177">
        <v>425</v>
      </c>
    </row>
    <row r="97" spans="1:5" x14ac:dyDescent="0.25">
      <c r="A97" s="175">
        <f t="shared" si="3"/>
        <v>2006</v>
      </c>
      <c r="B97" s="176">
        <f t="shared" si="4"/>
        <v>472</v>
      </c>
      <c r="C97" s="177"/>
      <c r="D97" s="177">
        <v>452</v>
      </c>
      <c r="E97" s="177">
        <v>472</v>
      </c>
    </row>
    <row r="98" spans="1:5" x14ac:dyDescent="0.25">
      <c r="A98" s="175">
        <f t="shared" si="3"/>
        <v>2007</v>
      </c>
      <c r="B98" s="176">
        <f t="shared" si="4"/>
        <v>511</v>
      </c>
      <c r="C98" s="177"/>
      <c r="D98" s="177">
        <v>503</v>
      </c>
      <c r="E98" s="177">
        <v>510.58503749248274</v>
      </c>
    </row>
    <row r="99" spans="1:5" x14ac:dyDescent="0.25">
      <c r="A99" s="175">
        <f t="shared" si="3"/>
        <v>2008</v>
      </c>
      <c r="B99" s="176">
        <f t="shared" si="4"/>
        <v>566</v>
      </c>
      <c r="C99" s="177"/>
      <c r="D99" s="177">
        <v>570</v>
      </c>
      <c r="E99" s="177">
        <v>566</v>
      </c>
    </row>
    <row r="100" spans="1:5" x14ac:dyDescent="0.25">
      <c r="A100" s="175">
        <f t="shared" si="3"/>
        <v>2009</v>
      </c>
      <c r="B100" s="176">
        <f t="shared" si="4"/>
        <v>577</v>
      </c>
      <c r="C100" s="177"/>
      <c r="D100" s="177">
        <v>588</v>
      </c>
      <c r="E100" s="177">
        <v>577</v>
      </c>
    </row>
    <row r="101" spans="1:5" x14ac:dyDescent="0.25">
      <c r="A101" s="175">
        <f t="shared" si="3"/>
        <v>2010</v>
      </c>
      <c r="B101" s="176">
        <f t="shared" si="4"/>
        <v>609</v>
      </c>
      <c r="C101" s="177"/>
      <c r="D101" s="177">
        <v>600</v>
      </c>
      <c r="E101" s="177">
        <v>608.5</v>
      </c>
    </row>
    <row r="102" spans="1:5" x14ac:dyDescent="0.25">
      <c r="A102" s="175">
        <f t="shared" si="3"/>
        <v>2011</v>
      </c>
      <c r="B102" s="176">
        <f t="shared" si="4"/>
        <v>637</v>
      </c>
      <c r="C102" s="177"/>
      <c r="D102" s="177">
        <v>623</v>
      </c>
      <c r="E102" s="177">
        <v>637</v>
      </c>
    </row>
    <row r="103" spans="1:5" x14ac:dyDescent="0.25">
      <c r="A103" s="175">
        <f t="shared" si="3"/>
        <v>2012</v>
      </c>
      <c r="B103" s="176">
        <f t="shared" si="4"/>
        <v>657</v>
      </c>
      <c r="C103" s="177"/>
      <c r="D103" s="177">
        <v>647</v>
      </c>
      <c r="E103" s="177">
        <v>657</v>
      </c>
    </row>
    <row r="104" spans="1:5" x14ac:dyDescent="0.25">
      <c r="A104" s="175">
        <f t="shared" si="3"/>
        <v>2013</v>
      </c>
      <c r="B104" s="176">
        <f t="shared" si="4"/>
        <v>681</v>
      </c>
      <c r="C104" s="177"/>
      <c r="D104" s="177">
        <v>671</v>
      </c>
      <c r="E104" s="177">
        <v>681</v>
      </c>
    </row>
    <row r="105" spans="1:5" x14ac:dyDescent="0.25">
      <c r="A105" s="175">
        <f t="shared" si="3"/>
        <v>2014</v>
      </c>
      <c r="B105" s="176">
        <f>ROUND(E105,0)</f>
        <v>701</v>
      </c>
      <c r="C105" s="177"/>
      <c r="D105" s="177">
        <v>694</v>
      </c>
      <c r="E105" s="177">
        <v>700.5</v>
      </c>
    </row>
    <row r="106" spans="1:5" x14ac:dyDescent="0.25">
      <c r="A106" s="175">
        <f t="shared" si="3"/>
        <v>2015</v>
      </c>
      <c r="B106" s="176">
        <f t="shared" si="4"/>
        <v>717</v>
      </c>
      <c r="C106" s="177"/>
      <c r="D106" s="177">
        <v>717</v>
      </c>
      <c r="E106" s="177">
        <v>717</v>
      </c>
    </row>
    <row r="107" spans="1:5" x14ac:dyDescent="0.25">
      <c r="A107" s="175">
        <f t="shared" si="3"/>
        <v>2016</v>
      </c>
      <c r="B107" s="176">
        <f t="shared" si="4"/>
        <v>728</v>
      </c>
      <c r="C107" s="177"/>
      <c r="D107" s="177">
        <v>728</v>
      </c>
      <c r="E107" s="177">
        <f>+D107</f>
        <v>728</v>
      </c>
    </row>
  </sheetData>
  <mergeCells count="1">
    <mergeCell ref="A1:E1"/>
  </mergeCells>
  <printOptions horizontalCentered="1"/>
  <pageMargins left="0.25" right="0.25" top="1.5" bottom="1" header="0.5" footer="0.5"/>
  <pageSetup scale="61" fitToHeight="2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>
      <pane xSplit="1" ySplit="23" topLeftCell="B24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5"/>
  <cols>
    <col min="1" max="1" width="14.77734375" customWidth="1"/>
    <col min="2" max="2" width="13.77734375" bestFit="1" customWidth="1"/>
    <col min="3" max="7" width="11.44140625" bestFit="1" customWidth="1"/>
    <col min="8" max="8" width="30.44140625" bestFit="1" customWidth="1"/>
    <col min="9" max="9" width="16" bestFit="1" customWidth="1"/>
    <col min="10" max="10" width="12.33203125" customWidth="1"/>
    <col min="11" max="11" width="14.109375" bestFit="1" customWidth="1"/>
    <col min="13" max="14" width="9.33203125" bestFit="1" customWidth="1"/>
    <col min="15" max="15" width="4.6640625" bestFit="1" customWidth="1"/>
    <col min="16" max="16" width="9.33203125" bestFit="1" customWidth="1"/>
  </cols>
  <sheetData>
    <row r="1" spans="1:21" x14ac:dyDescent="0.2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7"/>
      <c r="N1" s="279"/>
      <c r="O1" s="277"/>
      <c r="P1" s="277"/>
      <c r="Q1" s="277"/>
      <c r="R1" s="277"/>
      <c r="S1" s="277"/>
      <c r="T1" s="277"/>
      <c r="U1" s="277"/>
    </row>
    <row r="2" spans="1:2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77"/>
      <c r="N2" s="279"/>
      <c r="O2" s="277"/>
      <c r="P2" s="277"/>
      <c r="Q2" s="277"/>
      <c r="R2" s="277"/>
      <c r="S2" s="277"/>
      <c r="T2" s="277"/>
      <c r="U2" s="277"/>
    </row>
    <row r="3" spans="1:21" ht="15" x14ac:dyDescent="0.25">
      <c r="A3" s="280" t="s">
        <v>410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78"/>
      <c r="M3" s="277"/>
      <c r="N3" s="279"/>
      <c r="O3" s="277"/>
      <c r="P3" s="277"/>
      <c r="Q3" s="277"/>
      <c r="R3" s="277"/>
      <c r="S3" s="277"/>
      <c r="T3" s="277"/>
      <c r="U3" s="277"/>
    </row>
    <row r="4" spans="1:21" ht="15" x14ac:dyDescent="0.25">
      <c r="A4" s="280" t="s">
        <v>411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78"/>
      <c r="M4" s="277"/>
      <c r="N4" s="279"/>
      <c r="O4" s="277"/>
      <c r="P4" s="277"/>
      <c r="Q4" s="277"/>
      <c r="R4" s="277"/>
      <c r="S4" s="277"/>
      <c r="T4" s="277"/>
      <c r="U4" s="277"/>
    </row>
    <row r="5" spans="1:21" ht="15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78"/>
      <c r="M5" s="277"/>
      <c r="N5" s="279"/>
      <c r="O5" s="277"/>
      <c r="P5" s="277"/>
      <c r="Q5" s="277"/>
      <c r="R5" s="277"/>
      <c r="S5" s="277"/>
      <c r="T5" s="277"/>
      <c r="U5" s="277"/>
    </row>
    <row r="6" spans="1:21" ht="13.8" thickBot="1" x14ac:dyDescent="0.3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78"/>
      <c r="M6" s="277"/>
      <c r="N6" s="279"/>
      <c r="O6" s="277"/>
      <c r="P6" s="277"/>
      <c r="Q6" s="277"/>
      <c r="R6" s="277"/>
      <c r="S6" s="277"/>
      <c r="T6" s="277"/>
      <c r="U6" s="277"/>
    </row>
    <row r="7" spans="1:21" ht="13.8" thickBot="1" x14ac:dyDescent="0.3">
      <c r="A7" s="282"/>
      <c r="B7" s="279"/>
      <c r="C7" s="281"/>
      <c r="D7" s="281"/>
      <c r="E7" s="281"/>
      <c r="F7" s="281"/>
      <c r="G7" s="281"/>
      <c r="H7" s="283" t="s">
        <v>412</v>
      </c>
      <c r="I7" s="284"/>
      <c r="J7" s="285" t="s">
        <v>413</v>
      </c>
      <c r="K7" s="286" t="s">
        <v>414</v>
      </c>
      <c r="L7" s="278"/>
      <c r="M7" s="277"/>
      <c r="N7" s="279"/>
      <c r="O7" s="277"/>
      <c r="P7" s="277"/>
      <c r="Q7" s="277"/>
      <c r="R7" s="277"/>
      <c r="S7" s="277"/>
      <c r="T7" s="277"/>
      <c r="U7" s="277"/>
    </row>
    <row r="8" spans="1:21" x14ac:dyDescent="0.25">
      <c r="A8" s="287" t="s">
        <v>415</v>
      </c>
      <c r="B8" s="288">
        <v>22007938139</v>
      </c>
      <c r="C8" s="289"/>
      <c r="D8" s="289"/>
      <c r="E8" s="289"/>
      <c r="F8" s="289"/>
      <c r="G8" s="281"/>
      <c r="H8" s="290" t="s">
        <v>416</v>
      </c>
      <c r="I8" s="291"/>
      <c r="J8" s="292" t="s">
        <v>417</v>
      </c>
      <c r="K8" s="293" t="s">
        <v>418</v>
      </c>
      <c r="L8" s="278"/>
      <c r="M8" s="277"/>
      <c r="N8" s="279"/>
      <c r="O8" s="277"/>
      <c r="P8" s="277"/>
      <c r="Q8" s="277"/>
      <c r="R8" s="277"/>
      <c r="S8" s="277"/>
      <c r="T8" s="277"/>
      <c r="U8" s="277"/>
    </row>
    <row r="9" spans="1:21" x14ac:dyDescent="0.25">
      <c r="A9" s="294" t="s">
        <v>419</v>
      </c>
      <c r="B9" s="295">
        <v>1606579484.1469998</v>
      </c>
      <c r="C9" s="279"/>
      <c r="D9" s="279"/>
      <c r="E9" s="279"/>
      <c r="F9" s="279"/>
      <c r="G9" s="281"/>
      <c r="H9" s="294" t="s">
        <v>420</v>
      </c>
      <c r="I9" s="296"/>
      <c r="J9" s="297">
        <v>3.047732061653087E-2</v>
      </c>
      <c r="K9" s="298">
        <v>6.9147310138769251E-3</v>
      </c>
      <c r="L9" s="278"/>
      <c r="M9" s="277"/>
      <c r="N9" s="279"/>
      <c r="O9" s="277"/>
      <c r="P9" s="277"/>
      <c r="Q9" s="277"/>
      <c r="R9" s="277"/>
      <c r="S9" s="277"/>
      <c r="T9" s="277"/>
      <c r="U9" s="277"/>
    </row>
    <row r="10" spans="1:21" x14ac:dyDescent="0.25">
      <c r="A10" s="294" t="s">
        <v>421</v>
      </c>
      <c r="B10" s="299">
        <v>18880488.840606689</v>
      </c>
      <c r="C10" s="289"/>
      <c r="D10" s="289"/>
      <c r="E10" s="281"/>
      <c r="F10" s="279"/>
      <c r="G10" s="281"/>
      <c r="H10" s="294" t="s">
        <v>422</v>
      </c>
      <c r="I10" s="296"/>
      <c r="J10" s="297">
        <v>0.101328498667984</v>
      </c>
      <c r="K10" s="298">
        <v>4.9535101029060086E-2</v>
      </c>
      <c r="L10" s="278"/>
      <c r="M10" s="277"/>
      <c r="N10" s="279"/>
      <c r="O10" s="277"/>
      <c r="P10" s="277"/>
      <c r="Q10" s="277"/>
      <c r="R10" s="277"/>
      <c r="S10" s="277"/>
      <c r="T10" s="277"/>
      <c r="U10" s="277"/>
    </row>
    <row r="11" spans="1:21" ht="13.8" thickBot="1" x14ac:dyDescent="0.3">
      <c r="A11" s="300" t="s">
        <v>423</v>
      </c>
      <c r="B11" s="301">
        <v>20382478166.012394</v>
      </c>
      <c r="C11" s="302"/>
      <c r="D11" s="279"/>
      <c r="E11" s="289"/>
      <c r="F11" s="279"/>
      <c r="G11" s="281"/>
      <c r="H11" s="303" t="s">
        <v>424</v>
      </c>
      <c r="I11" s="304"/>
      <c r="J11" s="305">
        <v>0.86819418071548504</v>
      </c>
      <c r="K11" s="306">
        <v>0.94355016795706304</v>
      </c>
      <c r="L11" s="278"/>
      <c r="M11" s="277"/>
      <c r="N11" s="279"/>
      <c r="O11" s="277"/>
      <c r="P11" s="277"/>
      <c r="Q11" s="277"/>
      <c r="R11" s="277"/>
      <c r="S11" s="277"/>
      <c r="T11" s="277"/>
      <c r="U11" s="277"/>
    </row>
    <row r="12" spans="1:21" ht="13.8" thickBot="1" x14ac:dyDescent="0.3">
      <c r="A12" s="279"/>
      <c r="B12" s="281"/>
      <c r="C12" s="281"/>
      <c r="D12" s="281"/>
      <c r="E12" s="289"/>
      <c r="F12" s="279"/>
      <c r="G12" s="281"/>
      <c r="H12" s="307" t="s">
        <v>425</v>
      </c>
      <c r="I12" s="308"/>
      <c r="J12" s="309">
        <v>0.99999999999999989</v>
      </c>
      <c r="K12" s="310">
        <v>1</v>
      </c>
      <c r="L12" s="278"/>
      <c r="M12" s="277"/>
      <c r="N12" s="279"/>
      <c r="O12" s="277"/>
      <c r="P12" s="277"/>
      <c r="Q12" s="277"/>
      <c r="R12" s="277"/>
      <c r="S12" s="277"/>
      <c r="T12" s="277"/>
      <c r="U12" s="277"/>
    </row>
    <row r="13" spans="1:21" x14ac:dyDescent="0.25">
      <c r="A13" s="282"/>
      <c r="B13" s="282"/>
      <c r="C13" s="282"/>
      <c r="D13" s="282"/>
      <c r="E13" s="282"/>
      <c r="F13" s="282"/>
      <c r="G13" s="282"/>
      <c r="H13" s="658"/>
      <c r="I13" s="658"/>
      <c r="J13" s="282"/>
      <c r="K13" s="282"/>
      <c r="L13" s="278"/>
      <c r="M13" s="282"/>
      <c r="N13" s="279"/>
      <c r="O13" s="282"/>
      <c r="P13" s="282"/>
      <c r="Q13" s="282"/>
      <c r="R13" s="282"/>
      <c r="S13" s="282"/>
      <c r="T13" s="282"/>
      <c r="U13" s="282"/>
    </row>
    <row r="14" spans="1:21" x14ac:dyDescent="0.25">
      <c r="A14" s="281"/>
      <c r="B14" s="281"/>
      <c r="C14" s="281"/>
      <c r="D14" s="281"/>
      <c r="E14" s="281"/>
      <c r="F14" s="279"/>
      <c r="G14" s="281"/>
      <c r="H14" s="282"/>
      <c r="I14" s="281"/>
      <c r="J14" s="281"/>
      <c r="K14" s="281"/>
      <c r="L14" s="278"/>
      <c r="M14" s="277"/>
      <c r="N14" s="279"/>
      <c r="O14" s="277"/>
      <c r="P14" s="277"/>
      <c r="Q14" s="277"/>
      <c r="R14" s="277"/>
      <c r="S14" s="277"/>
      <c r="T14" s="277"/>
      <c r="U14" s="277"/>
    </row>
    <row r="15" spans="1:21" ht="13.8" thickBot="1" x14ac:dyDescent="0.3">
      <c r="A15" s="277"/>
      <c r="B15" s="277"/>
      <c r="C15" s="311"/>
      <c r="D15" s="312"/>
      <c r="E15" s="277"/>
      <c r="F15" s="277"/>
      <c r="G15" s="312"/>
      <c r="H15" s="277"/>
      <c r="I15" s="277"/>
      <c r="J15" s="277"/>
      <c r="K15" s="277"/>
      <c r="L15" s="278"/>
      <c r="M15" s="277"/>
      <c r="N15" s="279"/>
      <c r="O15" s="277"/>
      <c r="P15" s="277"/>
      <c r="Q15" s="277"/>
      <c r="R15" s="277"/>
      <c r="S15" s="277"/>
      <c r="T15" s="277"/>
      <c r="U15" s="277"/>
    </row>
    <row r="16" spans="1:21" x14ac:dyDescent="0.25">
      <c r="A16" s="313" t="s">
        <v>426</v>
      </c>
      <c r="B16" s="314" t="s">
        <v>427</v>
      </c>
      <c r="C16" s="314" t="s">
        <v>428</v>
      </c>
      <c r="D16" s="314" t="s">
        <v>429</v>
      </c>
      <c r="E16" s="314" t="s">
        <v>430</v>
      </c>
      <c r="F16" s="314" t="s">
        <v>431</v>
      </c>
      <c r="G16" s="314" t="s">
        <v>432</v>
      </c>
      <c r="H16" s="314" t="s">
        <v>433</v>
      </c>
      <c r="I16" s="314" t="s">
        <v>434</v>
      </c>
      <c r="J16" s="314" t="s">
        <v>435</v>
      </c>
      <c r="K16" s="315" t="s">
        <v>436</v>
      </c>
      <c r="L16" s="316"/>
      <c r="M16" s="317"/>
      <c r="N16" s="318"/>
      <c r="O16" s="317"/>
      <c r="P16" s="317"/>
      <c r="Q16" s="317"/>
      <c r="R16" s="317"/>
      <c r="S16" s="317"/>
      <c r="T16" s="317"/>
      <c r="U16" s="317"/>
    </row>
    <row r="17" spans="1:21" x14ac:dyDescent="0.25">
      <c r="A17" s="319"/>
      <c r="B17" s="320"/>
      <c r="C17" s="320"/>
      <c r="D17" s="320"/>
      <c r="E17" s="320"/>
      <c r="F17" s="320" t="s">
        <v>437</v>
      </c>
      <c r="G17" s="320" t="s">
        <v>437</v>
      </c>
      <c r="H17" s="320" t="s">
        <v>437</v>
      </c>
      <c r="I17" s="320"/>
      <c r="J17" s="320" t="s">
        <v>438</v>
      </c>
      <c r="K17" s="321" t="s">
        <v>439</v>
      </c>
      <c r="L17" s="316"/>
      <c r="M17" s="317"/>
      <c r="N17" s="318"/>
      <c r="O17" s="317"/>
      <c r="P17" s="317"/>
      <c r="Q17" s="317"/>
      <c r="R17" s="317"/>
      <c r="S17" s="317"/>
      <c r="T17" s="317"/>
      <c r="U17" s="317"/>
    </row>
    <row r="18" spans="1:21" x14ac:dyDescent="0.25">
      <c r="A18" s="319"/>
      <c r="B18" s="320" t="s">
        <v>440</v>
      </c>
      <c r="C18" s="320" t="s">
        <v>441</v>
      </c>
      <c r="D18" s="320" t="s">
        <v>437</v>
      </c>
      <c r="E18" s="320" t="s">
        <v>442</v>
      </c>
      <c r="F18" s="320" t="s">
        <v>443</v>
      </c>
      <c r="G18" s="320" t="s">
        <v>443</v>
      </c>
      <c r="H18" s="320" t="s">
        <v>443</v>
      </c>
      <c r="I18" s="320" t="s">
        <v>444</v>
      </c>
      <c r="J18" s="320" t="s">
        <v>445</v>
      </c>
      <c r="K18" s="321" t="s">
        <v>438</v>
      </c>
      <c r="L18" s="316"/>
      <c r="M18" s="317"/>
      <c r="N18" s="322"/>
      <c r="O18" s="323"/>
      <c r="P18" s="323"/>
      <c r="Q18" s="323"/>
      <c r="R18" s="323"/>
      <c r="S18" s="323"/>
      <c r="T18" s="323"/>
      <c r="U18" s="323"/>
    </row>
    <row r="19" spans="1:21" x14ac:dyDescent="0.25">
      <c r="A19" s="319" t="s">
        <v>446</v>
      </c>
      <c r="B19" s="320" t="s">
        <v>447</v>
      </c>
      <c r="C19" s="320" t="s">
        <v>448</v>
      </c>
      <c r="D19" s="320" t="s">
        <v>449</v>
      </c>
      <c r="E19" s="320" t="s">
        <v>248</v>
      </c>
      <c r="F19" s="320" t="s">
        <v>450</v>
      </c>
      <c r="G19" s="320" t="s">
        <v>451</v>
      </c>
      <c r="H19" s="320" t="s">
        <v>452</v>
      </c>
      <c r="I19" s="320" t="s">
        <v>448</v>
      </c>
      <c r="J19" s="320" t="s">
        <v>453</v>
      </c>
      <c r="K19" s="321" t="s">
        <v>454</v>
      </c>
      <c r="L19" s="316"/>
      <c r="M19" s="317"/>
      <c r="N19" s="322"/>
      <c r="O19" s="324"/>
      <c r="P19" s="325"/>
      <c r="Q19" s="323"/>
      <c r="R19" s="323"/>
      <c r="S19" s="323"/>
      <c r="T19" s="326"/>
      <c r="U19" s="323"/>
    </row>
    <row r="20" spans="1:21" x14ac:dyDescent="0.25">
      <c r="A20" s="327"/>
      <c r="B20" s="328"/>
      <c r="C20" s="328"/>
      <c r="D20" s="328"/>
      <c r="E20" s="328"/>
      <c r="F20" s="328"/>
      <c r="G20" s="328"/>
      <c r="H20" s="328"/>
      <c r="I20" s="328"/>
      <c r="J20" s="320" t="s">
        <v>448</v>
      </c>
      <c r="K20" s="329"/>
      <c r="L20" s="278"/>
      <c r="M20" s="277"/>
      <c r="N20" s="322"/>
      <c r="O20" s="324"/>
      <c r="P20" s="325"/>
      <c r="Q20" s="325"/>
      <c r="R20" s="330"/>
      <c r="S20" s="330"/>
      <c r="T20" s="323"/>
      <c r="U20" s="330"/>
    </row>
    <row r="21" spans="1:21" x14ac:dyDescent="0.25">
      <c r="A21" s="331"/>
      <c r="B21" s="332"/>
      <c r="C21" s="333" t="s">
        <v>455</v>
      </c>
      <c r="D21" s="332" t="s">
        <v>456</v>
      </c>
      <c r="E21" s="333" t="s">
        <v>457</v>
      </c>
      <c r="F21" s="333" t="s">
        <v>458</v>
      </c>
      <c r="G21" s="332" t="s">
        <v>456</v>
      </c>
      <c r="H21" s="333" t="s">
        <v>459</v>
      </c>
      <c r="I21" s="332" t="s">
        <v>460</v>
      </c>
      <c r="J21" s="333" t="s">
        <v>461</v>
      </c>
      <c r="K21" s="334" t="s">
        <v>462</v>
      </c>
      <c r="L21" s="316"/>
      <c r="M21" s="317"/>
      <c r="N21" s="322"/>
      <c r="O21" s="324"/>
      <c r="P21" s="325"/>
      <c r="Q21" s="325"/>
      <c r="R21" s="323"/>
      <c r="S21" s="323"/>
      <c r="T21" s="323"/>
      <c r="U21" s="323"/>
    </row>
    <row r="22" spans="1:21" x14ac:dyDescent="0.25">
      <c r="A22" s="331"/>
      <c r="B22" s="332"/>
      <c r="C22" s="333" t="s">
        <v>463</v>
      </c>
      <c r="D22" s="332"/>
      <c r="E22" s="333"/>
      <c r="F22" s="333"/>
      <c r="G22" s="332"/>
      <c r="H22" s="333"/>
      <c r="I22" s="332" t="s">
        <v>464</v>
      </c>
      <c r="J22" s="333"/>
      <c r="K22" s="334"/>
      <c r="L22" s="316"/>
      <c r="M22" s="659"/>
      <c r="N22" s="659"/>
      <c r="O22" s="659"/>
      <c r="P22" s="335"/>
      <c r="Q22" s="325"/>
      <c r="R22" s="323"/>
      <c r="S22" s="323"/>
      <c r="T22" s="323"/>
      <c r="U22" s="323"/>
    </row>
    <row r="23" spans="1:21" x14ac:dyDescent="0.25">
      <c r="A23" s="336" t="s">
        <v>465</v>
      </c>
      <c r="B23" s="337" t="s">
        <v>465</v>
      </c>
      <c r="C23" s="337" t="s">
        <v>465</v>
      </c>
      <c r="D23" s="337" t="s">
        <v>465</v>
      </c>
      <c r="E23" s="337" t="s">
        <v>465</v>
      </c>
      <c r="F23" s="337" t="s">
        <v>465</v>
      </c>
      <c r="G23" s="337" t="s">
        <v>465</v>
      </c>
      <c r="H23" s="337" t="s">
        <v>465</v>
      </c>
      <c r="I23" s="337" t="s">
        <v>466</v>
      </c>
      <c r="J23" s="337" t="s">
        <v>465</v>
      </c>
      <c r="K23" s="338" t="s">
        <v>465</v>
      </c>
      <c r="L23" s="339"/>
      <c r="M23" s="340"/>
      <c r="N23" s="340"/>
      <c r="O23" s="341"/>
      <c r="P23" s="342"/>
      <c r="Q23" s="325"/>
      <c r="R23" s="343"/>
      <c r="S23" s="343"/>
      <c r="T23" s="323"/>
      <c r="U23" s="343"/>
    </row>
    <row r="24" spans="1:21" x14ac:dyDescent="0.25">
      <c r="A24" s="344" t="s">
        <v>467</v>
      </c>
      <c r="B24" s="345">
        <v>10208761476.354383</v>
      </c>
      <c r="C24" s="346">
        <v>9456475.5846091062</v>
      </c>
      <c r="D24" s="347">
        <v>1596531.0833333333</v>
      </c>
      <c r="E24" s="346">
        <v>1163276.17849943</v>
      </c>
      <c r="F24" s="348">
        <v>0.72862732873992797</v>
      </c>
      <c r="G24" s="347">
        <v>241622.16666666666</v>
      </c>
      <c r="H24" s="346">
        <v>1542220021.4371381</v>
      </c>
      <c r="I24" s="346">
        <v>882118531.15433276</v>
      </c>
      <c r="J24" s="346">
        <v>11100336483.093327</v>
      </c>
      <c r="K24" s="349">
        <v>7.9467728973609736E-2</v>
      </c>
      <c r="L24" s="350"/>
      <c r="M24" s="351"/>
      <c r="N24" s="322"/>
      <c r="O24" s="324"/>
      <c r="P24" s="325"/>
      <c r="Q24" s="325"/>
      <c r="R24" s="323"/>
      <c r="S24" s="323"/>
      <c r="T24" s="326"/>
      <c r="U24" s="323"/>
    </row>
    <row r="25" spans="1:21" x14ac:dyDescent="0.25">
      <c r="A25" s="352">
        <v>24</v>
      </c>
      <c r="B25" s="345">
        <v>2724602308.1630082</v>
      </c>
      <c r="C25" s="346">
        <v>2523825.7612924469</v>
      </c>
      <c r="D25" s="347">
        <v>374204.91666666669</v>
      </c>
      <c r="E25" s="346">
        <v>310465.17918081745</v>
      </c>
      <c r="F25" s="348">
        <v>0.82966622124148315</v>
      </c>
      <c r="G25" s="347">
        <v>55871.166666666664</v>
      </c>
      <c r="H25" s="346">
        <v>406064716.78825325</v>
      </c>
      <c r="I25" s="346">
        <v>232260771.19207883</v>
      </c>
      <c r="J25" s="346">
        <v>2959386905.1163797</v>
      </c>
      <c r="K25" s="349">
        <v>7.8482732619560958E-2</v>
      </c>
      <c r="L25" s="353"/>
      <c r="M25" s="354"/>
      <c r="N25" s="322"/>
      <c r="O25" s="324"/>
      <c r="P25" s="325"/>
      <c r="Q25" s="325"/>
      <c r="R25" s="323"/>
      <c r="S25" s="323"/>
      <c r="T25" s="326"/>
      <c r="U25" s="323"/>
    </row>
    <row r="26" spans="1:21" x14ac:dyDescent="0.25">
      <c r="A26" s="352">
        <v>25</v>
      </c>
      <c r="B26" s="345">
        <v>2805029593.5689993</v>
      </c>
      <c r="C26" s="346">
        <v>2598326.3422434032</v>
      </c>
      <c r="D26" s="347">
        <v>390998.58333333331</v>
      </c>
      <c r="E26" s="346">
        <v>319629.77230319247</v>
      </c>
      <c r="F26" s="348">
        <v>0.81747041019507316</v>
      </c>
      <c r="G26" s="347">
        <v>57870.916666666664</v>
      </c>
      <c r="H26" s="346">
        <v>414415994.99617642</v>
      </c>
      <c r="I26" s="346">
        <v>237037532.72002834</v>
      </c>
      <c r="J26" s="346">
        <v>3044665452.6312709</v>
      </c>
      <c r="K26" s="349">
        <v>7.7853391910488873E-2</v>
      </c>
      <c r="L26" s="353"/>
      <c r="M26" s="355"/>
      <c r="N26" s="356"/>
      <c r="O26" s="324"/>
      <c r="P26" s="325"/>
      <c r="Q26" s="325"/>
      <c r="R26" s="323"/>
      <c r="S26" s="323"/>
      <c r="T26" s="326"/>
      <c r="U26" s="323"/>
    </row>
    <row r="27" spans="1:21" x14ac:dyDescent="0.25">
      <c r="A27" s="352">
        <v>26</v>
      </c>
      <c r="B27" s="345">
        <v>1868458845.7140005</v>
      </c>
      <c r="C27" s="346">
        <v>1730771.7000016626</v>
      </c>
      <c r="D27" s="347">
        <v>245143.25</v>
      </c>
      <c r="E27" s="346">
        <v>212908.65407718605</v>
      </c>
      <c r="F27" s="348">
        <v>0.86850710381454943</v>
      </c>
      <c r="G27" s="347">
        <v>36011.25</v>
      </c>
      <c r="H27" s="346">
        <v>273977991.63403726</v>
      </c>
      <c r="I27" s="346">
        <v>156709846.9669829</v>
      </c>
      <c r="J27" s="346">
        <v>2026899464.380985</v>
      </c>
      <c r="K27" s="349">
        <v>7.7315056676894464E-2</v>
      </c>
      <c r="L27" s="353"/>
      <c r="M27" s="355"/>
      <c r="N27" s="356"/>
      <c r="O27" s="324"/>
      <c r="P27" s="325"/>
      <c r="Q27" s="325"/>
      <c r="R27" s="323"/>
      <c r="S27" s="323"/>
      <c r="T27" s="323"/>
      <c r="U27" s="323"/>
    </row>
    <row r="28" spans="1:21" x14ac:dyDescent="0.25">
      <c r="A28" s="352">
        <v>29</v>
      </c>
      <c r="B28" s="345">
        <v>14242753.409000002</v>
      </c>
      <c r="C28" s="346">
        <v>13193.201759270998</v>
      </c>
      <c r="D28" s="347">
        <v>1722.75</v>
      </c>
      <c r="E28" s="346">
        <v>1622.9447416620301</v>
      </c>
      <c r="F28" s="348">
        <v>0.94206631354638226</v>
      </c>
      <c r="G28" s="347">
        <v>243.75</v>
      </c>
      <c r="H28" s="346">
        <v>2011547.0959999126</v>
      </c>
      <c r="I28" s="346">
        <v>1150564.0861915972</v>
      </c>
      <c r="J28" s="346">
        <v>15406510.69695087</v>
      </c>
      <c r="K28" s="349">
        <v>7.468038083531188E-2</v>
      </c>
      <c r="L28" s="353"/>
      <c r="M28" s="355"/>
      <c r="N28" s="356"/>
      <c r="O28" s="324"/>
      <c r="P28" s="325"/>
      <c r="Q28" s="325"/>
      <c r="R28" s="323"/>
      <c r="S28" s="323"/>
      <c r="T28" s="323"/>
      <c r="U28" s="323"/>
    </row>
    <row r="29" spans="1:21" x14ac:dyDescent="0.25">
      <c r="A29" s="344">
        <v>31</v>
      </c>
      <c r="B29" s="345">
        <v>1271891747.5769999</v>
      </c>
      <c r="C29" s="346">
        <v>1178165.7633089151</v>
      </c>
      <c r="D29" s="347">
        <v>163580.33333333334</v>
      </c>
      <c r="E29" s="346">
        <v>144930.54568992587</v>
      </c>
      <c r="F29" s="348">
        <v>0.88599003765688533</v>
      </c>
      <c r="G29" s="347">
        <v>11025.5</v>
      </c>
      <c r="H29" s="346">
        <v>85571912.483229265</v>
      </c>
      <c r="I29" s="346">
        <v>48945396.051486872</v>
      </c>
      <c r="J29" s="346">
        <v>1322015309.3917959</v>
      </c>
      <c r="K29" s="349">
        <v>3.702332015656052E-2</v>
      </c>
      <c r="L29" s="353"/>
      <c r="M29" s="357"/>
      <c r="N29" s="356"/>
      <c r="O29" s="358"/>
      <c r="P29" s="354"/>
      <c r="Q29" s="325"/>
      <c r="R29" s="323"/>
      <c r="S29" s="323"/>
      <c r="T29" s="323"/>
      <c r="U29" s="323"/>
    </row>
    <row r="30" spans="1:21" x14ac:dyDescent="0.25">
      <c r="A30" s="344">
        <v>35</v>
      </c>
      <c r="B30" s="345">
        <v>4429100.4000000004</v>
      </c>
      <c r="C30" s="346">
        <v>4102.7190116444344</v>
      </c>
      <c r="D30" s="347">
        <v>528.91666666666663</v>
      </c>
      <c r="E30" s="346">
        <v>504.69070116252789</v>
      </c>
      <c r="F30" s="348">
        <v>0.95419700865768631</v>
      </c>
      <c r="G30" s="347">
        <v>33.75</v>
      </c>
      <c r="H30" s="346">
        <v>282108.34560964495</v>
      </c>
      <c r="I30" s="346">
        <v>161360.24432082128</v>
      </c>
      <c r="J30" s="346">
        <v>4594563.3633324662</v>
      </c>
      <c r="K30" s="349">
        <v>3.5119821310677424E-2</v>
      </c>
      <c r="L30" s="353"/>
      <c r="M30" s="323"/>
      <c r="N30" s="322"/>
      <c r="O30" s="324"/>
      <c r="P30" s="325"/>
      <c r="Q30" s="325"/>
      <c r="R30" s="323"/>
      <c r="S30" s="323"/>
      <c r="T30" s="323"/>
      <c r="U30" s="323"/>
    </row>
    <row r="31" spans="1:21" x14ac:dyDescent="0.25">
      <c r="A31" s="344">
        <v>40</v>
      </c>
      <c r="B31" s="345">
        <v>665910607.83399987</v>
      </c>
      <c r="C31" s="346">
        <v>616839.50781884557</v>
      </c>
      <c r="D31" s="347">
        <v>87075.5</v>
      </c>
      <c r="E31" s="346">
        <v>75879.718504305405</v>
      </c>
      <c r="F31" s="348">
        <v>0.87142443631452482</v>
      </c>
      <c r="G31" s="347">
        <v>5861.083333333333</v>
      </c>
      <c r="H31" s="346">
        <v>44741623.26189591</v>
      </c>
      <c r="I31" s="346">
        <v>25591299.843498275</v>
      </c>
      <c r="J31" s="346">
        <v>692118747.18531692</v>
      </c>
      <c r="K31" s="349">
        <v>3.6975302211610411E-2</v>
      </c>
      <c r="L31" s="359"/>
      <c r="M31" s="354"/>
      <c r="N31" s="322"/>
      <c r="O31" s="324"/>
      <c r="P31" s="325"/>
      <c r="Q31" s="325"/>
      <c r="R31" s="323"/>
      <c r="S31" s="323"/>
      <c r="T31" s="326"/>
      <c r="U31" s="323"/>
    </row>
    <row r="32" spans="1:21" x14ac:dyDescent="0.25">
      <c r="A32" s="352">
        <v>43</v>
      </c>
      <c r="B32" s="345">
        <v>116295695.25500003</v>
      </c>
      <c r="C32" s="346">
        <v>107725.83974278298</v>
      </c>
      <c r="D32" s="347">
        <v>23842.5</v>
      </c>
      <c r="E32" s="346">
        <v>13251.755589110064</v>
      </c>
      <c r="F32" s="348">
        <v>0.555803946277029</v>
      </c>
      <c r="G32" s="347">
        <v>1656.0833333333333</v>
      </c>
      <c r="H32" s="346">
        <v>8063209.0317852795</v>
      </c>
      <c r="I32" s="346">
        <v>4611991.8096256526</v>
      </c>
      <c r="J32" s="346">
        <v>121015412.90436846</v>
      </c>
      <c r="K32" s="349">
        <v>3.8110780262926053E-2</v>
      </c>
      <c r="L32" s="360"/>
      <c r="M32" s="354"/>
      <c r="N32" s="322"/>
      <c r="O32" s="324"/>
      <c r="P32" s="325"/>
      <c r="Q32" s="325"/>
      <c r="R32" s="323"/>
      <c r="S32" s="323"/>
      <c r="T32" s="323"/>
      <c r="U32" s="323"/>
    </row>
    <row r="33" spans="1:21" x14ac:dyDescent="0.25">
      <c r="A33" s="352">
        <v>46</v>
      </c>
      <c r="B33" s="345">
        <v>57454342.252000004</v>
      </c>
      <c r="C33" s="346">
        <v>53220.519060440914</v>
      </c>
      <c r="D33" s="347">
        <v>6545.5</v>
      </c>
      <c r="E33" s="346">
        <v>6546.853685230014</v>
      </c>
      <c r="F33" s="348">
        <v>1.0002068115850606</v>
      </c>
      <c r="G33" s="347">
        <v>206.08333333333334</v>
      </c>
      <c r="H33" s="346">
        <v>1805663.3548863942</v>
      </c>
      <c r="I33" s="346">
        <v>1032802.7675890955</v>
      </c>
      <c r="J33" s="346">
        <v>58540365.538649537</v>
      </c>
      <c r="K33" s="349">
        <v>1.7642574624977668E-2</v>
      </c>
      <c r="L33" s="350"/>
      <c r="M33" s="351"/>
      <c r="N33" s="322"/>
      <c r="O33" s="324"/>
      <c r="P33" s="325"/>
      <c r="Q33" s="325"/>
      <c r="R33" s="323"/>
      <c r="S33" s="323"/>
      <c r="T33" s="323"/>
      <c r="U33" s="323"/>
    </row>
    <row r="34" spans="1:21" x14ac:dyDescent="0.25">
      <c r="A34" s="352">
        <v>49</v>
      </c>
      <c r="B34" s="345">
        <v>563748979.77299988</v>
      </c>
      <c r="C34" s="346">
        <v>522206.19273156236</v>
      </c>
      <c r="D34" s="347">
        <v>68869.916666666672</v>
      </c>
      <c r="E34" s="346">
        <v>64238.522992455772</v>
      </c>
      <c r="F34" s="348">
        <v>0.93275157139180165</v>
      </c>
      <c r="G34" s="347">
        <v>2156</v>
      </c>
      <c r="H34" s="346">
        <v>17616468.518185545</v>
      </c>
      <c r="I34" s="346">
        <v>10076262.217700556</v>
      </c>
      <c r="J34" s="346">
        <v>574347448.1834321</v>
      </c>
      <c r="K34" s="349">
        <v>1.754384432205652E-2</v>
      </c>
      <c r="L34" s="350"/>
      <c r="M34" s="351"/>
      <c r="N34" s="323"/>
      <c r="O34" s="323"/>
      <c r="P34" s="323"/>
      <c r="Q34" s="323"/>
      <c r="R34" s="323"/>
      <c r="S34" s="323"/>
      <c r="T34" s="323"/>
      <c r="U34" s="323"/>
    </row>
    <row r="35" spans="1:21" x14ac:dyDescent="0.25">
      <c r="A35" s="352" t="s">
        <v>468</v>
      </c>
      <c r="B35" s="345">
        <v>6798760.6290000007</v>
      </c>
      <c r="C35" s="346">
        <v>6297.7584541136102</v>
      </c>
      <c r="D35" s="347">
        <v>838.33333333333337</v>
      </c>
      <c r="E35" s="346">
        <v>774.71065430943918</v>
      </c>
      <c r="F35" s="348">
        <v>0.92410813635320777</v>
      </c>
      <c r="G35" s="347">
        <v>58.75</v>
      </c>
      <c r="H35" s="346">
        <v>475592.25237417832</v>
      </c>
      <c r="I35" s="346">
        <v>272029.10950523615</v>
      </c>
      <c r="J35" s="346">
        <v>7077087.4969593501</v>
      </c>
      <c r="K35" s="349">
        <v>3.8438002868003633E-2</v>
      </c>
      <c r="L35" s="350"/>
      <c r="M35" s="351"/>
      <c r="N35" s="323"/>
      <c r="O35" s="323"/>
      <c r="P35" s="361"/>
      <c r="Q35" s="361"/>
      <c r="R35" s="323"/>
      <c r="S35" s="323"/>
      <c r="T35" s="323"/>
      <c r="U35" s="323"/>
    </row>
    <row r="36" spans="1:21" x14ac:dyDescent="0.25">
      <c r="A36" s="344" t="s">
        <v>469</v>
      </c>
      <c r="B36" s="345">
        <v>74853955.083000004</v>
      </c>
      <c r="C36" s="346">
        <v>69337.950572491565</v>
      </c>
      <c r="D36" s="347">
        <v>6785.5833333333339</v>
      </c>
      <c r="E36" s="346">
        <v>8529.5187879750101</v>
      </c>
      <c r="F36" s="348">
        <v>1.25700597413266</v>
      </c>
      <c r="G36" s="347">
        <v>1049.6666666666665</v>
      </c>
      <c r="H36" s="346">
        <v>11558270.492627738</v>
      </c>
      <c r="I36" s="346">
        <v>6611095.9836587962</v>
      </c>
      <c r="J36" s="346">
        <v>81534389.017231286</v>
      </c>
      <c r="K36" s="349">
        <v>8.1083528844027059E-2</v>
      </c>
      <c r="L36" s="350"/>
      <c r="M36" s="351"/>
      <c r="N36" s="323"/>
      <c r="O36" s="323"/>
      <c r="P36" s="323"/>
      <c r="Q36" s="323"/>
      <c r="R36" s="323"/>
      <c r="S36" s="323"/>
      <c r="T36" s="323"/>
      <c r="U36" s="323"/>
    </row>
    <row r="37" spans="1:21" x14ac:dyDescent="0.25">
      <c r="A37" s="336" t="s">
        <v>465</v>
      </c>
      <c r="B37" s="337" t="s">
        <v>465</v>
      </c>
      <c r="C37" s="337" t="s">
        <v>465</v>
      </c>
      <c r="D37" s="337" t="s">
        <v>465</v>
      </c>
      <c r="E37" s="337" t="s">
        <v>465</v>
      </c>
      <c r="F37" s="337" t="s">
        <v>465</v>
      </c>
      <c r="G37" s="337" t="s">
        <v>465</v>
      </c>
      <c r="H37" s="337" t="s">
        <v>465</v>
      </c>
      <c r="I37" s="337" t="s">
        <v>466</v>
      </c>
      <c r="J37" s="337" t="s">
        <v>465</v>
      </c>
      <c r="K37" s="338" t="s">
        <v>465</v>
      </c>
      <c r="L37" s="339"/>
      <c r="M37" s="342"/>
      <c r="N37" s="343"/>
      <c r="O37" s="343"/>
      <c r="P37" s="343"/>
      <c r="Q37" s="323"/>
      <c r="R37" s="343"/>
      <c r="S37" s="343"/>
      <c r="T37" s="343"/>
      <c r="U37" s="343"/>
    </row>
    <row r="38" spans="1:21" x14ac:dyDescent="0.25">
      <c r="A38" s="362" t="s">
        <v>38</v>
      </c>
      <c r="B38" s="363">
        <v>20382478166.012394</v>
      </c>
      <c r="C38" s="364">
        <v>18880488.840606689</v>
      </c>
      <c r="D38" s="363">
        <v>2966667.166666667</v>
      </c>
      <c r="E38" s="363">
        <v>2322559.045406762</v>
      </c>
      <c r="F38" s="365">
        <v>0.78288493953852545</v>
      </c>
      <c r="G38" s="363">
        <v>413666.16666666663</v>
      </c>
      <c r="H38" s="363">
        <v>2808805119.6921992</v>
      </c>
      <c r="I38" s="363">
        <v>1606579484.1469998</v>
      </c>
      <c r="J38" s="363">
        <v>22007938139</v>
      </c>
      <c r="K38" s="366">
        <v>7.2999999999999995E-2</v>
      </c>
      <c r="L38" s="316"/>
      <c r="M38" s="317"/>
      <c r="N38" s="317"/>
      <c r="O38" s="317"/>
      <c r="P38" s="317"/>
      <c r="Q38" s="342"/>
      <c r="R38" s="317"/>
      <c r="S38" s="317"/>
      <c r="T38" s="317"/>
      <c r="U38" s="317"/>
    </row>
    <row r="39" spans="1:21" ht="13.8" thickBot="1" x14ac:dyDescent="0.3">
      <c r="A39" s="367"/>
      <c r="B39" s="368"/>
      <c r="C39" s="368"/>
      <c r="D39" s="368"/>
      <c r="E39" s="368"/>
      <c r="F39" s="368"/>
      <c r="G39" s="368"/>
      <c r="H39" s="369"/>
      <c r="I39" s="368"/>
      <c r="J39" s="368"/>
      <c r="K39" s="370"/>
      <c r="L39" s="316"/>
      <c r="M39" s="371">
        <v>0.57197969089541378</v>
      </c>
      <c r="N39" s="317">
        <v>0.1276269090703572</v>
      </c>
      <c r="O39" s="317">
        <v>7.2999999999999995E-2</v>
      </c>
      <c r="P39" s="317">
        <v>0.57197969089541378</v>
      </c>
      <c r="Q39" s="317"/>
      <c r="R39" s="317"/>
      <c r="S39" s="317"/>
      <c r="T39" s="317"/>
      <c r="U39" s="317"/>
    </row>
    <row r="40" spans="1:21" x14ac:dyDescent="0.25">
      <c r="A40" s="362"/>
      <c r="B40" s="323"/>
      <c r="C40" s="323"/>
      <c r="D40" s="323"/>
      <c r="E40" s="323"/>
      <c r="F40" s="323"/>
      <c r="G40" s="323"/>
      <c r="H40" s="361"/>
      <c r="I40" s="323"/>
      <c r="J40" s="323"/>
      <c r="K40" s="323"/>
      <c r="L40" s="316"/>
      <c r="M40" s="317"/>
      <c r="N40" s="317"/>
      <c r="O40" s="317"/>
      <c r="P40" s="317"/>
      <c r="Q40" s="317"/>
      <c r="R40" s="317"/>
      <c r="S40" s="317"/>
      <c r="T40" s="317"/>
      <c r="U40" s="317"/>
    </row>
    <row r="41" spans="1:21" x14ac:dyDescent="0.25">
      <c r="A41" s="362"/>
      <c r="B41" s="323"/>
      <c r="C41" s="323"/>
      <c r="D41" s="323"/>
      <c r="E41" s="323"/>
      <c r="F41" s="323"/>
      <c r="G41" s="323"/>
      <c r="H41" s="361"/>
      <c r="I41" s="323"/>
      <c r="J41" s="323"/>
      <c r="K41" s="323"/>
      <c r="L41" s="316"/>
      <c r="M41" s="317"/>
      <c r="N41" s="317"/>
      <c r="O41" s="317"/>
      <c r="P41" s="317"/>
      <c r="Q41" s="317"/>
      <c r="R41" s="317"/>
      <c r="S41" s="317"/>
      <c r="T41" s="317"/>
      <c r="U41" s="317"/>
    </row>
    <row r="42" spans="1:21" ht="13.8" thickBot="1" x14ac:dyDescent="0.3">
      <c r="A42" s="372" t="s">
        <v>470</v>
      </c>
      <c r="B42" s="323"/>
      <c r="C42" s="323"/>
      <c r="D42" s="312"/>
      <c r="E42" s="373"/>
      <c r="F42" s="373"/>
      <c r="G42" s="312"/>
      <c r="H42" s="361"/>
      <c r="I42" s="323"/>
      <c r="J42" s="323"/>
      <c r="K42" s="323"/>
      <c r="L42" s="316"/>
      <c r="M42" s="317"/>
      <c r="N42" s="317"/>
      <c r="O42" s="317"/>
      <c r="P42" s="317"/>
      <c r="Q42" s="317"/>
      <c r="R42" s="317"/>
      <c r="S42" s="317"/>
      <c r="T42" s="317"/>
      <c r="U42" s="317"/>
    </row>
    <row r="43" spans="1:21" x14ac:dyDescent="0.25">
      <c r="A43" s="374">
        <v>459</v>
      </c>
      <c r="B43" s="375">
        <v>277864630.43800002</v>
      </c>
      <c r="C43" s="376">
        <v>0</v>
      </c>
      <c r="D43" s="377">
        <v>33349.677499999998</v>
      </c>
      <c r="E43" s="375">
        <v>31633.040805783246</v>
      </c>
      <c r="F43" s="378">
        <v>0.9485261380948361</v>
      </c>
      <c r="G43" s="377">
        <v>568.11122776207412</v>
      </c>
      <c r="H43" s="376">
        <v>4720486.7361666895</v>
      </c>
      <c r="I43" s="376">
        <v>4720486.7361666895</v>
      </c>
      <c r="J43" s="376">
        <v>282585117.17416674</v>
      </c>
      <c r="K43" s="379">
        <v>1.6704654453749218E-2</v>
      </c>
      <c r="L43" s="316"/>
      <c r="M43" s="317"/>
      <c r="N43" s="317"/>
      <c r="O43" s="317"/>
      <c r="P43" s="317"/>
      <c r="Q43" s="317"/>
      <c r="R43" s="317"/>
      <c r="S43" s="317"/>
      <c r="T43" s="317"/>
      <c r="U43" s="317"/>
    </row>
    <row r="44" spans="1:21" x14ac:dyDescent="0.25">
      <c r="A44" s="352" t="s">
        <v>471</v>
      </c>
      <c r="B44" s="345">
        <v>1720611951.727</v>
      </c>
      <c r="C44" s="346">
        <v>0</v>
      </c>
      <c r="D44" s="380">
        <v>202197.85416666672</v>
      </c>
      <c r="E44" s="346">
        <v>195880.23129861112</v>
      </c>
      <c r="F44" s="381">
        <v>0.96875524275916336</v>
      </c>
      <c r="G44" s="380">
        <v>3517.8963470697345</v>
      </c>
      <c r="H44" s="346">
        <v>29853909.440234326</v>
      </c>
      <c r="I44" s="346">
        <v>29853909.440234326</v>
      </c>
      <c r="J44" s="346">
        <v>1750465861.1672344</v>
      </c>
      <c r="K44" s="349">
        <v>1.7054836716625443E-2</v>
      </c>
      <c r="L44" s="316"/>
      <c r="M44" s="317"/>
      <c r="N44" s="317"/>
      <c r="O44" s="317"/>
      <c r="P44" s="317"/>
      <c r="Q44" s="317"/>
      <c r="R44" s="317"/>
      <c r="S44" s="317"/>
      <c r="T44" s="317"/>
      <c r="U44" s="317"/>
    </row>
    <row r="45" spans="1:21" x14ac:dyDescent="0.25">
      <c r="A45" s="352" t="s">
        <v>472</v>
      </c>
      <c r="B45" s="345">
        <v>103596479.89899999</v>
      </c>
      <c r="C45" s="346">
        <v>0</v>
      </c>
      <c r="D45" s="380">
        <v>12327.4375</v>
      </c>
      <c r="E45" s="346">
        <v>11793.770480305098</v>
      </c>
      <c r="F45" s="381">
        <v>0.95670900625576871</v>
      </c>
      <c r="G45" s="380">
        <v>453.43210223566166</v>
      </c>
      <c r="H45" s="346">
        <v>3800110.565184853</v>
      </c>
      <c r="I45" s="346">
        <v>3800110.565184853</v>
      </c>
      <c r="J45" s="346">
        <v>107396590.46418484</v>
      </c>
      <c r="K45" s="349">
        <v>3.5383903239015149E-2</v>
      </c>
      <c r="L45" s="316"/>
      <c r="M45" s="317"/>
      <c r="N45" s="317"/>
      <c r="O45" s="317"/>
      <c r="P45" s="317"/>
      <c r="Q45" s="317"/>
      <c r="R45" s="317"/>
      <c r="S45" s="317"/>
      <c r="T45" s="317"/>
      <c r="U45" s="317"/>
    </row>
    <row r="46" spans="1:21" x14ac:dyDescent="0.25">
      <c r="A46" s="382" t="s">
        <v>465</v>
      </c>
      <c r="B46" s="383" t="s">
        <v>465</v>
      </c>
      <c r="C46" s="383" t="s">
        <v>465</v>
      </c>
      <c r="D46" s="383" t="s">
        <v>465</v>
      </c>
      <c r="E46" s="383" t="s">
        <v>465</v>
      </c>
      <c r="F46" s="383" t="s">
        <v>465</v>
      </c>
      <c r="G46" s="383" t="s">
        <v>465</v>
      </c>
      <c r="H46" s="383" t="s">
        <v>465</v>
      </c>
      <c r="I46" s="383" t="s">
        <v>466</v>
      </c>
      <c r="J46" s="383" t="s">
        <v>465</v>
      </c>
      <c r="K46" s="384" t="s">
        <v>465</v>
      </c>
      <c r="L46" s="339"/>
      <c r="M46" s="342"/>
      <c r="N46" s="342"/>
      <c r="O46" s="342"/>
      <c r="P46" s="342"/>
      <c r="Q46" s="317"/>
      <c r="R46" s="342"/>
      <c r="S46" s="342"/>
      <c r="T46" s="342"/>
      <c r="U46" s="342"/>
    </row>
    <row r="47" spans="1:21" x14ac:dyDescent="0.25">
      <c r="A47" s="362" t="s">
        <v>473</v>
      </c>
      <c r="B47" s="363">
        <v>2102073062.0639999</v>
      </c>
      <c r="C47" s="364">
        <v>0</v>
      </c>
      <c r="D47" s="363">
        <v>247874.96916666671</v>
      </c>
      <c r="E47" s="363">
        <v>239307.04258469946</v>
      </c>
      <c r="F47" s="365">
        <v>0.96543448251038888</v>
      </c>
      <c r="G47" s="363">
        <v>4539.4396770674703</v>
      </c>
      <c r="H47" s="363">
        <v>38374506.741585873</v>
      </c>
      <c r="I47" s="363">
        <v>38374506.741585873</v>
      </c>
      <c r="J47" s="363">
        <v>2140447568.8055859</v>
      </c>
      <c r="K47" s="366">
        <v>1.8255553260316467E-2</v>
      </c>
      <c r="L47" s="316"/>
      <c r="M47" s="317"/>
      <c r="N47" s="318"/>
      <c r="O47" s="317"/>
      <c r="P47" s="317"/>
      <c r="Q47" s="342"/>
      <c r="R47" s="317"/>
      <c r="S47" s="317"/>
      <c r="T47" s="317"/>
      <c r="U47" s="317"/>
    </row>
    <row r="48" spans="1:21" ht="13.8" thickBot="1" x14ac:dyDescent="0.3">
      <c r="A48" s="367"/>
      <c r="B48" s="368"/>
      <c r="C48" s="368"/>
      <c r="D48" s="368"/>
      <c r="E48" s="368"/>
      <c r="F48" s="368"/>
      <c r="G48" s="368"/>
      <c r="H48" s="369"/>
      <c r="I48" s="368"/>
      <c r="J48" s="368"/>
      <c r="K48" s="370"/>
      <c r="L48" s="316"/>
      <c r="M48" s="317"/>
      <c r="N48" s="318"/>
      <c r="O48" s="317"/>
      <c r="P48" s="317"/>
      <c r="Q48" s="317"/>
      <c r="R48" s="317"/>
      <c r="S48" s="317"/>
      <c r="T48" s="317"/>
      <c r="U48" s="317"/>
    </row>
    <row r="49" spans="1:21" x14ac:dyDescent="0.25">
      <c r="A49" s="323"/>
      <c r="B49" s="323"/>
      <c r="C49" s="323"/>
      <c r="D49" s="323"/>
      <c r="E49" s="323"/>
      <c r="F49" s="323"/>
      <c r="G49" s="323"/>
      <c r="H49" s="361"/>
      <c r="I49" s="323"/>
      <c r="J49" s="323"/>
      <c r="K49" s="323"/>
      <c r="L49" s="316"/>
      <c r="M49" s="317"/>
      <c r="N49" s="318"/>
      <c r="O49" s="317"/>
      <c r="P49" s="317"/>
      <c r="Q49" s="317"/>
      <c r="R49" s="317"/>
      <c r="S49" s="317"/>
      <c r="T49" s="317"/>
      <c r="U49" s="317"/>
    </row>
    <row r="50" spans="1:21" x14ac:dyDescent="0.25">
      <c r="A50" s="385" t="s">
        <v>474</v>
      </c>
      <c r="B50" s="323"/>
      <c r="C50" s="323"/>
      <c r="D50" s="323"/>
      <c r="E50" s="323"/>
      <c r="F50" s="323"/>
      <c r="G50" s="323"/>
      <c r="H50" s="361"/>
      <c r="I50" s="323"/>
      <c r="J50" s="323"/>
      <c r="K50" s="323"/>
      <c r="L50" s="316"/>
      <c r="M50" s="317"/>
      <c r="N50" s="318"/>
      <c r="O50" s="317"/>
      <c r="P50" s="317"/>
      <c r="Q50" s="317"/>
      <c r="R50" s="317"/>
      <c r="S50" s="317"/>
      <c r="T50" s="317"/>
      <c r="U50" s="317"/>
    </row>
    <row r="51" spans="1:21" x14ac:dyDescent="0.25">
      <c r="A51" s="282" t="s">
        <v>475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8"/>
      <c r="M51" s="277"/>
      <c r="N51" s="279"/>
      <c r="O51" s="277"/>
      <c r="P51" s="277"/>
      <c r="Q51" s="317"/>
      <c r="R51" s="277"/>
      <c r="S51" s="277"/>
      <c r="T51" s="277"/>
      <c r="U51" s="277"/>
    </row>
    <row r="52" spans="1:21" x14ac:dyDescent="0.25">
      <c r="A52" s="282" t="s">
        <v>476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8"/>
      <c r="M52" s="277"/>
      <c r="N52" s="279"/>
      <c r="O52" s="277"/>
      <c r="P52" s="277"/>
      <c r="Q52" s="277"/>
      <c r="R52" s="277"/>
      <c r="S52" s="277"/>
      <c r="T52" s="277"/>
      <c r="U52" s="277"/>
    </row>
    <row r="53" spans="1:21" x14ac:dyDescent="0.25">
      <c r="A53" s="277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8"/>
      <c r="M53" s="277"/>
      <c r="N53" s="279"/>
      <c r="O53" s="277"/>
      <c r="P53" s="277"/>
      <c r="Q53" s="277"/>
      <c r="R53" s="277"/>
      <c r="S53" s="277"/>
      <c r="T53" s="277"/>
      <c r="U53" s="277"/>
    </row>
    <row r="54" spans="1:21" x14ac:dyDescent="0.25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8"/>
      <c r="M54" s="277"/>
      <c r="N54" s="279"/>
      <c r="O54" s="277"/>
      <c r="P54" s="277"/>
      <c r="Q54" s="277"/>
      <c r="R54" s="277"/>
      <c r="S54" s="277"/>
      <c r="T54" s="277"/>
      <c r="U54" s="277"/>
    </row>
    <row r="55" spans="1:21" x14ac:dyDescent="0.25">
      <c r="A55" s="386" t="s">
        <v>477</v>
      </c>
      <c r="B55" s="387">
        <v>17695948932.292393</v>
      </c>
      <c r="C55" s="387">
        <v>16391930.54047838</v>
      </c>
      <c r="D55" s="387">
        <v>2615386.166666667</v>
      </c>
      <c r="E55" s="388">
        <v>2016432.2475902631</v>
      </c>
      <c r="F55" s="389">
        <v>0.77098834324730869</v>
      </c>
      <c r="G55" s="387">
        <v>392668.91666666669</v>
      </c>
      <c r="H55" s="387">
        <v>2650248542.4442325</v>
      </c>
      <c r="I55" s="387">
        <v>1515888342.1032734</v>
      </c>
      <c r="J55" s="388">
        <v>19228229204.936142</v>
      </c>
      <c r="K55" s="390">
        <v>7.8836606634277315E-2</v>
      </c>
      <c r="L55" s="278"/>
      <c r="M55" s="277"/>
      <c r="N55" s="279"/>
      <c r="O55" s="277"/>
      <c r="P55" s="277"/>
      <c r="Q55" s="277"/>
      <c r="R55" s="277"/>
      <c r="S55" s="277"/>
      <c r="T55" s="277"/>
      <c r="U55" s="277"/>
    </row>
    <row r="56" spans="1:21" x14ac:dyDescent="0.25">
      <c r="A56" s="386" t="s">
        <v>478</v>
      </c>
      <c r="B56" s="387">
        <v>2065325911.6949999</v>
      </c>
      <c r="C56" s="387">
        <v>1913131.5883363015</v>
      </c>
      <c r="D56" s="387">
        <v>275865.58333333331</v>
      </c>
      <c r="E56" s="388">
        <v>235341.42113881331</v>
      </c>
      <c r="F56" s="389">
        <v>0.85310178346693599</v>
      </c>
      <c r="G56" s="387">
        <v>18635.166666666664</v>
      </c>
      <c r="H56" s="387">
        <v>139134445.37489426</v>
      </c>
      <c r="I56" s="387">
        <v>79582077.058436871</v>
      </c>
      <c r="J56" s="388">
        <v>2146821120.341773</v>
      </c>
      <c r="K56" s="390">
        <v>3.7069728960821585E-2</v>
      </c>
      <c r="L56" s="278"/>
      <c r="M56" s="277"/>
      <c r="N56" s="279"/>
      <c r="O56" s="277"/>
      <c r="P56" s="277"/>
      <c r="Q56" s="277"/>
      <c r="R56" s="277"/>
      <c r="S56" s="277"/>
      <c r="T56" s="277"/>
      <c r="U56" s="277"/>
    </row>
    <row r="57" spans="1:21" x14ac:dyDescent="0.25">
      <c r="A57" s="391" t="s">
        <v>479</v>
      </c>
      <c r="B57" s="392">
        <v>621203322.02499986</v>
      </c>
      <c r="C57" s="392">
        <v>575426.71179200325</v>
      </c>
      <c r="D57" s="392">
        <v>75415.416666666672</v>
      </c>
      <c r="E57" s="393">
        <v>70785.376677685781</v>
      </c>
      <c r="F57" s="394">
        <v>0.93860618698898801</v>
      </c>
      <c r="G57" s="392">
        <v>2362.0833333333335</v>
      </c>
      <c r="H57" s="392">
        <v>19422131.873071939</v>
      </c>
      <c r="I57" s="392">
        <v>11109064.985289652</v>
      </c>
      <c r="J57" s="393">
        <v>632887813.72208154</v>
      </c>
      <c r="K57" s="395">
        <v>1.7552976600949292E-2</v>
      </c>
      <c r="L57" s="278"/>
      <c r="M57" s="277"/>
      <c r="N57" s="279"/>
      <c r="O57" s="277"/>
      <c r="P57" s="277"/>
      <c r="Q57" s="277"/>
      <c r="R57" s="277"/>
      <c r="S57" s="277"/>
      <c r="T57" s="277"/>
      <c r="U57" s="277"/>
    </row>
    <row r="58" spans="1:21" x14ac:dyDescent="0.25">
      <c r="A58" s="386" t="s">
        <v>38</v>
      </c>
      <c r="B58" s="387">
        <v>20382478166.012394</v>
      </c>
      <c r="C58" s="387">
        <v>18880488.840606686</v>
      </c>
      <c r="D58" s="387">
        <v>2966667.166666667</v>
      </c>
      <c r="E58" s="387">
        <v>2322559.0454067625</v>
      </c>
      <c r="F58" s="387"/>
      <c r="G58" s="387">
        <v>413666.16666666669</v>
      </c>
      <c r="H58" s="387">
        <v>2808805119.6921988</v>
      </c>
      <c r="I58" s="387">
        <v>1606579484.1469998</v>
      </c>
      <c r="J58" s="387">
        <v>22007938138.999996</v>
      </c>
      <c r="K58" s="386"/>
      <c r="L58" s="278"/>
      <c r="M58" s="277"/>
      <c r="N58" s="279"/>
      <c r="O58" s="277"/>
      <c r="P58" s="277"/>
      <c r="Q58" s="277"/>
      <c r="R58" s="277"/>
      <c r="S58" s="277"/>
      <c r="T58" s="277"/>
      <c r="U58" s="277"/>
    </row>
  </sheetData>
  <mergeCells count="2">
    <mergeCell ref="H13:I13"/>
    <mergeCell ref="M22:O22"/>
  </mergeCells>
  <printOptions horizontalCentered="1"/>
  <pageMargins left="0.25" right="0.25" top="0.8" bottom="1" header="0.5" footer="0.5"/>
  <pageSetup scale="59" fitToHeight="2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zoomScaleNormal="100" workbookViewId="0">
      <pane xSplit="7" ySplit="4" topLeftCell="H5" activePane="bottomRight" state="frozen"/>
      <selection activeCell="D9" sqref="D9"/>
      <selection pane="topRight" activeCell="D9" sqref="D9"/>
      <selection pane="bottomLeft" activeCell="D9" sqref="D9"/>
      <selection pane="bottomRight" activeCell="C29" sqref="C29"/>
    </sheetView>
  </sheetViews>
  <sheetFormatPr defaultColWidth="5.88671875" defaultRowHeight="13.2" x14ac:dyDescent="0.25"/>
  <cols>
    <col min="1" max="1" width="5.5546875" style="27" bestFit="1" customWidth="1"/>
    <col min="2" max="2" width="33.88671875" style="27" bestFit="1" customWidth="1"/>
    <col min="3" max="3" width="18.44140625" style="27" bestFit="1" customWidth="1"/>
    <col min="4" max="4" width="9.88671875" style="27" bestFit="1" customWidth="1"/>
    <col min="5" max="5" width="16.77734375" style="27" bestFit="1" customWidth="1"/>
    <col min="6" max="6" width="9.88671875" style="27" bestFit="1" customWidth="1"/>
    <col min="7" max="7" width="17.77734375" style="27" bestFit="1" customWidth="1"/>
    <col min="8" max="16384" width="5.88671875" style="27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26.25" customHeight="1" thickBot="1" x14ac:dyDescent="0.3">
      <c r="A2" s="47"/>
      <c r="B2" s="28"/>
      <c r="C2" s="662" t="s">
        <v>402</v>
      </c>
      <c r="D2" s="662"/>
      <c r="E2" s="662"/>
      <c r="F2" s="662"/>
      <c r="G2" s="662"/>
    </row>
    <row r="3" spans="1:7" s="1" customFormat="1" ht="12.75" customHeight="1" x14ac:dyDescent="0.25">
      <c r="A3" s="12" t="s">
        <v>53</v>
      </c>
      <c r="B3" s="2"/>
      <c r="C3" s="127"/>
      <c r="D3" s="660" t="s">
        <v>284</v>
      </c>
      <c r="E3" s="661"/>
      <c r="F3" s="660" t="s">
        <v>121</v>
      </c>
      <c r="G3" s="661"/>
    </row>
    <row r="4" spans="1:7" x14ac:dyDescent="0.25">
      <c r="A4" s="12" t="s">
        <v>122</v>
      </c>
      <c r="B4" s="28" t="s">
        <v>123</v>
      </c>
      <c r="C4" s="128" t="s">
        <v>38</v>
      </c>
      <c r="D4" s="129" t="s">
        <v>124</v>
      </c>
      <c r="E4" s="188" t="s">
        <v>286</v>
      </c>
      <c r="F4" s="129" t="s">
        <v>124</v>
      </c>
      <c r="G4" s="129" t="s">
        <v>125</v>
      </c>
    </row>
    <row r="5" spans="1:7" s="32" customFormat="1" x14ac:dyDescent="0.25">
      <c r="A5" s="13">
        <v>1</v>
      </c>
      <c r="B5" s="67" t="s">
        <v>285</v>
      </c>
      <c r="C5" s="130" t="s">
        <v>219</v>
      </c>
      <c r="D5" s="130" t="s">
        <v>220</v>
      </c>
      <c r="E5" s="189" t="s">
        <v>221</v>
      </c>
      <c r="F5" s="130" t="s">
        <v>287</v>
      </c>
      <c r="G5" s="130" t="s">
        <v>288</v>
      </c>
    </row>
    <row r="6" spans="1:7" x14ac:dyDescent="0.25">
      <c r="A6" s="13">
        <v>2</v>
      </c>
      <c r="B6" s="48" t="s">
        <v>126</v>
      </c>
      <c r="C6" s="131">
        <v>3527148862.6370139</v>
      </c>
      <c r="D6" s="132">
        <v>0.20551033090309248</v>
      </c>
      <c r="E6" s="131">
        <v>724865529.90499902</v>
      </c>
      <c r="F6" s="132">
        <v>0.4247994521842251</v>
      </c>
      <c r="G6" s="131">
        <v>1498330904.6204162</v>
      </c>
    </row>
    <row r="7" spans="1:7" x14ac:dyDescent="0.25">
      <c r="A7" s="13">
        <v>3</v>
      </c>
      <c r="B7" s="52" t="s">
        <v>127</v>
      </c>
      <c r="C7" s="131">
        <v>-1343449038.3772523</v>
      </c>
      <c r="D7" s="132">
        <v>0.19687057625311788</v>
      </c>
      <c r="E7" s="131">
        <v>-264485586.35202676</v>
      </c>
      <c r="F7" s="132">
        <v>0.44097805479111696</v>
      </c>
      <c r="G7" s="131">
        <v>-592431543.6545974</v>
      </c>
    </row>
    <row r="8" spans="1:7" x14ac:dyDescent="0.25">
      <c r="A8" s="13">
        <v>4</v>
      </c>
      <c r="B8" s="48" t="s">
        <v>128</v>
      </c>
      <c r="C8" s="205">
        <v>-226851541.13088083</v>
      </c>
      <c r="D8" s="132">
        <v>0.21082565398338732</v>
      </c>
      <c r="E8" s="205">
        <v>-47826124.516057238</v>
      </c>
      <c r="F8" s="132">
        <v>0.41484610242751824</v>
      </c>
      <c r="G8" s="131">
        <v>-94108477.66782175</v>
      </c>
    </row>
    <row r="9" spans="1:7" x14ac:dyDescent="0.25">
      <c r="A9" s="13">
        <v>5</v>
      </c>
      <c r="B9" s="48"/>
      <c r="C9" s="131"/>
      <c r="D9" s="132"/>
      <c r="E9" s="131"/>
      <c r="F9" s="132"/>
      <c r="G9" s="131"/>
    </row>
    <row r="10" spans="1:7" x14ac:dyDescent="0.25">
      <c r="A10" s="13">
        <v>6</v>
      </c>
      <c r="B10" s="54" t="s">
        <v>129</v>
      </c>
      <c r="C10" s="131">
        <f ca="1">'[4]Sch 40 Feeder '!C12</f>
        <v>1956848283.1288807</v>
      </c>
      <c r="D10" s="132"/>
      <c r="E10" s="131">
        <f ca="1">'[4]Sch 40 Feeder '!E12</f>
        <v>412553819.036915</v>
      </c>
      <c r="F10" s="132"/>
      <c r="G10" s="131">
        <f ca="1">'[4]Sch 40 Feeder '!G12</f>
        <v>811790883.297997</v>
      </c>
    </row>
    <row r="11" spans="1:7" x14ac:dyDescent="0.25">
      <c r="A11" s="13">
        <v>7</v>
      </c>
      <c r="B11" s="47"/>
      <c r="C11" s="133"/>
      <c r="D11" s="134"/>
      <c r="E11" s="134"/>
      <c r="F11" s="134"/>
      <c r="G11" s="134"/>
    </row>
    <row r="12" spans="1:7" x14ac:dyDescent="0.25">
      <c r="A12" s="13">
        <v>8</v>
      </c>
      <c r="B12" s="47" t="s">
        <v>130</v>
      </c>
      <c r="C12" s="135">
        <f ca="1">'[4]Sch 40 Feeder '!C14</f>
        <v>7.6000000000000012E-2</v>
      </c>
      <c r="D12" s="135"/>
      <c r="E12" s="135">
        <f ca="1">'[4]Sch 40 Feeder '!E14</f>
        <v>7.6000000000000012E-2</v>
      </c>
      <c r="F12" s="135"/>
      <c r="G12" s="135">
        <f ca="1">'[4]Sch 40 Feeder '!G14</f>
        <v>7.6000000000000012E-2</v>
      </c>
    </row>
    <row r="13" spans="1:7" x14ac:dyDescent="0.25">
      <c r="A13" s="13">
        <v>9</v>
      </c>
      <c r="B13" s="58" t="s">
        <v>131</v>
      </c>
      <c r="C13" s="136">
        <f ca="1">'[4]Sch 40 Feeder '!C15</f>
        <v>148720469.51779497</v>
      </c>
      <c r="D13" s="146"/>
      <c r="E13" s="136">
        <f ca="1">'[4]Sch 40 Feeder '!E15</f>
        <v>31354090.246805545</v>
      </c>
      <c r="F13" s="146"/>
      <c r="G13" s="136">
        <f ca="1">'[4]Sch 40 Feeder '!G15</f>
        <v>61696107.130647779</v>
      </c>
    </row>
    <row r="14" spans="1:7" x14ac:dyDescent="0.25">
      <c r="A14" s="13">
        <v>10</v>
      </c>
      <c r="B14" s="47"/>
      <c r="C14" s="137"/>
      <c r="D14" s="137"/>
      <c r="E14" s="137"/>
      <c r="F14" s="137"/>
      <c r="G14" s="137"/>
    </row>
    <row r="15" spans="1:7" x14ac:dyDescent="0.25">
      <c r="A15" s="13">
        <v>11</v>
      </c>
      <c r="B15" s="47" t="s">
        <v>132</v>
      </c>
      <c r="C15" s="137"/>
      <c r="D15" s="137"/>
      <c r="E15" s="138"/>
      <c r="F15" s="137"/>
      <c r="G15" s="138"/>
    </row>
    <row r="16" spans="1:7" x14ac:dyDescent="0.25">
      <c r="A16" s="13">
        <v>12</v>
      </c>
      <c r="B16" s="52" t="s">
        <v>133</v>
      </c>
      <c r="C16" s="138">
        <f ca="1">'[4]Sch 40 Feeder '!C18</f>
        <v>393645161.76380515</v>
      </c>
      <c r="D16" s="137"/>
      <c r="E16" s="138"/>
      <c r="F16" s="137"/>
      <c r="G16" s="138"/>
    </row>
    <row r="17" spans="1:7" x14ac:dyDescent="0.25">
      <c r="A17" s="13">
        <v>13</v>
      </c>
      <c r="B17" s="54" t="s">
        <v>134</v>
      </c>
      <c r="C17" s="138">
        <f ca="1">'[4]Sch 40 Feeder '!C19</f>
        <v>0</v>
      </c>
      <c r="D17" s="137"/>
      <c r="E17" s="138"/>
      <c r="F17" s="137"/>
      <c r="G17" s="138"/>
    </row>
    <row r="18" spans="1:7" x14ac:dyDescent="0.25">
      <c r="A18" s="13">
        <v>14</v>
      </c>
      <c r="B18" s="61" t="s">
        <v>135</v>
      </c>
      <c r="C18" s="138">
        <f ca="1">'[4]Sch 40 Feeder '!C20</f>
        <v>-116557093.08126342</v>
      </c>
      <c r="D18" s="137"/>
      <c r="E18" s="138"/>
      <c r="F18" s="137"/>
      <c r="G18" s="138"/>
    </row>
    <row r="19" spans="1:7" x14ac:dyDescent="0.25">
      <c r="A19" s="13">
        <v>15</v>
      </c>
      <c r="B19" s="61" t="s">
        <v>136</v>
      </c>
      <c r="C19" s="138">
        <f ca="1">'[4]Sch 40 Feeder '!C21</f>
        <v>0</v>
      </c>
      <c r="D19" s="137"/>
      <c r="E19" s="138"/>
      <c r="F19" s="137"/>
      <c r="G19" s="138"/>
    </row>
    <row r="20" spans="1:7" x14ac:dyDescent="0.25">
      <c r="A20" s="13">
        <v>16</v>
      </c>
      <c r="B20" s="61" t="s">
        <v>137</v>
      </c>
      <c r="C20" s="138">
        <f ca="1">'[4]Sch 40 Feeder '!C22</f>
        <v>-22600350.728429999</v>
      </c>
      <c r="D20" s="137"/>
      <c r="E20" s="138"/>
      <c r="F20" s="137"/>
      <c r="G20" s="138"/>
    </row>
    <row r="21" spans="1:7" x14ac:dyDescent="0.25">
      <c r="A21" s="13">
        <v>17</v>
      </c>
      <c r="B21" s="63" t="s">
        <v>138</v>
      </c>
      <c r="C21" s="138">
        <f ca="1">'[4]Sch 40 Feeder '!C23</f>
        <v>254487717.95411173</v>
      </c>
      <c r="D21" s="137"/>
      <c r="E21" s="138"/>
      <c r="F21" s="137"/>
      <c r="G21" s="138"/>
    </row>
    <row r="22" spans="1:7" x14ac:dyDescent="0.25">
      <c r="A22" s="13">
        <v>18</v>
      </c>
      <c r="B22" s="52"/>
      <c r="C22" s="138"/>
      <c r="D22" s="137"/>
      <c r="E22" s="138"/>
      <c r="F22" s="137"/>
      <c r="G22" s="138"/>
    </row>
    <row r="23" spans="1:7" x14ac:dyDescent="0.25">
      <c r="A23" s="13">
        <v>19</v>
      </c>
      <c r="B23" s="64" t="s">
        <v>139</v>
      </c>
      <c r="C23" s="138">
        <f ca="1">'[4]Sch 40 Feeder '!C25</f>
        <v>83453080.807317227</v>
      </c>
      <c r="D23" s="132">
        <f ca="1">'[4]Sch 40 Feeder '!D25</f>
        <v>0.52706783101194155</v>
      </c>
      <c r="E23" s="138">
        <f ca="1">'[4]Sch 40 Feeder '!E25</f>
        <v>43985434.29237698</v>
      </c>
      <c r="F23" s="132">
        <f ca="1">'[4]Sch 40 Feeder '!F25</f>
        <v>0.22487600718395054</v>
      </c>
      <c r="G23" s="138">
        <f ca="1">'[4]Sch 40 Feeder '!G25</f>
        <v>18766595.599149074</v>
      </c>
    </row>
    <row r="24" spans="1:7" x14ac:dyDescent="0.25">
      <c r="A24" s="13">
        <v>20</v>
      </c>
      <c r="B24" s="64" t="s">
        <v>140</v>
      </c>
      <c r="C24" s="138">
        <f ca="1">'[4]Sch 40 Feeder '!C26</f>
        <v>87581556.339477271</v>
      </c>
      <c r="D24" s="139">
        <f ca="1">'[4]Sch 40 Feeder '!D26</f>
        <v>0.52706783101194155</v>
      </c>
      <c r="E24" s="131">
        <f ca="1">'[4]Sch 40 Feeder '!E26</f>
        <v>46161420.936498441</v>
      </c>
      <c r="F24" s="139">
        <f ca="1">'[4]Sch 40 Feeder '!F26</f>
        <v>0.22487600718395054</v>
      </c>
      <c r="G24" s="131">
        <f ca="1">'[4]Sch 40 Feeder '!G26</f>
        <v>19694990.692577861</v>
      </c>
    </row>
    <row r="25" spans="1:7" x14ac:dyDescent="0.25">
      <c r="A25" s="13">
        <v>21</v>
      </c>
      <c r="B25" s="65" t="s">
        <v>133</v>
      </c>
      <c r="C25" s="136">
        <f ca="1">'[4]Sch 40 Feeder '!C27</f>
        <v>171034637.1467945</v>
      </c>
      <c r="D25" s="140"/>
      <c r="E25" s="136">
        <f ca="1">'[4]Sch 40 Feeder '!E27</f>
        <v>90146855.228875428</v>
      </c>
      <c r="F25" s="140"/>
      <c r="G25" s="136">
        <f ca="1">'[4]Sch 40 Feeder '!G27</f>
        <v>38461586.291726932</v>
      </c>
    </row>
    <row r="26" spans="1:7" x14ac:dyDescent="0.25">
      <c r="A26" s="13">
        <v>22</v>
      </c>
      <c r="B26" s="47"/>
      <c r="C26" s="138"/>
      <c r="D26" s="137"/>
      <c r="E26" s="138"/>
      <c r="F26" s="137"/>
      <c r="G26" s="138"/>
    </row>
    <row r="27" spans="1:7" x14ac:dyDescent="0.25">
      <c r="A27" s="13">
        <v>23</v>
      </c>
      <c r="B27" s="47" t="s">
        <v>141</v>
      </c>
      <c r="C27" s="136">
        <f ca="1">'[4]Sch 40 Feeder '!C29</f>
        <v>319755106.66458946</v>
      </c>
      <c r="D27" s="140"/>
      <c r="E27" s="136">
        <f ca="1">'[4]Sch 40 Feeder '!E29</f>
        <v>121500945.47568098</v>
      </c>
      <c r="F27" s="140"/>
      <c r="G27" s="136">
        <f ca="1">'[4]Sch 40 Feeder '!G29</f>
        <v>100157693.42237471</v>
      </c>
    </row>
    <row r="28" spans="1:7" x14ac:dyDescent="0.25">
      <c r="A28" s="13">
        <v>24</v>
      </c>
      <c r="B28" s="47"/>
      <c r="C28" s="137"/>
      <c r="D28" s="137"/>
      <c r="E28" s="137"/>
      <c r="F28" s="137"/>
      <c r="G28" s="137"/>
    </row>
    <row r="29" spans="1:7" ht="13.8" thickBot="1" x14ac:dyDescent="0.3">
      <c r="A29" s="13">
        <v>25</v>
      </c>
      <c r="B29" s="67" t="s">
        <v>142</v>
      </c>
      <c r="C29" s="141">
        <f ca="1">'[4]Sch 40 Feeder '!C31</f>
        <v>8.7403115827314207E-2</v>
      </c>
      <c r="D29" s="142"/>
      <c r="E29" s="141">
        <f ca="1">'[4]Sch 40 Feeder '!E31</f>
        <v>0.2185</v>
      </c>
      <c r="F29" s="142"/>
      <c r="G29" s="141">
        <f ca="1">'[4]Sch 40 Feeder '!G31</f>
        <v>4.7399999999999998E-2</v>
      </c>
    </row>
    <row r="30" spans="1:7" ht="13.8" thickTop="1" x14ac:dyDescent="0.25"/>
  </sheetData>
  <mergeCells count="3">
    <mergeCell ref="D3:E3"/>
    <mergeCell ref="C2:G2"/>
    <mergeCell ref="F3:G3"/>
  </mergeCells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7" activePane="bottomRight" state="frozen"/>
      <selection activeCell="D9" sqref="D9"/>
      <selection pane="topRight" activeCell="D9" sqref="D9"/>
      <selection pane="bottomLeft" activeCell="D9" sqref="D9"/>
      <selection pane="bottomRight" activeCell="G4" sqref="G4"/>
    </sheetView>
  </sheetViews>
  <sheetFormatPr defaultColWidth="9.109375" defaultRowHeight="13.2" x14ac:dyDescent="0.25"/>
  <cols>
    <col min="1" max="1" width="6" style="27" customWidth="1"/>
    <col min="2" max="2" width="33.33203125" style="27" customWidth="1"/>
    <col min="3" max="3" width="18.44140625" style="27" bestFit="1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52.8" x14ac:dyDescent="0.25">
      <c r="A4" s="40" t="s">
        <v>53</v>
      </c>
      <c r="B4" s="41" t="s">
        <v>123</v>
      </c>
      <c r="C4" s="20" t="s">
        <v>403</v>
      </c>
    </row>
    <row r="5" spans="1:3" s="30" customFormat="1" x14ac:dyDescent="0.25">
      <c r="A5" s="190"/>
      <c r="B5" s="191" t="s">
        <v>215</v>
      </c>
      <c r="C5" s="192" t="s">
        <v>216</v>
      </c>
    </row>
    <row r="6" spans="1:3" s="32" customFormat="1" x14ac:dyDescent="0.25">
      <c r="A6" s="31">
        <f>ROW(A1)</f>
        <v>1</v>
      </c>
      <c r="B6" s="32" t="s">
        <v>143</v>
      </c>
      <c r="C6" s="143">
        <f ca="1">'[4]Sch 40 Substation O&amp;M'!C8</f>
        <v>103875176.45128563</v>
      </c>
    </row>
    <row r="7" spans="1:3" s="32" customFormat="1" x14ac:dyDescent="0.25">
      <c r="A7" s="31">
        <f>ROW(A2)</f>
        <v>2</v>
      </c>
      <c r="B7" s="42" t="s">
        <v>144</v>
      </c>
      <c r="C7" s="143">
        <f ca="1">'[4]Sch 40 Substation O&amp;M'!C9</f>
        <v>12120662.048645999</v>
      </c>
    </row>
    <row r="8" spans="1:3" s="32" customFormat="1" x14ac:dyDescent="0.25">
      <c r="A8" s="31">
        <f>ROW(A3)</f>
        <v>3</v>
      </c>
      <c r="B8" s="33" t="s">
        <v>145</v>
      </c>
      <c r="C8" s="146">
        <f ca="1">'[4]Sch 40 Substation O&amp;M'!C10</f>
        <v>115995838.49993163</v>
      </c>
    </row>
    <row r="9" spans="1:3" x14ac:dyDescent="0.25">
      <c r="A9" s="31">
        <f t="shared" ref="A9:A22" si="0">ROW(A6)</f>
        <v>6</v>
      </c>
      <c r="C9" s="143">
        <f ca="1">'[4]Sch 40 Substation O&amp;M'!C11</f>
        <v>0</v>
      </c>
    </row>
    <row r="10" spans="1:3" x14ac:dyDescent="0.25">
      <c r="A10" s="31">
        <f t="shared" si="0"/>
        <v>7</v>
      </c>
      <c r="B10" s="32" t="s">
        <v>146</v>
      </c>
      <c r="C10" s="143">
        <f ca="1">'[4]Sch 40 Substation O&amp;M'!C12</f>
        <v>9609442662.6340485</v>
      </c>
    </row>
    <row r="11" spans="1:3" x14ac:dyDescent="0.25">
      <c r="A11" s="31">
        <f t="shared" si="0"/>
        <v>8</v>
      </c>
      <c r="B11" s="32" t="s">
        <v>147</v>
      </c>
      <c r="C11" s="204">
        <f ca="1">'[4]Sch 40 Substation O&amp;M'!C13</f>
        <v>249690577</v>
      </c>
    </row>
    <row r="12" spans="1:3" x14ac:dyDescent="0.25">
      <c r="A12" s="31">
        <f t="shared" si="0"/>
        <v>9</v>
      </c>
      <c r="B12" s="32" t="s">
        <v>289</v>
      </c>
      <c r="C12" s="143">
        <f ca="1">'[4]Sch 40 Substation O&amp;M'!C14</f>
        <v>-3731494011.0243964</v>
      </c>
    </row>
    <row r="13" spans="1:3" x14ac:dyDescent="0.25">
      <c r="A13" s="31">
        <f t="shared" si="0"/>
        <v>10</v>
      </c>
      <c r="B13" s="37" t="s">
        <v>148</v>
      </c>
      <c r="C13" s="146">
        <f ca="1">'[4]Sch 40 Substation O&amp;M'!C15</f>
        <v>6127639228.6096516</v>
      </c>
    </row>
    <row r="14" spans="1:3" x14ac:dyDescent="0.25">
      <c r="A14" s="31">
        <f t="shared" si="0"/>
        <v>11</v>
      </c>
      <c r="C14" s="193">
        <f ca="1">'[4]Sch 40 Substation O&amp;M'!C16</f>
        <v>0</v>
      </c>
    </row>
    <row r="15" spans="1:3" x14ac:dyDescent="0.25">
      <c r="A15" s="31">
        <f t="shared" si="0"/>
        <v>12</v>
      </c>
      <c r="B15" s="43" t="s">
        <v>149</v>
      </c>
      <c r="C15" s="194">
        <f ca="1">'[4]Sch 40 Substation O&amp;M'!C17</f>
        <v>1.8929939275529255E-2</v>
      </c>
    </row>
    <row r="16" spans="1:3" x14ac:dyDescent="0.25">
      <c r="A16" s="31">
        <f t="shared" si="0"/>
        <v>13</v>
      </c>
      <c r="C16" s="193">
        <f ca="1">'[4]Sch 40 Substation O&amp;M'!C18</f>
        <v>0</v>
      </c>
    </row>
    <row r="17" spans="1:3" x14ac:dyDescent="0.25">
      <c r="A17" s="31">
        <f t="shared" si="0"/>
        <v>14</v>
      </c>
      <c r="B17" s="44" t="s">
        <v>150</v>
      </c>
      <c r="C17" s="145">
        <f ca="1">'[4]Sch 40 Substation O&amp;M'!C19</f>
        <v>22068236.151700709</v>
      </c>
    </row>
    <row r="18" spans="1:3" x14ac:dyDescent="0.25">
      <c r="A18" s="31">
        <f t="shared" si="0"/>
        <v>15</v>
      </c>
      <c r="B18" s="44" t="s">
        <v>151</v>
      </c>
      <c r="C18" s="145">
        <f ca="1">'[4]Sch 40 Substation O&amp;M'!C20</f>
        <v>61384844.655616507</v>
      </c>
    </row>
    <row r="19" spans="1:3" x14ac:dyDescent="0.25">
      <c r="A19" s="31">
        <f t="shared" si="0"/>
        <v>16</v>
      </c>
      <c r="B19" s="37" t="s">
        <v>152</v>
      </c>
      <c r="C19" s="146">
        <f ca="1">'[4]Sch 40 Substation O&amp;M'!C21</f>
        <v>83453080.807317212</v>
      </c>
    </row>
    <row r="20" spans="1:3" x14ac:dyDescent="0.25">
      <c r="A20" s="31">
        <f t="shared" si="0"/>
        <v>17</v>
      </c>
      <c r="C20" s="145">
        <f ca="1">'[4]Sch 40 Substation O&amp;M'!C22</f>
        <v>0</v>
      </c>
    </row>
    <row r="21" spans="1:3" x14ac:dyDescent="0.25">
      <c r="A21" s="31">
        <f t="shared" si="0"/>
        <v>18</v>
      </c>
      <c r="B21" s="27" t="s">
        <v>153</v>
      </c>
      <c r="C21" s="145">
        <f ca="1">'[4]Sch 40 Substation O&amp;M'!C23</f>
        <v>3527148862.6370139</v>
      </c>
    </row>
    <row r="22" spans="1:3" x14ac:dyDescent="0.25">
      <c r="A22" s="31">
        <f t="shared" si="0"/>
        <v>19</v>
      </c>
      <c r="B22" s="44" t="s">
        <v>290</v>
      </c>
      <c r="C22" s="145">
        <f ca="1">'[4]Sch 40 Substation O&amp;M'!C24</f>
        <v>-1343449038.3772523</v>
      </c>
    </row>
    <row r="23" spans="1:3" x14ac:dyDescent="0.25">
      <c r="A23" s="31">
        <f>ROW(A18)</f>
        <v>18</v>
      </c>
      <c r="B23" s="45" t="s">
        <v>291</v>
      </c>
      <c r="C23" s="146">
        <f ca="1">'[4]Sch 40 Substation O&amp;M'!C25</f>
        <v>2183699824.2597618</v>
      </c>
    </row>
    <row r="24" spans="1:3" x14ac:dyDescent="0.25">
      <c r="A24" s="31">
        <f>ROW(A19)</f>
        <v>19</v>
      </c>
      <c r="C24" s="139">
        <f ca="1">'[4]Sch 40 Substation O&amp;M'!C26</f>
        <v>0</v>
      </c>
    </row>
    <row r="25" spans="1:3" x14ac:dyDescent="0.25">
      <c r="A25" s="31">
        <f>ROW(A20)</f>
        <v>20</v>
      </c>
      <c r="B25" s="39" t="s">
        <v>154</v>
      </c>
      <c r="C25" s="194">
        <f ca="1">'[4]Sch 40 Substation O&amp;M'!C27</f>
        <v>3.8216370162325965E-2</v>
      </c>
    </row>
    <row r="26" spans="1:3" x14ac:dyDescent="0.25">
      <c r="A26" s="31">
        <f t="shared" ref="A26:A31" si="1">ROW(A23)</f>
        <v>23</v>
      </c>
      <c r="C26" s="193">
        <f ca="1">'[4]Sch 40 Substation O&amp;M'!C28</f>
        <v>0</v>
      </c>
    </row>
    <row r="27" spans="1:3" x14ac:dyDescent="0.25">
      <c r="A27" s="31">
        <f t="shared" si="1"/>
        <v>24</v>
      </c>
      <c r="B27" s="46" t="s">
        <v>155</v>
      </c>
      <c r="C27" s="194">
        <f ca="1">'[4]Sch 40 Substation O&amp;M'!C29</f>
        <v>5.7146309437855217E-2</v>
      </c>
    </row>
    <row r="28" spans="1:3" x14ac:dyDescent="0.25">
      <c r="A28" s="31">
        <f t="shared" si="1"/>
        <v>25</v>
      </c>
      <c r="C28" s="193">
        <f ca="1">'[4]Sch 40 Substation O&amp;M'!C30</f>
        <v>0</v>
      </c>
    </row>
    <row r="29" spans="1:3" x14ac:dyDescent="0.25">
      <c r="A29" s="31">
        <f t="shared" si="1"/>
        <v>26</v>
      </c>
      <c r="B29" s="27" t="s">
        <v>156</v>
      </c>
      <c r="C29" s="195">
        <f ca="1">'[4]Sch 40 Substation O&amp;M'!C31</f>
        <v>0.75238499999999997</v>
      </c>
    </row>
    <row r="30" spans="1:3" x14ac:dyDescent="0.25">
      <c r="A30" s="31">
        <f t="shared" si="1"/>
        <v>27</v>
      </c>
      <c r="C30" s="193"/>
    </row>
    <row r="31" spans="1:3" ht="13.8" thickBot="1" x14ac:dyDescent="0.3">
      <c r="A31" s="31">
        <f t="shared" si="1"/>
        <v>28</v>
      </c>
      <c r="B31" s="27" t="s">
        <v>157</v>
      </c>
      <c r="C31" s="584">
        <f ca="1">'[4]Sch 40 Substation O&amp;M'!C33</f>
        <v>7.5999999999999998E-2</v>
      </c>
    </row>
    <row r="32" spans="1:3" ht="13.8" thickTop="1" x14ac:dyDescent="0.25"/>
  </sheetData>
  <phoneticPr fontId="0" type="noConversion"/>
  <printOptions horizontalCentered="1"/>
  <pageMargins left="0.25" right="0.25" top="1.5" bottom="1" header="0.5" footer="0.5"/>
  <pageSetup scale="95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activeCell="D9" sqref="D9"/>
      <selection pane="topRight" activeCell="D9" sqref="D9"/>
      <selection pane="bottomLeft" activeCell="D9" sqref="D9"/>
      <selection pane="bottomRight" activeCell="C10" sqref="C10"/>
    </sheetView>
  </sheetViews>
  <sheetFormatPr defaultColWidth="9.109375" defaultRowHeight="13.2" x14ac:dyDescent="0.25"/>
  <cols>
    <col min="1" max="1" width="5.5546875" style="27" bestFit="1" customWidth="1"/>
    <col min="2" max="2" width="33.88671875" style="27" bestFit="1" customWidth="1"/>
    <col min="3" max="3" width="16.33203125" style="27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79.2" x14ac:dyDescent="0.25">
      <c r="A4" s="12" t="s">
        <v>53</v>
      </c>
      <c r="B4" s="29" t="s">
        <v>123</v>
      </c>
      <c r="C4" s="274" t="s">
        <v>404</v>
      </c>
    </row>
    <row r="5" spans="1:3" s="32" customFormat="1" x14ac:dyDescent="0.25">
      <c r="A5" s="31">
        <f t="shared" ref="A5:A21" si="0">ROW(A1)</f>
        <v>1</v>
      </c>
      <c r="B5" s="32" t="s">
        <v>158</v>
      </c>
    </row>
    <row r="6" spans="1:3" s="32" customFormat="1" x14ac:dyDescent="0.25">
      <c r="A6" s="31">
        <f t="shared" si="0"/>
        <v>2</v>
      </c>
      <c r="B6" s="33" t="s">
        <v>159</v>
      </c>
      <c r="C6" s="143">
        <f ca="1">'[4]Sch 40 Substation A&amp;G'!C10</f>
        <v>878332210.42888725</v>
      </c>
    </row>
    <row r="7" spans="1:3" s="32" customFormat="1" x14ac:dyDescent="0.25">
      <c r="A7" s="31">
        <f t="shared" si="0"/>
        <v>3</v>
      </c>
      <c r="B7" s="33" t="s">
        <v>160</v>
      </c>
      <c r="C7" s="143">
        <f ca="1">'[4]Sch 40 Substation A&amp;G'!C11</f>
        <v>128743312.0185762</v>
      </c>
    </row>
    <row r="8" spans="1:3" x14ac:dyDescent="0.25">
      <c r="A8" s="31">
        <f t="shared" si="0"/>
        <v>4</v>
      </c>
      <c r="B8" s="33" t="s">
        <v>161</v>
      </c>
      <c r="C8" s="143">
        <f ca="1">'[4]Sch 40 Substation A&amp;G'!C12</f>
        <v>83453080.807317212</v>
      </c>
    </row>
    <row r="9" spans="1:3" x14ac:dyDescent="0.25">
      <c r="A9" s="31">
        <f t="shared" si="0"/>
        <v>5</v>
      </c>
      <c r="B9" s="33" t="s">
        <v>162</v>
      </c>
      <c r="C9" s="143">
        <f ca="1">'[4]Sch 40 Substation A&amp;G'!C13</f>
        <v>48572376.113885924</v>
      </c>
    </row>
    <row r="10" spans="1:3" x14ac:dyDescent="0.25">
      <c r="A10" s="31">
        <f t="shared" si="0"/>
        <v>6</v>
      </c>
      <c r="B10" s="33" t="s">
        <v>163</v>
      </c>
      <c r="C10" s="143">
        <f ca="1">'[4]Sch 40 Substation A&amp;G'!C14</f>
        <v>2624824.6900138855</v>
      </c>
    </row>
    <row r="11" spans="1:3" x14ac:dyDescent="0.25">
      <c r="A11" s="31">
        <f t="shared" si="0"/>
        <v>7</v>
      </c>
      <c r="B11" s="35" t="s">
        <v>164</v>
      </c>
      <c r="C11" s="143">
        <f ca="1">'[4]Sch 40 Substation A&amp;G'!C15</f>
        <v>0</v>
      </c>
    </row>
    <row r="12" spans="1:3" x14ac:dyDescent="0.25">
      <c r="A12" s="31">
        <f t="shared" si="0"/>
        <v>8</v>
      </c>
      <c r="B12" s="35" t="s">
        <v>165</v>
      </c>
      <c r="C12" s="143">
        <f ca="1">'[4]Sch 40 Substation A&amp;G'!C16</f>
        <v>-241078323.35858226</v>
      </c>
    </row>
    <row r="13" spans="1:3" x14ac:dyDescent="0.25">
      <c r="A13" s="31">
        <f t="shared" si="0"/>
        <v>9</v>
      </c>
      <c r="B13" s="35" t="s">
        <v>166</v>
      </c>
      <c r="C13" s="143">
        <f ca="1">'[4]Sch 40 Substation A&amp;G'!C17</f>
        <v>-390670460.01001596</v>
      </c>
    </row>
    <row r="14" spans="1:3" x14ac:dyDescent="0.25">
      <c r="A14" s="31">
        <f t="shared" si="0"/>
        <v>10</v>
      </c>
      <c r="B14" s="35" t="s">
        <v>167</v>
      </c>
      <c r="C14" s="143">
        <f ca="1">'[4]Sch 40 Substation A&amp;G'!C18</f>
        <v>-138209148.65181676</v>
      </c>
    </row>
    <row r="15" spans="1:3" x14ac:dyDescent="0.25">
      <c r="A15" s="31">
        <f t="shared" si="0"/>
        <v>11</v>
      </c>
      <c r="B15" s="35" t="s">
        <v>168</v>
      </c>
      <c r="C15" s="143">
        <f ca="1">'[4]Sch 40 Substation A&amp;G'!C19</f>
        <v>-108374278.4084723</v>
      </c>
    </row>
    <row r="16" spans="1:3" x14ac:dyDescent="0.25">
      <c r="A16" s="31">
        <f t="shared" si="0"/>
        <v>12</v>
      </c>
      <c r="B16" s="35" t="s">
        <v>169</v>
      </c>
      <c r="C16" s="143">
        <f ca="1">'[4]Sch 40 Substation A&amp;G'!C20</f>
        <v>-26209.79999999702</v>
      </c>
    </row>
    <row r="17" spans="1:3" x14ac:dyDescent="0.25">
      <c r="A17" s="31">
        <f t="shared" si="0"/>
        <v>13</v>
      </c>
      <c r="B17" s="36" t="s">
        <v>170</v>
      </c>
      <c r="C17" s="144">
        <f ca="1">'[4]Sch 40 Substation A&amp;G'!C21</f>
        <v>263367383.82979327</v>
      </c>
    </row>
    <row r="18" spans="1:3" x14ac:dyDescent="0.25">
      <c r="A18" s="31">
        <f t="shared" si="0"/>
        <v>14</v>
      </c>
      <c r="C18" s="145"/>
    </row>
    <row r="19" spans="1:3" x14ac:dyDescent="0.25">
      <c r="A19" s="31">
        <f t="shared" si="0"/>
        <v>15</v>
      </c>
      <c r="B19" s="37" t="s">
        <v>145</v>
      </c>
      <c r="C19" s="146">
        <f ca="1">'[4]Sch 40 Substation A&amp;G'!C23</f>
        <v>115995838.49993163</v>
      </c>
    </row>
    <row r="20" spans="1:3" x14ac:dyDescent="0.25">
      <c r="A20" s="31">
        <f t="shared" si="0"/>
        <v>16</v>
      </c>
      <c r="C20" s="147"/>
    </row>
    <row r="21" spans="1:3" ht="13.8" thickBot="1" x14ac:dyDescent="0.3">
      <c r="A21" s="31">
        <f t="shared" si="0"/>
        <v>17</v>
      </c>
      <c r="B21" s="39" t="s">
        <v>171</v>
      </c>
      <c r="C21" s="148">
        <f ca="1">'[4]Sch 40 Substation A&amp;G'!C25</f>
        <v>0.44</v>
      </c>
    </row>
    <row r="22" spans="1:3" ht="13.8" thickTop="1" x14ac:dyDescent="0.25">
      <c r="A22" s="31"/>
    </row>
  </sheetData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10" sqref="D10"/>
    </sheetView>
  </sheetViews>
  <sheetFormatPr defaultColWidth="9.109375" defaultRowHeight="13.2" x14ac:dyDescent="0.25"/>
  <cols>
    <col min="1" max="1" width="2" style="240" bestFit="1" customWidth="1"/>
    <col min="2" max="2" width="12.5546875" style="240" bestFit="1" customWidth="1"/>
    <col min="3" max="3" width="3.109375" style="240" customWidth="1"/>
    <col min="4" max="6" width="13" style="240" customWidth="1"/>
    <col min="7" max="16384" width="9.109375" style="240"/>
  </cols>
  <sheetData>
    <row r="1" spans="1:6" x14ac:dyDescent="0.25">
      <c r="A1" s="663"/>
      <c r="B1" s="663"/>
      <c r="C1" s="663"/>
      <c r="D1" s="663"/>
      <c r="E1" s="663"/>
      <c r="F1" s="663"/>
    </row>
    <row r="2" spans="1:6" x14ac:dyDescent="0.25">
      <c r="A2" s="664" t="s">
        <v>299</v>
      </c>
      <c r="B2" s="663"/>
      <c r="C2" s="663"/>
      <c r="D2" s="663"/>
      <c r="E2" s="663"/>
      <c r="F2" s="663"/>
    </row>
    <row r="3" spans="1:6" x14ac:dyDescent="0.25">
      <c r="A3" s="663" t="s">
        <v>181</v>
      </c>
      <c r="B3" s="663"/>
      <c r="C3" s="663"/>
      <c r="D3" s="663"/>
      <c r="E3" s="663"/>
      <c r="F3" s="663"/>
    </row>
    <row r="4" spans="1:6" x14ac:dyDescent="0.25">
      <c r="A4" s="238"/>
      <c r="B4" s="238"/>
      <c r="C4" s="238"/>
      <c r="D4" s="238"/>
      <c r="E4" s="238"/>
      <c r="F4" s="238"/>
    </row>
    <row r="5" spans="1:6" ht="33.6" customHeight="1" x14ac:dyDescent="0.25">
      <c r="A5" s="239"/>
      <c r="B5" s="239"/>
      <c r="C5" s="239"/>
      <c r="D5" s="665" t="s">
        <v>408</v>
      </c>
      <c r="E5" s="665"/>
      <c r="F5" s="665"/>
    </row>
    <row r="6" spans="1:6" ht="39.6" x14ac:dyDescent="0.25">
      <c r="A6" s="241"/>
      <c r="B6" s="5"/>
      <c r="C6" s="5"/>
      <c r="D6" s="6" t="s">
        <v>173</v>
      </c>
      <c r="E6" s="6" t="s">
        <v>174</v>
      </c>
      <c r="F6" s="203" t="s">
        <v>292</v>
      </c>
    </row>
    <row r="7" spans="1:6" x14ac:dyDescent="0.25">
      <c r="A7" s="196"/>
      <c r="B7" s="196"/>
      <c r="C7" s="196"/>
      <c r="D7" s="196"/>
      <c r="E7" s="196"/>
      <c r="F7" s="196"/>
    </row>
    <row r="8" spans="1:6" x14ac:dyDescent="0.25">
      <c r="A8" s="7">
        <v>1</v>
      </c>
      <c r="B8" s="242"/>
      <c r="C8" s="242"/>
      <c r="D8" s="243"/>
      <c r="E8" s="243"/>
      <c r="F8" s="243"/>
    </row>
    <row r="9" spans="1:6" x14ac:dyDescent="0.25">
      <c r="A9" s="7">
        <f>+A8+1</f>
        <v>2</v>
      </c>
      <c r="B9" s="8" t="s">
        <v>180</v>
      </c>
      <c r="C9" s="242"/>
      <c r="D9" s="243"/>
      <c r="E9" s="243"/>
      <c r="F9" s="243"/>
    </row>
    <row r="10" spans="1:6" x14ac:dyDescent="0.25">
      <c r="A10" s="7">
        <f t="shared" ref="A10:A16" si="0">+A9+1</f>
        <v>3</v>
      </c>
      <c r="B10" s="244" t="s">
        <v>176</v>
      </c>
      <c r="C10" s="242"/>
      <c r="D10" s="156">
        <f ca="1">'[4]Class Summary'!I305</f>
        <v>1.4109999999999999E-2</v>
      </c>
      <c r="E10" s="156">
        <f ca="1">'[4]Class Summary'!J305</f>
        <v>9.4240000000000001E-3</v>
      </c>
      <c r="F10" s="156">
        <f ca="1">'[4]Class Summary'!R305</f>
        <v>9.9850000000000008E-3</v>
      </c>
    </row>
    <row r="11" spans="1:6" x14ac:dyDescent="0.25">
      <c r="A11" s="7">
        <f t="shared" si="0"/>
        <v>4</v>
      </c>
      <c r="B11" s="244" t="s">
        <v>177</v>
      </c>
      <c r="C11" s="242"/>
      <c r="D11" s="156">
        <f ca="1">'[4]Class Summary'!I306</f>
        <v>0</v>
      </c>
      <c r="E11" s="156">
        <f ca="1">'[4]Class Summary'!J306</f>
        <v>0</v>
      </c>
      <c r="F11" s="156">
        <f ca="1">'[4]Class Summary'!R306</f>
        <v>0</v>
      </c>
    </row>
    <row r="12" spans="1:6" x14ac:dyDescent="0.25">
      <c r="A12" s="7">
        <f t="shared" si="0"/>
        <v>5</v>
      </c>
      <c r="B12" s="244" t="s">
        <v>178</v>
      </c>
      <c r="C12" s="245"/>
      <c r="D12" s="156">
        <f ca="1">'[4]Class Summary'!I307</f>
        <v>3.97E-4</v>
      </c>
      <c r="E12" s="156">
        <f ca="1">'[4]Class Summary'!J307</f>
        <v>1.03E-4</v>
      </c>
      <c r="F12" s="156">
        <f ca="1">'[4]Class Summary'!R307</f>
        <v>1.2819999999999999E-3</v>
      </c>
    </row>
    <row r="13" spans="1:6" x14ac:dyDescent="0.25">
      <c r="A13" s="7">
        <f t="shared" si="0"/>
        <v>6</v>
      </c>
      <c r="B13" s="244" t="s">
        <v>179</v>
      </c>
      <c r="C13" s="245"/>
      <c r="D13" s="156">
        <f ca="1">'[4]Class Summary'!I308</f>
        <v>0</v>
      </c>
      <c r="E13" s="156">
        <f ca="1">'[4]Class Summary'!J308</f>
        <v>0</v>
      </c>
      <c r="F13" s="156">
        <f ca="1">'[4]Class Summary'!R308</f>
        <v>0</v>
      </c>
    </row>
    <row r="14" spans="1:6" x14ac:dyDescent="0.25">
      <c r="A14" s="7">
        <f t="shared" si="0"/>
        <v>7</v>
      </c>
      <c r="B14" s="244" t="s">
        <v>179</v>
      </c>
      <c r="C14" s="245"/>
      <c r="D14" s="156">
        <f ca="1">'[4]Class Summary'!I309</f>
        <v>0</v>
      </c>
      <c r="E14" s="156">
        <f ca="1">'[4]Class Summary'!J309</f>
        <v>0</v>
      </c>
      <c r="F14" s="156">
        <f ca="1">'[4]Class Summary'!R309</f>
        <v>0</v>
      </c>
    </row>
    <row r="15" spans="1:6" x14ac:dyDescent="0.25">
      <c r="A15" s="7">
        <f t="shared" si="0"/>
        <v>8</v>
      </c>
      <c r="B15" s="244" t="s">
        <v>179</v>
      </c>
      <c r="C15" s="245"/>
      <c r="D15" s="156">
        <f ca="1">'[4]Class Summary'!I310</f>
        <v>0</v>
      </c>
      <c r="E15" s="156">
        <f ca="1">'[4]Class Summary'!J310</f>
        <v>0</v>
      </c>
      <c r="F15" s="156">
        <f ca="1">'[4]Class Summary'!R310</f>
        <v>0</v>
      </c>
    </row>
    <row r="16" spans="1:6" x14ac:dyDescent="0.25">
      <c r="A16" s="7">
        <f t="shared" si="0"/>
        <v>9</v>
      </c>
      <c r="B16" s="245" t="s">
        <v>38</v>
      </c>
      <c r="C16" s="245"/>
      <c r="D16" s="156">
        <f ca="1">'[4]Class Summary'!I311</f>
        <v>1.4507000000000001E-2</v>
      </c>
      <c r="E16" s="156">
        <f ca="1">'[4]Class Summary'!J311</f>
        <v>9.528E-3</v>
      </c>
      <c r="F16" s="156">
        <f ca="1">'[4]Class Summary'!R311</f>
        <v>1.1266999999999999E-2</v>
      </c>
    </row>
  </sheetData>
  <mergeCells count="4">
    <mergeCell ref="A1:F1"/>
    <mergeCell ref="A2:F2"/>
    <mergeCell ref="A3:F3"/>
    <mergeCell ref="D5:F5"/>
  </mergeCells>
  <phoneticPr fontId="0" type="noConversion"/>
  <printOptions horizontalCentered="1"/>
  <pageMargins left="0.25" right="0.25" top="1.5" bottom="1" header="0.5" footer="0.5"/>
  <pageSetup scale="90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4.44140625" style="26" bestFit="1" customWidth="1"/>
    <col min="2" max="2" width="37.5546875" style="26" bestFit="1" customWidth="1"/>
    <col min="3" max="3" width="14.6640625" style="26" bestFit="1" customWidth="1"/>
    <col min="4" max="5" width="10.44140625" style="26" bestFit="1" customWidth="1"/>
    <col min="6" max="6" width="10.88671875" style="26" bestFit="1" customWidth="1"/>
    <col min="7" max="7" width="12.44140625" style="26" bestFit="1" customWidth="1"/>
    <col min="8" max="8" width="10.88671875" style="26" bestFit="1" customWidth="1"/>
    <col min="9" max="9" width="12.44140625" style="26" bestFit="1" customWidth="1"/>
    <col min="10" max="10" width="11.44140625" style="26" bestFit="1" customWidth="1"/>
    <col min="11" max="11" width="6.21875" style="26" bestFit="1" customWidth="1"/>
    <col min="12" max="16384" width="9.109375" style="26"/>
  </cols>
  <sheetData>
    <row r="1" spans="1:11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1" x14ac:dyDescent="0.25">
      <c r="A2" s="592" t="s">
        <v>182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</row>
    <row r="3" spans="1:11" x14ac:dyDescent="0.25">
      <c r="A3" s="593" t="s">
        <v>362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1" x14ac:dyDescent="0.25">
      <c r="A4" s="592" t="s">
        <v>94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</row>
    <row r="5" spans="1:11" x14ac:dyDescent="0.25">
      <c r="A5" s="592" t="s">
        <v>19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</row>
    <row r="7" spans="1:11" x14ac:dyDescent="0.25">
      <c r="A7" s="21"/>
      <c r="B7" s="21"/>
      <c r="C7" s="21"/>
      <c r="D7" s="21"/>
      <c r="E7" s="21"/>
      <c r="F7" s="598" t="s">
        <v>189</v>
      </c>
      <c r="G7" s="599"/>
      <c r="H7" s="600" t="s">
        <v>109</v>
      </c>
      <c r="I7" s="601"/>
      <c r="J7" s="21"/>
      <c r="K7" s="21"/>
    </row>
    <row r="8" spans="1:11" x14ac:dyDescent="0.25">
      <c r="A8" s="9" t="s">
        <v>53</v>
      </c>
      <c r="B8" s="21"/>
      <c r="C8" s="160"/>
      <c r="D8" s="169"/>
      <c r="E8" s="169"/>
      <c r="F8" s="594"/>
      <c r="G8" s="595"/>
      <c r="H8" s="594"/>
      <c r="I8" s="595"/>
      <c r="J8" s="596" t="s">
        <v>190</v>
      </c>
      <c r="K8" s="597"/>
    </row>
    <row r="9" spans="1:11" x14ac:dyDescent="0.25">
      <c r="A9" s="23" t="s">
        <v>122</v>
      </c>
      <c r="B9" s="23"/>
      <c r="C9" s="159" t="s">
        <v>95</v>
      </c>
      <c r="D9" s="170"/>
      <c r="E9" s="170"/>
      <c r="F9" s="22" t="s">
        <v>191</v>
      </c>
      <c r="G9" s="206" t="s">
        <v>175</v>
      </c>
      <c r="H9" s="23" t="s">
        <v>191</v>
      </c>
      <c r="I9" s="206" t="s">
        <v>175</v>
      </c>
      <c r="J9" s="22" t="s">
        <v>192</v>
      </c>
      <c r="K9" s="206" t="s">
        <v>193</v>
      </c>
    </row>
    <row r="10" spans="1:11" x14ac:dyDescent="0.25">
      <c r="A10" s="24">
        <v>1</v>
      </c>
    </row>
    <row r="11" spans="1:11" x14ac:dyDescent="0.25">
      <c r="A11" s="24">
        <f>+A10+1</f>
        <v>2</v>
      </c>
      <c r="B11" s="68" t="s">
        <v>96</v>
      </c>
    </row>
    <row r="12" spans="1:11" x14ac:dyDescent="0.25">
      <c r="A12" s="24">
        <v>2</v>
      </c>
      <c r="B12" s="50" t="s">
        <v>97</v>
      </c>
      <c r="C12" s="77">
        <f ca="1">+'[1]Exhibit No.__(JAP-CAMP RD)'!C15</f>
        <v>495</v>
      </c>
      <c r="D12" s="77"/>
      <c r="E12" s="77"/>
      <c r="F12" s="183">
        <f ca="1">+'[1]Exhibit No.__(JAP-CAMP RD)'!E15</f>
        <v>51.67</v>
      </c>
      <c r="G12" s="34">
        <f ca="1">ROUND(+F12*C12,0)</f>
        <v>25577</v>
      </c>
      <c r="H12" s="183">
        <f ca="1">+'[1]Exhibit No.__(JAP-CAMP RD)'!H15</f>
        <v>52.3</v>
      </c>
      <c r="I12" s="34">
        <f ca="1">ROUND(+H12*C12,0)</f>
        <v>25889</v>
      </c>
    </row>
    <row r="13" spans="1:11" x14ac:dyDescent="0.25">
      <c r="A13" s="24">
        <f>+A12+1</f>
        <v>3</v>
      </c>
      <c r="B13" s="53" t="s">
        <v>98</v>
      </c>
      <c r="C13" s="77">
        <f ca="1">+'[1]Exhibit No.__(JAP-CAMP RD)'!C16</f>
        <v>825</v>
      </c>
      <c r="D13" s="77"/>
      <c r="E13" s="77"/>
      <c r="F13" s="183">
        <f ca="1">+'[1]Exhibit No.__(JAP-CAMP RD)'!E16</f>
        <v>104.46</v>
      </c>
      <c r="G13" s="34">
        <f t="shared" ref="G13:G14" ca="1" si="0">ROUND(+F13*C13,0)</f>
        <v>86180</v>
      </c>
      <c r="H13" s="183">
        <f ca="1">+'[1]Exhibit No.__(JAP-CAMP RD)'!H16</f>
        <v>105.74</v>
      </c>
      <c r="I13" s="34">
        <f t="shared" ref="I13:I14" ca="1" si="1">ROUND(+H13*C13,0)</f>
        <v>87236</v>
      </c>
    </row>
    <row r="14" spans="1:11" x14ac:dyDescent="0.25">
      <c r="A14" s="24">
        <v>3</v>
      </c>
      <c r="B14" s="50" t="s">
        <v>99</v>
      </c>
      <c r="C14" s="77">
        <f ca="1">+'[1]Exhibit No.__(JAP-CAMP RD)'!C17</f>
        <v>387</v>
      </c>
      <c r="D14" s="77"/>
      <c r="E14" s="77"/>
      <c r="F14" s="183">
        <f ca="1">+'[1]Exhibit No.__(JAP-CAMP RD)'!E17</f>
        <v>339.51</v>
      </c>
      <c r="G14" s="34">
        <f t="shared" ca="1" si="0"/>
        <v>131390</v>
      </c>
      <c r="H14" s="183">
        <f ca="1">+'[1]Exhibit No.__(JAP-CAMP RD)'!H17</f>
        <v>343.66</v>
      </c>
      <c r="I14" s="34">
        <f t="shared" ca="1" si="1"/>
        <v>132996</v>
      </c>
    </row>
    <row r="15" spans="1:11" x14ac:dyDescent="0.25">
      <c r="A15" s="24">
        <f>+A14+1</f>
        <v>4</v>
      </c>
      <c r="C15" s="123">
        <f ca="1">SUM(C12:C14)</f>
        <v>1707</v>
      </c>
      <c r="D15" s="73"/>
      <c r="E15" s="73"/>
      <c r="G15" s="38">
        <f ca="1">SUM(G12:G14)</f>
        <v>243147</v>
      </c>
      <c r="I15" s="38">
        <f ca="1">SUM(I12:I14)</f>
        <v>246121</v>
      </c>
      <c r="J15" s="124">
        <f ca="1">+I15-G15</f>
        <v>2974</v>
      </c>
      <c r="K15" s="125">
        <f ca="1">+J15/G15</f>
        <v>1.2231283955796288E-2</v>
      </c>
    </row>
    <row r="16" spans="1:11" x14ac:dyDescent="0.25">
      <c r="A16" s="24">
        <v>4</v>
      </c>
      <c r="B16" s="68" t="s">
        <v>100</v>
      </c>
      <c r="C16" s="73"/>
      <c r="D16" s="73"/>
      <c r="E16" s="73"/>
      <c r="G16" s="49"/>
      <c r="I16" s="49"/>
      <c r="J16" s="93"/>
      <c r="K16" s="89"/>
    </row>
    <row r="17" spans="1:11" x14ac:dyDescent="0.25">
      <c r="A17" s="24">
        <f>+A16+1</f>
        <v>5</v>
      </c>
      <c r="B17" s="50" t="s">
        <v>101</v>
      </c>
    </row>
    <row r="18" spans="1:11" x14ac:dyDescent="0.25">
      <c r="A18" s="24">
        <v>5</v>
      </c>
      <c r="B18" s="59" t="s">
        <v>102</v>
      </c>
      <c r="C18" s="77">
        <f ca="1">+'[1]Exhibit No.__(JAP-CAMP RD)'!C21</f>
        <v>286202830</v>
      </c>
      <c r="D18" s="77"/>
      <c r="E18" s="77"/>
      <c r="F18" s="207">
        <f ca="1">+'[1]Exhibit No.__(JAP-CAMP RD)'!E21</f>
        <v>5.6638000000000001E-2</v>
      </c>
      <c r="G18" s="34">
        <f t="shared" ref="G18:G19" ca="1" si="2">ROUND(+F18*C18,0)</f>
        <v>16209956</v>
      </c>
      <c r="H18" s="207">
        <f ca="1">+'[1]Exhibit No.__(JAP-CAMP RD)'!H21</f>
        <v>5.3848E-2</v>
      </c>
      <c r="I18" s="34">
        <f t="shared" ref="I18:I19" ca="1" si="3">ROUND(+H18*C18,0)</f>
        <v>15411450</v>
      </c>
    </row>
    <row r="19" spans="1:11" x14ac:dyDescent="0.25">
      <c r="A19" s="24">
        <f>+A18+1</f>
        <v>6</v>
      </c>
      <c r="B19" s="55" t="s">
        <v>99</v>
      </c>
      <c r="C19" s="77">
        <f ca="1">+'[1]Exhibit No.__(JAP-CAMP RD)'!C22</f>
        <v>343241100</v>
      </c>
      <c r="D19" s="77"/>
      <c r="E19" s="77"/>
      <c r="F19" s="207">
        <f ca="1">+'[1]Exhibit No.__(JAP-CAMP RD)'!E22</f>
        <v>5.5190999999999997E-2</v>
      </c>
      <c r="G19" s="34">
        <f t="shared" ca="1" si="2"/>
        <v>18943820</v>
      </c>
      <c r="H19" s="207">
        <f ca="1">+'[1]Exhibit No.__(JAP-CAMP RD)'!H22</f>
        <v>5.1728999999999997E-2</v>
      </c>
      <c r="I19" s="34">
        <f t="shared" ca="1" si="3"/>
        <v>17755519</v>
      </c>
    </row>
    <row r="20" spans="1:11" x14ac:dyDescent="0.25">
      <c r="A20" s="24">
        <v>6</v>
      </c>
      <c r="B20" s="50"/>
      <c r="C20" s="123">
        <f ca="1">SUM(C17:C19)</f>
        <v>629443930</v>
      </c>
      <c r="D20" s="73"/>
      <c r="E20" s="73"/>
      <c r="G20" s="38">
        <f ca="1">SUM(G18:G19)</f>
        <v>35153776</v>
      </c>
      <c r="I20" s="38">
        <f ca="1">SUM(I18:I19)</f>
        <v>33166969</v>
      </c>
    </row>
    <row r="21" spans="1:11" x14ac:dyDescent="0.25">
      <c r="A21" s="24">
        <f>+A20+1</f>
        <v>7</v>
      </c>
      <c r="B21" s="50"/>
      <c r="C21" s="73"/>
      <c r="D21" s="73"/>
      <c r="E21" s="73"/>
      <c r="G21" s="49"/>
      <c r="I21" s="49"/>
    </row>
    <row r="22" spans="1:11" x14ac:dyDescent="0.25">
      <c r="A22" s="24">
        <v>7</v>
      </c>
      <c r="B22" s="55" t="s">
        <v>240</v>
      </c>
      <c r="C22" s="73"/>
      <c r="D22" s="73"/>
      <c r="E22" s="73"/>
      <c r="F22" s="73"/>
      <c r="G22" s="49"/>
      <c r="H22" s="73"/>
      <c r="I22" s="49"/>
      <c r="J22" s="93"/>
      <c r="K22" s="89"/>
    </row>
    <row r="23" spans="1:11" x14ac:dyDescent="0.25">
      <c r="A23" s="24">
        <f>+A22+1</f>
        <v>8</v>
      </c>
      <c r="B23" s="62" t="s">
        <v>97</v>
      </c>
      <c r="C23" s="77">
        <f ca="1">+'[1]Exhibit No.__(JAP-CAMP RD)'!C24</f>
        <v>423503.04529972037</v>
      </c>
      <c r="D23" s="77"/>
      <c r="E23" s="77"/>
      <c r="F23" s="207">
        <f ca="1">+'[1]Exhibit No.__(JAP-CAMP RD)'!E24</f>
        <v>5.6638000000000001E-2</v>
      </c>
      <c r="G23" s="34">
        <f t="shared" ref="G23:G24" ca="1" si="4">ROUND(+F23*C23,0)</f>
        <v>23986</v>
      </c>
      <c r="H23" s="207">
        <f ca="1">+H18</f>
        <v>5.3848E-2</v>
      </c>
      <c r="I23" s="34">
        <f t="shared" ref="I23:I24" ca="1" si="5">ROUND(+H23*C23,0)</f>
        <v>22805</v>
      </c>
    </row>
    <row r="24" spans="1:11" x14ac:dyDescent="0.25">
      <c r="A24" s="24">
        <v>8</v>
      </c>
      <c r="B24" s="62" t="s">
        <v>99</v>
      </c>
      <c r="C24" s="77">
        <f ca="1">+'[1]Exhibit No.__(JAP-CAMP RD)'!C25</f>
        <v>-30131.256685476576</v>
      </c>
      <c r="D24" s="77"/>
      <c r="E24" s="77"/>
      <c r="F24" s="207">
        <f ca="1">+'[1]Exhibit No.__(JAP-CAMP RD)'!E25</f>
        <v>5.5190999999999997E-2</v>
      </c>
      <c r="G24" s="34">
        <f t="shared" ca="1" si="4"/>
        <v>-1663</v>
      </c>
      <c r="H24" s="207">
        <f ca="1">+H19</f>
        <v>5.1728999999999997E-2</v>
      </c>
      <c r="I24" s="34">
        <f t="shared" ca="1" si="5"/>
        <v>-1559</v>
      </c>
    </row>
    <row r="25" spans="1:11" x14ac:dyDescent="0.25">
      <c r="A25" s="24">
        <f>+A24+1</f>
        <v>9</v>
      </c>
      <c r="B25" s="50"/>
      <c r="C25" s="123">
        <f ca="1">SUM(C22:C24)</f>
        <v>393371.78861424379</v>
      </c>
      <c r="D25" s="73"/>
      <c r="E25" s="73"/>
      <c r="G25" s="38">
        <f ca="1">SUM(G23:G24)</f>
        <v>22323</v>
      </c>
      <c r="I25" s="38">
        <f ca="1">SUM(I23:I24)</f>
        <v>21246</v>
      </c>
      <c r="J25" s="124">
        <f ca="1">+I25+I20-G20-G25</f>
        <v>-1987884</v>
      </c>
      <c r="K25" s="125">
        <f ca="1">+J25/(G25+G20)</f>
        <v>-5.6512349479116486E-2</v>
      </c>
    </row>
    <row r="26" spans="1:11" x14ac:dyDescent="0.25">
      <c r="A26" s="24"/>
      <c r="B26" s="50"/>
      <c r="C26" s="73"/>
      <c r="D26" s="73"/>
      <c r="E26" s="73"/>
      <c r="G26" s="49"/>
      <c r="I26" s="49"/>
      <c r="J26" s="93"/>
      <c r="K26" s="89"/>
    </row>
    <row r="27" spans="1:11" x14ac:dyDescent="0.25">
      <c r="A27" s="24">
        <v>9</v>
      </c>
      <c r="B27" s="53" t="s">
        <v>248</v>
      </c>
      <c r="C27" s="171" t="s">
        <v>249</v>
      </c>
      <c r="D27" s="171" t="s">
        <v>189</v>
      </c>
      <c r="E27" s="171" t="s">
        <v>109</v>
      </c>
    </row>
    <row r="28" spans="1:11" x14ac:dyDescent="0.25">
      <c r="A28" s="24">
        <f>+A27+1</f>
        <v>10</v>
      </c>
      <c r="B28" s="59" t="s">
        <v>102</v>
      </c>
      <c r="C28" s="77">
        <f>+'[2]Customer Demand'!K34</f>
        <v>629520</v>
      </c>
      <c r="D28" s="77">
        <f>+'[2]Customer Demand'!G34</f>
        <v>578556</v>
      </c>
      <c r="E28" s="77">
        <f>+'[2]Customer Demand'!D34</f>
        <v>570788</v>
      </c>
      <c r="F28" s="183">
        <f ca="1">+'[1]Exhibit No.__(JAP-CAMP RD)'!E30</f>
        <v>4.2</v>
      </c>
      <c r="G28" s="34">
        <f ca="1">ROUND(+F28*D28,0)</f>
        <v>2429935</v>
      </c>
      <c r="H28" s="183">
        <f ca="1">+'[1]Exhibit No.__(JAP-CAMP RD)'!H30</f>
        <v>6.13</v>
      </c>
      <c r="I28" s="34">
        <f ca="1">ROUND(+H28*E28,0)</f>
        <v>3498930</v>
      </c>
    </row>
    <row r="29" spans="1:11" x14ac:dyDescent="0.25">
      <c r="A29" s="24">
        <v>10</v>
      </c>
      <c r="B29" s="55" t="s">
        <v>99</v>
      </c>
      <c r="C29" s="77">
        <f>+'[2]Customer Demand'!K35</f>
        <v>668417</v>
      </c>
      <c r="D29" s="77">
        <f>+'[2]Customer Demand'!G35</f>
        <v>628883</v>
      </c>
      <c r="E29" s="77">
        <f>+'[2]Customer Demand'!D35</f>
        <v>627620</v>
      </c>
      <c r="F29" s="183">
        <f ca="1">+'[1]Exhibit No.__(JAP-CAMP RD)'!E31</f>
        <v>4.1100000000000003</v>
      </c>
      <c r="G29" s="34">
        <f ca="1">ROUND(+F29*D29,0)</f>
        <v>2584709</v>
      </c>
      <c r="H29" s="183">
        <f ca="1">+'[1]Exhibit No.__(JAP-CAMP RD)'!H31</f>
        <v>5.88</v>
      </c>
      <c r="I29" s="34">
        <f ca="1">ROUND(+H29*E29,0)</f>
        <v>3690406</v>
      </c>
    </row>
    <row r="30" spans="1:11" x14ac:dyDescent="0.25">
      <c r="A30" s="24">
        <f>+A29+1</f>
        <v>11</v>
      </c>
      <c r="B30" s="50"/>
      <c r="C30" s="123">
        <f>SUM(C28:C29)</f>
        <v>1297937</v>
      </c>
      <c r="D30" s="123">
        <f>SUM(D28:D29)</f>
        <v>1207439</v>
      </c>
      <c r="E30" s="123">
        <f>SUM(E28:E29)</f>
        <v>1198408</v>
      </c>
      <c r="G30" s="38">
        <f ca="1">SUM(G27:G29)</f>
        <v>5014644</v>
      </c>
      <c r="I30" s="38">
        <f ca="1">SUM(I27:I29)</f>
        <v>7189336</v>
      </c>
      <c r="J30" s="124">
        <f ca="1">+I30-G30</f>
        <v>2174692</v>
      </c>
      <c r="K30" s="125">
        <f ca="1">+J30/G30</f>
        <v>0.4336682723639006</v>
      </c>
    </row>
    <row r="31" spans="1:11" x14ac:dyDescent="0.25">
      <c r="A31" s="24">
        <v>11</v>
      </c>
      <c r="B31" s="50" t="s">
        <v>103</v>
      </c>
    </row>
    <row r="32" spans="1:11" x14ac:dyDescent="0.25">
      <c r="A32" s="24">
        <f>+A31+1</f>
        <v>12</v>
      </c>
      <c r="B32" s="59" t="s">
        <v>102</v>
      </c>
      <c r="C32" s="77">
        <f ca="1">+'[1]Exhibit No.__(JAP-CAMP RD)'!C35</f>
        <v>61195990</v>
      </c>
      <c r="D32" s="77"/>
      <c r="E32" s="77"/>
      <c r="F32" s="208">
        <f ca="1">+'[1]Exhibit No.__(JAP-CAMP RD)'!E35</f>
        <v>1.24E-3</v>
      </c>
      <c r="G32" s="34">
        <f t="shared" ref="G32:G33" ca="1" si="6">ROUND(+F32*C32,0)</f>
        <v>75883</v>
      </c>
      <c r="H32" s="208">
        <f ca="1">+'[1]Exhibit No.__(JAP-CAMP RD)'!H35</f>
        <v>1.2600000000000001E-3</v>
      </c>
      <c r="I32" s="34">
        <f t="shared" ref="I32:I33" ca="1" si="7">ROUND(+H32*C32,0)</f>
        <v>77107</v>
      </c>
    </row>
    <row r="33" spans="1:11" x14ac:dyDescent="0.25">
      <c r="A33" s="24">
        <v>12</v>
      </c>
      <c r="B33" s="55" t="s">
        <v>99</v>
      </c>
      <c r="C33" s="77">
        <f ca="1">+'[1]Exhibit No.__(JAP-CAMP RD)'!C36</f>
        <v>98712577</v>
      </c>
      <c r="D33" s="77"/>
      <c r="E33" s="77"/>
      <c r="F33" s="208">
        <f ca="1">+'[1]Exhibit No.__(JAP-CAMP RD)'!E36</f>
        <v>1.08E-3</v>
      </c>
      <c r="G33" s="34">
        <f t="shared" ca="1" si="6"/>
        <v>106610</v>
      </c>
      <c r="H33" s="208">
        <f ca="1">+'[1]Exhibit No.__(JAP-CAMP RD)'!H36</f>
        <v>1.07E-3</v>
      </c>
      <c r="I33" s="34">
        <f t="shared" ca="1" si="7"/>
        <v>105622</v>
      </c>
    </row>
    <row r="34" spans="1:11" x14ac:dyDescent="0.25">
      <c r="A34" s="24">
        <f>+A33+1</f>
        <v>13</v>
      </c>
      <c r="C34" s="123">
        <f ca="1">SUM(C31:C33)</f>
        <v>159908567</v>
      </c>
      <c r="D34" s="73"/>
      <c r="E34" s="73"/>
      <c r="G34" s="38">
        <f ca="1">SUM(G31:G33)</f>
        <v>182493</v>
      </c>
      <c r="I34" s="38">
        <f ca="1">SUM(I31:I33)</f>
        <v>182729</v>
      </c>
      <c r="J34" s="124">
        <f ca="1">+I34-G34</f>
        <v>236</v>
      </c>
      <c r="K34" s="125">
        <f ca="1">+J34/G34</f>
        <v>1.2932002871343011E-3</v>
      </c>
    </row>
    <row r="35" spans="1:11" x14ac:dyDescent="0.25">
      <c r="A35" s="24">
        <v>13</v>
      </c>
    </row>
    <row r="36" spans="1:11" x14ac:dyDescent="0.25">
      <c r="A36" s="24">
        <f>+A35+1</f>
        <v>14</v>
      </c>
      <c r="B36" s="68" t="s">
        <v>104</v>
      </c>
    </row>
    <row r="37" spans="1:11" x14ac:dyDescent="0.25">
      <c r="A37" s="24">
        <v>14</v>
      </c>
      <c r="B37" s="50" t="s">
        <v>105</v>
      </c>
      <c r="G37" s="38">
        <f ca="1">+'[1]Exhibit No.__(JAP-CAMP RD)'!G39</f>
        <v>3441161.8012620001</v>
      </c>
      <c r="I37" s="38">
        <f ca="1">+'Distribution Revenue'!$H$30</f>
        <v>4898827.5</v>
      </c>
      <c r="J37" s="124">
        <f ca="1">+I37-G37</f>
        <v>1457665.6987379999</v>
      </c>
      <c r="K37" s="125">
        <f ca="1">+J37/G37</f>
        <v>0.4235969660605382</v>
      </c>
    </row>
    <row r="38" spans="1:11" x14ac:dyDescent="0.25">
      <c r="A38" s="24">
        <f>+A37+1</f>
        <v>15</v>
      </c>
    </row>
    <row r="39" spans="1:11" x14ac:dyDescent="0.25">
      <c r="A39" s="24">
        <v>15</v>
      </c>
      <c r="B39" s="68" t="s">
        <v>106</v>
      </c>
      <c r="C39" s="77">
        <f ca="1">+'[1]Exhibit No.__(JAP-CAMP RD)'!C26</f>
        <v>-8158575.4494833089</v>
      </c>
      <c r="D39" s="77"/>
      <c r="E39" s="77"/>
      <c r="F39" s="207">
        <f ca="1">+'[1]Exhibit No.__(JAP-CAMP RD)'!E26</f>
        <v>6.2047999999999999E-2</v>
      </c>
      <c r="G39" s="38">
        <f ca="1">ROUND(+F39*C39,0)</f>
        <v>-506223</v>
      </c>
      <c r="H39" s="207">
        <f ca="1">+'[1]Exhibit No.__(JAP-CAMP RD)'!H26</f>
        <v>7.2567000000000006E-2</v>
      </c>
      <c r="I39" s="38">
        <f t="shared" ref="I39" ca="1" si="8">ROUND(+H39*C39,0)</f>
        <v>-592043</v>
      </c>
      <c r="J39" s="124">
        <f ca="1">+I39-G39</f>
        <v>-85820</v>
      </c>
      <c r="K39" s="125">
        <f ca="1">+J39/G39</f>
        <v>0.16953002925588131</v>
      </c>
    </row>
    <row r="40" spans="1:11" x14ac:dyDescent="0.25">
      <c r="A40" s="24">
        <f>+A39+1</f>
        <v>16</v>
      </c>
    </row>
    <row r="41" spans="1:11" ht="13.8" thickBot="1" x14ac:dyDescent="0.3">
      <c r="A41" s="24">
        <v>16</v>
      </c>
      <c r="B41" s="26" t="s">
        <v>107</v>
      </c>
      <c r="C41" s="126">
        <f ca="1">SUM(C20,C25,C39)</f>
        <v>621678726.339131</v>
      </c>
      <c r="D41" s="73"/>
      <c r="E41" s="73"/>
      <c r="G41" s="98">
        <f ca="1">SUM(G37,G34,G30,G25,G20,G15,G39)</f>
        <v>43551321.801261999</v>
      </c>
      <c r="I41" s="98">
        <f ca="1">SUM(I37,I34,I30,I25,I20,I15,I39)</f>
        <v>45113185.5</v>
      </c>
      <c r="J41" s="98">
        <f ca="1">SUM(J37,J34,J30,J25,J20,J15,J39)</f>
        <v>1561863.6987379999</v>
      </c>
      <c r="K41" s="125">
        <f ca="1">+J41/G41</f>
        <v>3.5862601504157821E-2</v>
      </c>
    </row>
    <row r="42" spans="1:11" ht="13.8" thickTop="1" x14ac:dyDescent="0.25"/>
    <row r="43" spans="1:11" x14ac:dyDescent="0.25">
      <c r="I43" s="34">
        <f ca="1">+'[1]Exhibit No.__(JAP-CAMP RD)'!$J$41</f>
        <v>45113185.5</v>
      </c>
    </row>
    <row r="44" spans="1:11" x14ac:dyDescent="0.25">
      <c r="I44" s="78">
        <f ca="1">+I43-I41</f>
        <v>0</v>
      </c>
      <c r="J44" s="78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.17" bottom="1" header="0.5" footer="0.5"/>
  <pageSetup scale="89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7"/>
  <sheetViews>
    <sheetView zoomScale="90" zoomScaleNormal="90" workbookViewId="0">
      <pane xSplit="2" ySplit="6" topLeftCell="E25" activePane="bottomRight" state="frozen"/>
      <selection pane="topRight" activeCell="C1" sqref="C1"/>
      <selection pane="bottomLeft" activeCell="A7" sqref="A7"/>
      <selection pane="bottomRight" activeCell="H4" sqref="H4"/>
    </sheetView>
  </sheetViews>
  <sheetFormatPr defaultColWidth="9.109375" defaultRowHeight="13.2" x14ac:dyDescent="0.25"/>
  <cols>
    <col min="1" max="1" width="8.21875" style="26" bestFit="1" customWidth="1"/>
    <col min="2" max="2" width="41.5546875" style="26" bestFit="1" customWidth="1"/>
    <col min="3" max="4" width="23.109375" style="26" bestFit="1" customWidth="1"/>
    <col min="5" max="5" width="15.44140625" style="26" bestFit="1" customWidth="1"/>
    <col min="6" max="6" width="18.21875" style="26" bestFit="1" customWidth="1"/>
    <col min="7" max="7" width="14" style="26" bestFit="1" customWidth="1"/>
    <col min="8" max="8" width="17.33203125" style="26" bestFit="1" customWidth="1"/>
    <col min="9" max="9" width="12.5546875" style="26" bestFit="1" customWidth="1"/>
    <col min="10" max="10" width="15.6640625" style="26" bestFit="1" customWidth="1"/>
    <col min="11" max="11" width="10.109375" style="26" bestFit="1" customWidth="1"/>
    <col min="12" max="12" width="6.21875" style="26" bestFit="1" customWidth="1"/>
    <col min="13" max="13" width="9.109375" style="26"/>
    <col min="14" max="14" width="17.88671875" style="26" bestFit="1" customWidth="1"/>
    <col min="15" max="15" width="14.77734375" style="26" bestFit="1" customWidth="1"/>
    <col min="16" max="16" width="10.88671875" style="26" bestFit="1" customWidth="1"/>
    <col min="17" max="17" width="17.88671875" style="26" bestFit="1" customWidth="1"/>
    <col min="18" max="18" width="14.77734375" style="26" bestFit="1" customWidth="1"/>
    <col min="19" max="19" width="12" style="26" bestFit="1" customWidth="1"/>
    <col min="20" max="20" width="9.109375" style="26"/>
    <col min="21" max="22" width="14.109375" style="26" bestFit="1" customWidth="1"/>
    <col min="23" max="23" width="10.44140625" style="26" bestFit="1" customWidth="1"/>
    <col min="24" max="24" width="14.109375" style="26" bestFit="1" customWidth="1"/>
    <col min="25" max="25" width="10.44140625" style="26" bestFit="1" customWidth="1"/>
    <col min="26" max="16384" width="9.109375" style="26"/>
  </cols>
  <sheetData>
    <row r="1" spans="1:8" x14ac:dyDescent="0.25">
      <c r="A1" s="592" t="s">
        <v>0</v>
      </c>
      <c r="B1" s="592"/>
      <c r="C1" s="592"/>
      <c r="D1" s="592"/>
      <c r="E1" s="592"/>
      <c r="F1" s="592"/>
      <c r="G1" s="592"/>
      <c r="H1" s="592"/>
    </row>
    <row r="2" spans="1:8" x14ac:dyDescent="0.25">
      <c r="A2" s="592" t="s">
        <v>1</v>
      </c>
      <c r="B2" s="592"/>
      <c r="C2" s="592"/>
      <c r="D2" s="592"/>
      <c r="E2" s="592"/>
      <c r="F2" s="592"/>
      <c r="G2" s="592"/>
      <c r="H2" s="592"/>
    </row>
    <row r="3" spans="1:8" x14ac:dyDescent="0.25">
      <c r="A3" s="593" t="s">
        <v>372</v>
      </c>
      <c r="B3" s="592"/>
      <c r="C3" s="592"/>
      <c r="D3" s="592"/>
      <c r="E3" s="592"/>
      <c r="F3" s="592"/>
      <c r="G3" s="592"/>
      <c r="H3" s="592"/>
    </row>
    <row r="4" spans="1:8" x14ac:dyDescent="0.25">
      <c r="B4" s="76"/>
      <c r="C4" s="76"/>
      <c r="D4" s="76"/>
      <c r="E4" s="76"/>
      <c r="F4" s="76"/>
      <c r="G4" s="76"/>
      <c r="H4" s="76"/>
    </row>
    <row r="5" spans="1:8" ht="13.8" thickBot="1" x14ac:dyDescent="0.3"/>
    <row r="6" spans="1:8" ht="13.8" thickBot="1" x14ac:dyDescent="0.3">
      <c r="A6" s="173" t="s">
        <v>172</v>
      </c>
      <c r="B6" s="109" t="s">
        <v>2</v>
      </c>
      <c r="C6" s="110" t="s">
        <v>5</v>
      </c>
      <c r="D6" s="110" t="s">
        <v>6</v>
      </c>
      <c r="E6" s="111"/>
    </row>
    <row r="7" spans="1:8" x14ac:dyDescent="0.25">
      <c r="A7" s="9">
        <v>1</v>
      </c>
      <c r="B7" s="112" t="s">
        <v>88</v>
      </c>
      <c r="C7" s="161">
        <f ca="1">+'[1]Exhibit No.__(JAP-CAMP RD)'!$H$17</f>
        <v>343.66</v>
      </c>
      <c r="D7" s="113" t="s">
        <v>3</v>
      </c>
      <c r="E7" s="94"/>
    </row>
    <row r="8" spans="1:8" x14ac:dyDescent="0.25">
      <c r="A8" s="9">
        <f>+A7+1</f>
        <v>2</v>
      </c>
      <c r="B8" s="112" t="s">
        <v>89</v>
      </c>
      <c r="C8" s="161">
        <f ca="1">+'[1]Exhibit No.__(JAP-CAMP RD)'!$H$16</f>
        <v>105.74</v>
      </c>
      <c r="D8" s="86" t="s">
        <v>4</v>
      </c>
      <c r="E8" s="114"/>
    </row>
    <row r="9" spans="1:8" x14ac:dyDescent="0.25">
      <c r="A9" s="9">
        <f t="shared" ref="A9:A52" si="0">+A8+1</f>
        <v>3</v>
      </c>
      <c r="B9" s="112" t="s">
        <v>90</v>
      </c>
      <c r="C9" s="161">
        <f ca="1">+'[1]Exhibit No.__(JAP-CAMP RD)'!$H$15</f>
        <v>52.3</v>
      </c>
      <c r="D9" s="86" t="s">
        <v>120</v>
      </c>
      <c r="E9" s="114"/>
    </row>
    <row r="10" spans="1:8" ht="13.8" thickBot="1" x14ac:dyDescent="0.3">
      <c r="A10" s="9">
        <f t="shared" si="0"/>
        <v>4</v>
      </c>
      <c r="B10" s="115"/>
      <c r="C10" s="96"/>
      <c r="D10" s="96"/>
      <c r="E10" s="97"/>
    </row>
    <row r="11" spans="1:8" ht="13.8" thickBot="1" x14ac:dyDescent="0.3">
      <c r="A11" s="9">
        <f t="shared" si="0"/>
        <v>5</v>
      </c>
    </row>
    <row r="12" spans="1:8" ht="13.8" thickBot="1" x14ac:dyDescent="0.3">
      <c r="A12" s="9">
        <f t="shared" si="0"/>
        <v>6</v>
      </c>
      <c r="B12" s="163" t="s">
        <v>8</v>
      </c>
      <c r="C12" s="121"/>
    </row>
    <row r="13" spans="1:8" x14ac:dyDescent="0.25">
      <c r="A13" s="9">
        <f t="shared" si="0"/>
        <v>7</v>
      </c>
      <c r="B13" s="150" t="s">
        <v>9</v>
      </c>
      <c r="C13" s="197" t="s">
        <v>241</v>
      </c>
    </row>
    <row r="14" spans="1:8" x14ac:dyDescent="0.25">
      <c r="A14" s="9">
        <f t="shared" si="0"/>
        <v>8</v>
      </c>
      <c r="B14" s="112" t="s">
        <v>10</v>
      </c>
      <c r="C14" s="198">
        <f ca="1">+'[1]Exhibit No.__(JAP-CAMP RD)'!$G$55</f>
        <v>5.77</v>
      </c>
    </row>
    <row r="15" spans="1:8" x14ac:dyDescent="0.25">
      <c r="A15" s="9">
        <f t="shared" si="0"/>
        <v>9</v>
      </c>
      <c r="B15" s="112" t="s">
        <v>11</v>
      </c>
      <c r="C15" s="198">
        <f ca="1">+'[1]Exhibit No.__(JAP-CAMP RD)'!$H$31</f>
        <v>5.88</v>
      </c>
    </row>
    <row r="16" spans="1:8" ht="13.8" thickBot="1" x14ac:dyDescent="0.3">
      <c r="A16" s="9">
        <f t="shared" si="0"/>
        <v>10</v>
      </c>
      <c r="B16" s="115" t="s">
        <v>12</v>
      </c>
      <c r="C16" s="162">
        <f ca="1">+'[1]Exhibit No.__(JAP-CAMP RD)'!$H$30</f>
        <v>6.13</v>
      </c>
    </row>
    <row r="17" spans="1:25" ht="13.8" thickBot="1" x14ac:dyDescent="0.3">
      <c r="A17" s="9">
        <f t="shared" si="0"/>
        <v>11</v>
      </c>
      <c r="B17" s="57"/>
      <c r="C17" s="57"/>
    </row>
    <row r="18" spans="1:25" ht="13.8" thickBot="1" x14ac:dyDescent="0.3">
      <c r="A18" s="9">
        <f t="shared" si="0"/>
        <v>12</v>
      </c>
      <c r="B18" s="150" t="s">
        <v>13</v>
      </c>
      <c r="C18" s="121"/>
    </row>
    <row r="19" spans="1:25" x14ac:dyDescent="0.25">
      <c r="A19" s="9">
        <f t="shared" si="0"/>
        <v>13</v>
      </c>
      <c r="B19" s="122" t="s">
        <v>10</v>
      </c>
      <c r="C19" s="149">
        <f ca="1">+'[1]Exhibit No.__(JAP-CAMP RD)'!$G$59</f>
        <v>5.0738999999999999E-2</v>
      </c>
    </row>
    <row r="20" spans="1:25" x14ac:dyDescent="0.25">
      <c r="A20" s="9">
        <f t="shared" si="0"/>
        <v>14</v>
      </c>
      <c r="B20" s="116" t="s">
        <v>11</v>
      </c>
      <c r="C20" s="118">
        <f ca="1">+'[1]Exhibit No.__(JAP-CAMP RD)'!$H$22</f>
        <v>5.1728999999999997E-2</v>
      </c>
    </row>
    <row r="21" spans="1:25" ht="13.8" thickBot="1" x14ac:dyDescent="0.3">
      <c r="A21" s="9">
        <f t="shared" si="0"/>
        <v>15</v>
      </c>
      <c r="B21" s="117" t="s">
        <v>12</v>
      </c>
      <c r="C21" s="119">
        <f ca="1">+'[1]Exhibit No.__(JAP-CAMP RD)'!$H$21</f>
        <v>5.3848E-2</v>
      </c>
    </row>
    <row r="22" spans="1:25" ht="13.8" thickBot="1" x14ac:dyDescent="0.3">
      <c r="A22" s="9">
        <f t="shared" si="0"/>
        <v>16</v>
      </c>
      <c r="B22" s="50"/>
    </row>
    <row r="23" spans="1:25" ht="13.8" thickBot="1" x14ac:dyDescent="0.3">
      <c r="A23" s="9">
        <f t="shared" si="0"/>
        <v>17</v>
      </c>
      <c r="B23" s="120" t="s">
        <v>14</v>
      </c>
      <c r="C23" s="113" t="s">
        <v>5</v>
      </c>
      <c r="D23" s="121" t="s">
        <v>6</v>
      </c>
    </row>
    <row r="24" spans="1:25" x14ac:dyDescent="0.25">
      <c r="A24" s="9">
        <f t="shared" si="0"/>
        <v>18</v>
      </c>
      <c r="B24" s="122" t="s">
        <v>11</v>
      </c>
      <c r="C24" s="164">
        <f ca="1">+'[1]Exhibit No.__(JAP-CAMP RD)'!$H$36</f>
        <v>1.07E-3</v>
      </c>
      <c r="D24" s="121" t="s">
        <v>3</v>
      </c>
    </row>
    <row r="25" spans="1:25" ht="13.8" thickBot="1" x14ac:dyDescent="0.3">
      <c r="A25" s="9">
        <f t="shared" si="0"/>
        <v>19</v>
      </c>
      <c r="B25" s="117" t="s">
        <v>12</v>
      </c>
      <c r="C25" s="165">
        <f ca="1">+'[1]Exhibit No.__(JAP-CAMP RD)'!$H$35</f>
        <v>1.2600000000000001E-3</v>
      </c>
      <c r="D25" s="166" t="s">
        <v>4</v>
      </c>
    </row>
    <row r="26" spans="1:25" ht="13.8" thickBot="1" x14ac:dyDescent="0.3">
      <c r="A26" s="9">
        <f t="shared" si="0"/>
        <v>20</v>
      </c>
      <c r="N26" s="199"/>
      <c r="O26" s="199"/>
      <c r="P26" s="199"/>
      <c r="Q26" s="199"/>
    </row>
    <row r="27" spans="1:25" ht="13.8" thickBot="1" x14ac:dyDescent="0.3">
      <c r="A27" s="9">
        <f t="shared" si="0"/>
        <v>21</v>
      </c>
      <c r="C27" s="604" t="s">
        <v>298</v>
      </c>
      <c r="D27" s="605"/>
      <c r="N27" s="210"/>
      <c r="O27" s="210"/>
      <c r="P27" s="210"/>
      <c r="Q27" s="210"/>
    </row>
    <row r="28" spans="1:25" ht="13.8" thickBot="1" x14ac:dyDescent="0.3">
      <c r="A28" s="9">
        <f t="shared" si="0"/>
        <v>22</v>
      </c>
      <c r="C28" s="606" t="str">
        <f>+I28</f>
        <v>Coincident Demand Charge</v>
      </c>
      <c r="D28" s="607"/>
      <c r="I28" s="602" t="s">
        <v>213</v>
      </c>
      <c r="J28" s="603"/>
      <c r="N28" s="199"/>
      <c r="O28" s="199"/>
      <c r="P28" s="199"/>
      <c r="Q28" s="199"/>
    </row>
    <row r="29" spans="1:25" ht="13.8" thickBot="1" x14ac:dyDescent="0.3">
      <c r="A29" s="9">
        <f t="shared" si="0"/>
        <v>23</v>
      </c>
      <c r="B29" s="26" t="s">
        <v>87</v>
      </c>
      <c r="C29" s="247" t="s">
        <v>99</v>
      </c>
      <c r="D29" s="248" t="s">
        <v>102</v>
      </c>
      <c r="E29" s="26" t="s">
        <v>15</v>
      </c>
      <c r="F29" s="26" t="s">
        <v>16</v>
      </c>
      <c r="G29" s="26" t="s">
        <v>17</v>
      </c>
      <c r="H29" s="26" t="s">
        <v>18</v>
      </c>
      <c r="I29" s="154" t="s">
        <v>214</v>
      </c>
      <c r="J29" s="155" t="s">
        <v>217</v>
      </c>
    </row>
    <row r="30" spans="1:25" x14ac:dyDescent="0.25">
      <c r="A30" s="9">
        <f t="shared" si="0"/>
        <v>24</v>
      </c>
      <c r="B30" s="120" t="str">
        <f>+'Distribution Revenue'!B8</f>
        <v>Customer 1</v>
      </c>
      <c r="C30" s="573">
        <f t="shared" ref="C30:C41" ca="1" si="1">ROUND(+$C$15*$I30,2)</f>
        <v>5.23</v>
      </c>
      <c r="D30" s="573">
        <f t="shared" ref="D30:D41" ca="1" si="2">ROUND(+$C$16*$I30,2)</f>
        <v>5.45</v>
      </c>
      <c r="E30" s="574">
        <f ca="1">SUM(F30:H30)</f>
        <v>4.2799999999999994</v>
      </c>
      <c r="F30" s="574">
        <f>ROUND(+'Dist Line Transformers 2017'!F36,2)</f>
        <v>0.4</v>
      </c>
      <c r="G30" s="574">
        <f ca="1">ROUND(SUM('Distribution Feeders 2017'!D49),2)</f>
        <v>1.06</v>
      </c>
      <c r="H30" s="574">
        <f ca="1">ROUND(SUM('Distribution Subs 2017'!D42),2)</f>
        <v>2.82</v>
      </c>
      <c r="I30" s="575">
        <f>+'Dist Line Transformers 2017'!F32</f>
        <v>0.88980000000000004</v>
      </c>
      <c r="J30" s="576">
        <f t="shared" ref="J30:J41" ca="1" si="3">ROUND(E30*I30,2)</f>
        <v>3.81</v>
      </c>
      <c r="N30" s="77"/>
      <c r="O30" s="77"/>
      <c r="P30" s="77"/>
      <c r="Q30" s="34"/>
      <c r="R30" s="34"/>
      <c r="S30" s="34"/>
      <c r="T30" s="78"/>
      <c r="U30" s="77"/>
      <c r="V30" s="77"/>
      <c r="W30" s="77"/>
      <c r="X30" s="34"/>
      <c r="Y30" s="34"/>
    </row>
    <row r="31" spans="1:25" x14ac:dyDescent="0.25">
      <c r="A31" s="9">
        <f t="shared" si="0"/>
        <v>25</v>
      </c>
      <c r="B31" s="577" t="str">
        <f>+'Distribution Revenue'!B9</f>
        <v>Customer 2</v>
      </c>
      <c r="C31" s="562">
        <f t="shared" ca="1" si="1"/>
        <v>5.28</v>
      </c>
      <c r="D31" s="562">
        <f t="shared" ca="1" si="2"/>
        <v>5.51</v>
      </c>
      <c r="E31" s="95">
        <f t="shared" ref="E31:E36" ca="1" si="4">SUM(F31:H31)</f>
        <v>7.26</v>
      </c>
      <c r="F31" s="95">
        <f>ROUND(+'Dist Line Transformers 2017'!H36,2)</f>
        <v>0.66</v>
      </c>
      <c r="G31" s="95">
        <f ca="1">ROUND(SUM('Distribution Feeders 2017'!AB49),2)</f>
        <v>2.4</v>
      </c>
      <c r="H31" s="95">
        <f ca="1">ROUND(SUM('Distribution Subs 2017'!Y42),2)</f>
        <v>4.2</v>
      </c>
      <c r="I31" s="571">
        <f>+'Dist Line Transformers 2017'!H32</f>
        <v>0.89859999999999995</v>
      </c>
      <c r="J31" s="488">
        <f t="shared" ca="1" si="3"/>
        <v>6.52</v>
      </c>
      <c r="N31" s="77"/>
      <c r="O31" s="77"/>
      <c r="P31" s="77"/>
      <c r="Q31" s="34"/>
      <c r="R31" s="34"/>
      <c r="S31" s="34"/>
      <c r="T31" s="78"/>
      <c r="U31" s="77"/>
      <c r="V31" s="77"/>
      <c r="W31" s="77"/>
      <c r="X31" s="34"/>
      <c r="Y31" s="34"/>
    </row>
    <row r="32" spans="1:25" x14ac:dyDescent="0.25">
      <c r="A32" s="9">
        <f t="shared" si="0"/>
        <v>26</v>
      </c>
      <c r="B32" s="577" t="str">
        <f>+'Distribution Revenue'!B11</f>
        <v>Customer 3</v>
      </c>
      <c r="C32" s="562">
        <f t="shared" ca="1" si="1"/>
        <v>5.88</v>
      </c>
      <c r="D32" s="562">
        <f t="shared" ca="1" si="2"/>
        <v>6.13</v>
      </c>
      <c r="E32" s="95">
        <f t="shared" ca="1" si="4"/>
        <v>1.56</v>
      </c>
      <c r="F32" s="95">
        <f>ROUND(+'Dist Line Transformers 2017'!J36,2)</f>
        <v>0</v>
      </c>
      <c r="G32" s="95">
        <f ca="1">ROUND(+'Distribution Feeders 2017'!AR49,2)</f>
        <v>0.56999999999999995</v>
      </c>
      <c r="H32" s="95">
        <f ca="1">ROUND(+'Distribution Subs 2017'!AI42,2)</f>
        <v>0.99</v>
      </c>
      <c r="I32" s="571">
        <f>+'Dist Line Transformers 2017'!J32</f>
        <v>1</v>
      </c>
      <c r="J32" s="488">
        <f t="shared" ca="1" si="3"/>
        <v>1.56</v>
      </c>
      <c r="N32" s="77"/>
      <c r="O32" s="77"/>
      <c r="P32" s="77"/>
      <c r="Q32" s="34"/>
      <c r="R32" s="34"/>
      <c r="S32" s="34"/>
      <c r="T32" s="78"/>
      <c r="U32" s="77"/>
      <c r="V32" s="77"/>
      <c r="W32" s="77"/>
      <c r="X32" s="34"/>
      <c r="Y32" s="34"/>
    </row>
    <row r="33" spans="1:25" x14ac:dyDescent="0.25">
      <c r="A33" s="9">
        <f t="shared" si="0"/>
        <v>27</v>
      </c>
      <c r="B33" s="577" t="str">
        <f>+'Distribution Revenue'!B12</f>
        <v>Customer 4</v>
      </c>
      <c r="C33" s="562">
        <f t="shared" ca="1" si="1"/>
        <v>5.88</v>
      </c>
      <c r="D33" s="562">
        <f t="shared" ca="1" si="2"/>
        <v>6.13</v>
      </c>
      <c r="E33" s="95">
        <f t="shared" ca="1" si="4"/>
        <v>0.6</v>
      </c>
      <c r="F33" s="95">
        <f>ROUND(+'Dist Line Transformers 2017'!L36,2)</f>
        <v>0</v>
      </c>
      <c r="G33" s="95">
        <f ca="1">ROUND(+'Distribution Feeders 2017'!AS49,2)</f>
        <v>0.21</v>
      </c>
      <c r="H33" s="95">
        <f ca="1">ROUND(+'Distribution Subs 2017'!AO42,2)</f>
        <v>0.39</v>
      </c>
      <c r="I33" s="571">
        <f>+'Dist Line Transformers 2017'!L32</f>
        <v>1</v>
      </c>
      <c r="J33" s="488">
        <f t="shared" ca="1" si="3"/>
        <v>0.6</v>
      </c>
      <c r="N33" s="77"/>
      <c r="O33" s="77"/>
      <c r="P33" s="77"/>
      <c r="Q33" s="34"/>
      <c r="R33" s="34"/>
      <c r="S33" s="34"/>
      <c r="T33" s="78"/>
      <c r="U33" s="77"/>
      <c r="V33" s="77"/>
      <c r="W33" s="77"/>
      <c r="X33" s="34"/>
      <c r="Y33" s="34"/>
    </row>
    <row r="34" spans="1:25" x14ac:dyDescent="0.25">
      <c r="A34" s="9">
        <f t="shared" si="0"/>
        <v>28</v>
      </c>
      <c r="B34" s="577" t="str">
        <f>+'Distribution Revenue'!B13</f>
        <v>Customer 5</v>
      </c>
      <c r="C34" s="562">
        <f t="shared" ca="1" si="1"/>
        <v>5.8</v>
      </c>
      <c r="D34" s="562">
        <f t="shared" ca="1" si="2"/>
        <v>6.05</v>
      </c>
      <c r="E34" s="95">
        <f ca="1">SUM(F34:H34)</f>
        <v>2.77</v>
      </c>
      <c r="F34" s="95">
        <f>ROUND(+'Dist Line Transformers 2017'!N36,2)</f>
        <v>0.08</v>
      </c>
      <c r="G34" s="95">
        <f ca="1">ROUND(SUM('Distribution Feeders 2017'!AY49),2)</f>
        <v>1.89</v>
      </c>
      <c r="H34" s="95">
        <f ca="1">ROUND(+'Distribution Subs 2017'!AT42,2)</f>
        <v>0.8</v>
      </c>
      <c r="I34" s="571">
        <f>+'Dist Line Transformers 2017'!N32</f>
        <v>0.98680000000000001</v>
      </c>
      <c r="J34" s="488">
        <f t="shared" ca="1" si="3"/>
        <v>2.73</v>
      </c>
      <c r="N34" s="77"/>
      <c r="O34" s="77"/>
      <c r="P34" s="77"/>
      <c r="Q34" s="34"/>
      <c r="R34" s="34"/>
      <c r="S34" s="34"/>
      <c r="T34" s="78"/>
      <c r="U34" s="77"/>
      <c r="V34" s="77"/>
      <c r="W34" s="77"/>
      <c r="X34" s="34"/>
      <c r="Y34" s="34"/>
    </row>
    <row r="35" spans="1:25" x14ac:dyDescent="0.25">
      <c r="A35" s="9">
        <f t="shared" si="0"/>
        <v>29</v>
      </c>
      <c r="B35" s="577" t="str">
        <f>+'Distribution Revenue'!B14</f>
        <v>Customer 6</v>
      </c>
      <c r="C35" s="562">
        <f t="shared" ca="1" si="1"/>
        <v>5.88</v>
      </c>
      <c r="D35" s="562">
        <f t="shared" ca="1" si="2"/>
        <v>6.13</v>
      </c>
      <c r="E35" s="95">
        <f t="shared" ca="1" si="4"/>
        <v>0.45999999999999996</v>
      </c>
      <c r="F35" s="95">
        <f>ROUND(+'Dist Line Transformers 2017'!P36,2)</f>
        <v>0</v>
      </c>
      <c r="G35" s="95">
        <f ca="1">ROUND(SUM('Distribution Feeders 2017'!BR49),2)</f>
        <v>0.24</v>
      </c>
      <c r="H35" s="95">
        <f ca="1">ROUND(+'Distribution Subs 2017'!AY42,2)</f>
        <v>0.22</v>
      </c>
      <c r="I35" s="571">
        <f>+'Dist Line Transformers 2017'!P32</f>
        <v>1</v>
      </c>
      <c r="J35" s="488">
        <f t="shared" ca="1" si="3"/>
        <v>0.46</v>
      </c>
      <c r="N35" s="77"/>
      <c r="O35" s="77"/>
      <c r="P35" s="77"/>
      <c r="Q35" s="34"/>
      <c r="R35" s="34"/>
      <c r="S35" s="34"/>
      <c r="T35" s="78"/>
      <c r="U35" s="77"/>
      <c r="V35" s="77"/>
      <c r="W35" s="77"/>
      <c r="X35" s="34"/>
      <c r="Y35" s="34"/>
    </row>
    <row r="36" spans="1:25" x14ac:dyDescent="0.25">
      <c r="A36" s="9">
        <f t="shared" si="0"/>
        <v>30</v>
      </c>
      <c r="B36" s="577" t="str">
        <f>+'Distribution Revenue'!B15</f>
        <v>Customer 7</v>
      </c>
      <c r="C36" s="562">
        <f t="shared" ca="1" si="1"/>
        <v>5.88</v>
      </c>
      <c r="D36" s="562">
        <f t="shared" ca="1" si="2"/>
        <v>6.13</v>
      </c>
      <c r="E36" s="95">
        <f t="shared" ca="1" si="4"/>
        <v>2.1800000000000002</v>
      </c>
      <c r="F36" s="95">
        <f>ROUND(+'Dist Line Transformers 2017'!R36,2)</f>
        <v>0</v>
      </c>
      <c r="G36" s="95">
        <f ca="1">ROUND(SUM('Distribution Feeders 2017'!BW49),2)</f>
        <v>0.64</v>
      </c>
      <c r="H36" s="95">
        <f ca="1">ROUND(+'Distribution Subs 2017'!CE42,2)</f>
        <v>1.54</v>
      </c>
      <c r="I36" s="571">
        <f>+'Dist Line Transformers 2017'!R32</f>
        <v>1</v>
      </c>
      <c r="J36" s="488">
        <f t="shared" ca="1" si="3"/>
        <v>2.1800000000000002</v>
      </c>
      <c r="N36" s="77"/>
      <c r="O36" s="77"/>
      <c r="P36" s="77"/>
      <c r="Q36" s="34"/>
      <c r="R36" s="34"/>
      <c r="S36" s="34"/>
      <c r="T36" s="78"/>
      <c r="U36" s="77"/>
      <c r="V36" s="77"/>
      <c r="W36" s="77"/>
      <c r="X36" s="34"/>
      <c r="Y36" s="34"/>
    </row>
    <row r="37" spans="1:25" x14ac:dyDescent="0.25">
      <c r="A37" s="9">
        <f t="shared" si="0"/>
        <v>31</v>
      </c>
      <c r="B37" s="577" t="str">
        <f>+'Distribution Revenue'!B16</f>
        <v>Customer 8</v>
      </c>
      <c r="C37" s="562">
        <f t="shared" ca="1" si="1"/>
        <v>5.87</v>
      </c>
      <c r="D37" s="562">
        <f t="shared" ca="1" si="2"/>
        <v>6.12</v>
      </c>
      <c r="E37" s="95">
        <f ca="1">SUM(F37:H37)</f>
        <v>2.62</v>
      </c>
      <c r="F37" s="95">
        <f>ROUND('Dist Line Transformers 2017'!T36,2)</f>
        <v>0.03</v>
      </c>
      <c r="G37" s="95">
        <f ca="1">ROUND(SUM('Distribution Feeders 2017'!CA49),2)</f>
        <v>1.33</v>
      </c>
      <c r="H37" s="95">
        <f ca="1">ROUND('Distribution Subs 2017'!BC42,2)</f>
        <v>1.26</v>
      </c>
      <c r="I37" s="571">
        <f>+'Dist Line Transformers 2017'!T32</f>
        <v>0.99770000000000003</v>
      </c>
      <c r="J37" s="488">
        <f t="shared" ca="1" si="3"/>
        <v>2.61</v>
      </c>
      <c r="N37" s="77"/>
      <c r="O37" s="77"/>
      <c r="P37" s="77"/>
      <c r="Q37" s="34"/>
      <c r="R37" s="34"/>
      <c r="S37" s="34"/>
      <c r="T37" s="78"/>
      <c r="U37" s="77"/>
      <c r="V37" s="77"/>
      <c r="W37" s="77"/>
      <c r="X37" s="34"/>
      <c r="Y37" s="34"/>
    </row>
    <row r="38" spans="1:25" x14ac:dyDescent="0.25">
      <c r="A38" s="9">
        <f t="shared" si="0"/>
        <v>32</v>
      </c>
      <c r="B38" s="577" t="str">
        <f>+'Distribution Revenue'!B17</f>
        <v>Customer 9</v>
      </c>
      <c r="C38" s="562">
        <f t="shared" ca="1" si="1"/>
        <v>5.39</v>
      </c>
      <c r="D38" s="562">
        <f t="shared" ca="1" si="2"/>
        <v>5.62</v>
      </c>
      <c r="E38" s="95">
        <f ca="1">SUM(F38:H38)</f>
        <v>5.99</v>
      </c>
      <c r="F38" s="95">
        <f>ROUND(+'Dist Line Transformers 2017'!V36,2)</f>
        <v>0.82</v>
      </c>
      <c r="G38" s="95">
        <f ca="1">ROUND(SUM('Distribution Feeders 2017'!CC49),2)</f>
        <v>2.36</v>
      </c>
      <c r="H38" s="95">
        <f ca="1">+'Distribution Subs 2017'!BG42</f>
        <v>2.81</v>
      </c>
      <c r="I38" s="571">
        <f>+'Dist Line Transformers 2017'!V32</f>
        <v>0.91700000000000004</v>
      </c>
      <c r="J38" s="488">
        <f t="shared" ca="1" si="3"/>
        <v>5.49</v>
      </c>
      <c r="N38" s="77"/>
      <c r="O38" s="77"/>
      <c r="P38" s="77"/>
      <c r="Q38" s="34"/>
      <c r="R38" s="34"/>
      <c r="S38" s="34"/>
      <c r="T38" s="78"/>
      <c r="U38" s="77"/>
      <c r="V38" s="77"/>
      <c r="W38" s="77"/>
      <c r="X38" s="34"/>
      <c r="Y38" s="34"/>
    </row>
    <row r="39" spans="1:25" x14ac:dyDescent="0.25">
      <c r="A39" s="9">
        <f>+A38+1</f>
        <v>33</v>
      </c>
      <c r="B39" s="577" t="str">
        <f>+'Distribution Revenue'!B19</f>
        <v>Customer 10</v>
      </c>
      <c r="C39" s="562">
        <f t="shared" ca="1" si="1"/>
        <v>5.64</v>
      </c>
      <c r="D39" s="562">
        <f t="shared" ca="1" si="2"/>
        <v>5.88</v>
      </c>
      <c r="E39" s="95">
        <f ca="1">SUM(F39:H39)</f>
        <v>1.57</v>
      </c>
      <c r="F39" s="95">
        <f>ROUND(+'Dist Line Transformers 2017'!X36,2)</f>
        <v>0.59</v>
      </c>
      <c r="G39" s="95">
        <f ca="1">ROUND(SUM('Distribution Feeders 2017'!CN49),2)</f>
        <v>0.42</v>
      </c>
      <c r="H39" s="95">
        <f ca="1">+'Distribution Subs 2017'!BM42</f>
        <v>0.56000000000000005</v>
      </c>
      <c r="I39" s="571">
        <f>+'Dist Line Transformers 2017'!X32</f>
        <v>0.95850000000000002</v>
      </c>
      <c r="J39" s="488">
        <f t="shared" ca="1" si="3"/>
        <v>1.5</v>
      </c>
      <c r="N39" s="77"/>
      <c r="O39" s="77"/>
      <c r="P39" s="77"/>
      <c r="Q39" s="34"/>
      <c r="R39" s="34"/>
      <c r="S39" s="34"/>
      <c r="T39" s="78"/>
      <c r="U39" s="77"/>
      <c r="V39" s="77"/>
      <c r="W39" s="77"/>
      <c r="X39" s="34"/>
      <c r="Y39" s="34"/>
    </row>
    <row r="40" spans="1:25" x14ac:dyDescent="0.25">
      <c r="A40" s="9">
        <f t="shared" ref="A40:A50" si="5">+A39+1</f>
        <v>34</v>
      </c>
      <c r="B40" s="577" t="str">
        <f>+'Distribution Revenue'!B20</f>
        <v>Customer 11</v>
      </c>
      <c r="C40" s="562">
        <f t="shared" ca="1" si="1"/>
        <v>5.58</v>
      </c>
      <c r="D40" s="562">
        <f t="shared" ca="1" si="2"/>
        <v>5.82</v>
      </c>
      <c r="E40" s="95">
        <f ca="1">SUM(F40:H40)</f>
        <v>2.09</v>
      </c>
      <c r="F40" s="95">
        <f>ROUND(+'Dist Line Transformers 2017'!Z36,2)</f>
        <v>0.71</v>
      </c>
      <c r="G40" s="95">
        <f ca="1">ROUND(+'Distribution Feeders 2017'!CS49,2)</f>
        <v>0.52</v>
      </c>
      <c r="H40" s="95">
        <f ca="1">+'Distribution Subs 2017'!BP42</f>
        <v>0.86</v>
      </c>
      <c r="I40" s="571">
        <f>+'Dist Line Transformers 2017'!Z32</f>
        <v>0.94930000000000003</v>
      </c>
      <c r="J40" s="488">
        <f t="shared" ca="1" si="3"/>
        <v>1.98</v>
      </c>
      <c r="N40" s="77"/>
      <c r="O40" s="77"/>
      <c r="P40" s="77"/>
      <c r="Q40" s="34"/>
      <c r="R40" s="34"/>
      <c r="S40" s="34"/>
      <c r="T40" s="78"/>
      <c r="U40" s="77"/>
      <c r="V40" s="77"/>
      <c r="W40" s="77"/>
      <c r="X40" s="34"/>
      <c r="Y40" s="34"/>
    </row>
    <row r="41" spans="1:25" x14ac:dyDescent="0.25">
      <c r="A41" s="9">
        <f t="shared" si="5"/>
        <v>35</v>
      </c>
      <c r="B41" s="577" t="str">
        <f>+'Distribution Revenue'!B22</f>
        <v>Customer 12</v>
      </c>
      <c r="C41" s="562">
        <f t="shared" ca="1" si="1"/>
        <v>5.72</v>
      </c>
      <c r="D41" s="562">
        <f t="shared" ca="1" si="2"/>
        <v>5.97</v>
      </c>
      <c r="E41" s="95">
        <f t="shared" ref="E41" ca="1" si="6">SUM(F41:H41)</f>
        <v>0.84</v>
      </c>
      <c r="F41" s="95">
        <f>ROUND(+'Dist Line Transformers 2017'!AB36,2)</f>
        <v>0.22</v>
      </c>
      <c r="G41" s="95">
        <f ca="1">ROUND(+'Distribution Feeders 2017'!DJ49,2)</f>
        <v>0.27</v>
      </c>
      <c r="H41" s="95">
        <f ca="1">+'Distribution Subs 2017'!BS42</f>
        <v>0.35</v>
      </c>
      <c r="I41" s="571">
        <f>+'Dist Line Transformers 2017'!AB32</f>
        <v>0.97319999999999995</v>
      </c>
      <c r="J41" s="488">
        <f t="shared" ca="1" si="3"/>
        <v>0.82</v>
      </c>
      <c r="N41" s="77"/>
      <c r="O41" s="77"/>
      <c r="P41" s="77"/>
      <c r="Q41" s="34"/>
      <c r="R41" s="34"/>
      <c r="S41" s="34"/>
      <c r="T41" s="78"/>
      <c r="U41" s="77"/>
      <c r="V41" s="77"/>
      <c r="W41" s="77"/>
      <c r="X41" s="34"/>
      <c r="Y41" s="34"/>
    </row>
    <row r="42" spans="1:25" x14ac:dyDescent="0.25">
      <c r="A42" s="9">
        <f t="shared" si="5"/>
        <v>36</v>
      </c>
      <c r="B42" s="577"/>
      <c r="C42" s="562"/>
      <c r="D42" s="562"/>
      <c r="E42" s="95"/>
      <c r="F42" s="95"/>
      <c r="G42" s="95"/>
      <c r="H42" s="95"/>
      <c r="I42" s="571"/>
      <c r="J42" s="488"/>
      <c r="N42" s="77"/>
      <c r="O42" s="77"/>
      <c r="P42" s="77"/>
      <c r="Q42" s="34"/>
      <c r="R42" s="34"/>
      <c r="S42" s="34"/>
      <c r="T42" s="78"/>
      <c r="U42" s="77"/>
      <c r="V42" s="77"/>
      <c r="W42" s="77"/>
      <c r="X42" s="34"/>
      <c r="Y42" s="34"/>
    </row>
    <row r="43" spans="1:25" ht="13.8" thickBot="1" x14ac:dyDescent="0.3">
      <c r="A43" s="9">
        <f t="shared" si="5"/>
        <v>37</v>
      </c>
      <c r="B43" s="578"/>
      <c r="C43" s="579"/>
      <c r="D43" s="579"/>
      <c r="E43" s="580"/>
      <c r="F43" s="580"/>
      <c r="G43" s="580"/>
      <c r="H43" s="580"/>
      <c r="I43" s="581"/>
      <c r="J43" s="162"/>
      <c r="N43" s="77"/>
      <c r="O43" s="77"/>
      <c r="P43" s="77"/>
      <c r="Q43" s="34"/>
      <c r="R43" s="34"/>
      <c r="S43" s="34"/>
      <c r="T43" s="78"/>
      <c r="U43" s="77"/>
      <c r="V43" s="77"/>
      <c r="W43" s="77"/>
      <c r="X43" s="34"/>
      <c r="Y43" s="34"/>
    </row>
    <row r="44" spans="1:25" ht="13.8" thickBot="1" x14ac:dyDescent="0.3">
      <c r="A44" s="9">
        <f t="shared" si="5"/>
        <v>38</v>
      </c>
      <c r="E44" s="108"/>
      <c r="F44" s="108"/>
      <c r="G44" s="108"/>
      <c r="H44" s="108"/>
      <c r="I44" s="151"/>
      <c r="J44" s="151"/>
      <c r="N44" s="77"/>
      <c r="O44" s="77"/>
      <c r="P44" s="77"/>
      <c r="Q44" s="34"/>
      <c r="R44" s="34"/>
      <c r="S44" s="34"/>
      <c r="T44" s="78"/>
      <c r="U44" s="77"/>
      <c r="V44" s="77"/>
      <c r="W44" s="77"/>
      <c r="X44" s="34"/>
      <c r="Y44" s="34"/>
    </row>
    <row r="45" spans="1:25" ht="13.8" thickBot="1" x14ac:dyDescent="0.3">
      <c r="A45" s="9">
        <f t="shared" si="5"/>
        <v>39</v>
      </c>
      <c r="B45" s="68" t="s">
        <v>242</v>
      </c>
      <c r="C45" s="68"/>
      <c r="D45" s="68"/>
      <c r="I45" s="154" t="s">
        <v>214</v>
      </c>
      <c r="J45" s="398" t="s">
        <v>217</v>
      </c>
      <c r="N45" s="77"/>
      <c r="O45" s="77"/>
      <c r="P45" s="77"/>
      <c r="Q45" s="138"/>
      <c r="R45" s="138"/>
      <c r="S45" s="138"/>
      <c r="T45" s="78"/>
      <c r="U45" s="183"/>
      <c r="V45" s="183"/>
    </row>
    <row r="46" spans="1:25" x14ac:dyDescent="0.25">
      <c r="A46" s="9">
        <f t="shared" si="5"/>
        <v>40</v>
      </c>
      <c r="B46" s="150" t="str">
        <f>+B30</f>
        <v>Customer 1</v>
      </c>
      <c r="C46" s="582"/>
      <c r="D46" s="582"/>
      <c r="E46" s="574">
        <v>1.68</v>
      </c>
      <c r="F46" s="574">
        <v>0.2</v>
      </c>
      <c r="G46" s="574">
        <v>1.05</v>
      </c>
      <c r="H46" s="574">
        <v>0.43</v>
      </c>
      <c r="I46" s="575">
        <v>0.92</v>
      </c>
      <c r="J46" s="576">
        <v>1.55</v>
      </c>
      <c r="Q46" s="78"/>
      <c r="R46" s="78"/>
      <c r="S46" s="78"/>
      <c r="T46" s="78"/>
    </row>
    <row r="47" spans="1:25" x14ac:dyDescent="0.25">
      <c r="A47" s="9">
        <f t="shared" si="5"/>
        <v>41</v>
      </c>
      <c r="B47" s="112" t="str">
        <f>+B31</f>
        <v>Customer 2</v>
      </c>
      <c r="C47" s="572"/>
      <c r="D47" s="572"/>
      <c r="E47" s="95">
        <v>5.74</v>
      </c>
      <c r="F47" s="95">
        <v>0.54</v>
      </c>
      <c r="G47" s="95">
        <v>3.59</v>
      </c>
      <c r="H47" s="95">
        <v>1.61</v>
      </c>
      <c r="I47" s="571">
        <v>0.92</v>
      </c>
      <c r="J47" s="488">
        <v>5.28</v>
      </c>
    </row>
    <row r="48" spans="1:25" x14ac:dyDescent="0.25">
      <c r="A48" s="9">
        <f t="shared" si="5"/>
        <v>42</v>
      </c>
      <c r="B48" s="112" t="str">
        <f t="shared" ref="B48:B56" si="7">+B32</f>
        <v>Customer 3</v>
      </c>
      <c r="C48" s="572"/>
      <c r="D48" s="572"/>
      <c r="E48" s="95">
        <v>1.7999999999999998</v>
      </c>
      <c r="F48" s="95">
        <v>0</v>
      </c>
      <c r="G48" s="95">
        <v>1.1299999999999999</v>
      </c>
      <c r="H48" s="95">
        <v>0.67</v>
      </c>
      <c r="I48" s="571">
        <v>1</v>
      </c>
      <c r="J48" s="488">
        <v>1.8</v>
      </c>
    </row>
    <row r="49" spans="1:10" x14ac:dyDescent="0.25">
      <c r="A49" s="9">
        <f t="shared" si="5"/>
        <v>43</v>
      </c>
      <c r="B49" s="112" t="str">
        <f t="shared" si="7"/>
        <v>Customer 4</v>
      </c>
      <c r="C49" s="572"/>
      <c r="D49" s="572"/>
      <c r="E49" s="95">
        <v>0.83000000000000007</v>
      </c>
      <c r="F49" s="95">
        <v>0.17</v>
      </c>
      <c r="G49" s="95">
        <v>0.25</v>
      </c>
      <c r="H49" s="95">
        <v>0.41</v>
      </c>
      <c r="I49" s="571">
        <v>1</v>
      </c>
      <c r="J49" s="488">
        <v>0.83</v>
      </c>
    </row>
    <row r="50" spans="1:10" x14ac:dyDescent="0.25">
      <c r="A50" s="9">
        <f t="shared" si="5"/>
        <v>44</v>
      </c>
      <c r="B50" s="112" t="str">
        <f t="shared" si="7"/>
        <v>Customer 5</v>
      </c>
      <c r="C50" s="572"/>
      <c r="D50" s="572"/>
      <c r="E50" s="95">
        <v>4.3900000000000006</v>
      </c>
      <c r="F50" s="95">
        <v>0.14000000000000001</v>
      </c>
      <c r="G50" s="95">
        <v>3.37</v>
      </c>
      <c r="H50" s="95">
        <v>0.88</v>
      </c>
      <c r="I50" s="571">
        <v>0.92</v>
      </c>
      <c r="J50" s="488">
        <v>4.04</v>
      </c>
    </row>
    <row r="51" spans="1:10" x14ac:dyDescent="0.25">
      <c r="A51" s="9">
        <f t="shared" si="0"/>
        <v>45</v>
      </c>
      <c r="B51" s="112" t="str">
        <f t="shared" si="7"/>
        <v>Customer 6</v>
      </c>
      <c r="C51" s="572"/>
      <c r="D51" s="572"/>
      <c r="E51" s="95">
        <v>0.87000000000000011</v>
      </c>
      <c r="F51" s="95">
        <v>0</v>
      </c>
      <c r="G51" s="95">
        <v>0.67</v>
      </c>
      <c r="H51" s="95">
        <v>0.2</v>
      </c>
      <c r="I51" s="571">
        <v>1</v>
      </c>
      <c r="J51" s="488">
        <v>0.87</v>
      </c>
    </row>
    <row r="52" spans="1:10" x14ac:dyDescent="0.25">
      <c r="A52" s="9">
        <f t="shared" si="0"/>
        <v>46</v>
      </c>
      <c r="B52" s="112" t="str">
        <f t="shared" si="7"/>
        <v>Customer 7</v>
      </c>
      <c r="C52" s="572"/>
      <c r="D52" s="572"/>
      <c r="E52" s="95">
        <v>1.8599999999999999</v>
      </c>
      <c r="F52" s="95">
        <v>0</v>
      </c>
      <c r="G52" s="95" t="s">
        <v>409</v>
      </c>
      <c r="H52" s="95">
        <v>1.25</v>
      </c>
      <c r="I52" s="571">
        <v>1</v>
      </c>
      <c r="J52" s="488">
        <v>1.86</v>
      </c>
    </row>
    <row r="53" spans="1:10" x14ac:dyDescent="0.25">
      <c r="A53" s="9">
        <f>+A52+1</f>
        <v>47</v>
      </c>
      <c r="B53" s="112" t="str">
        <f t="shared" si="7"/>
        <v>Customer 8</v>
      </c>
      <c r="C53" s="572"/>
      <c r="D53" s="572"/>
      <c r="E53" s="95">
        <v>1.83</v>
      </c>
      <c r="F53" s="95">
        <v>0.08</v>
      </c>
      <c r="G53" s="95">
        <v>0.16</v>
      </c>
      <c r="H53" s="95">
        <v>1.59</v>
      </c>
      <c r="I53" s="571">
        <v>0.92</v>
      </c>
      <c r="J53" s="488">
        <v>1.68</v>
      </c>
    </row>
    <row r="54" spans="1:10" x14ac:dyDescent="0.25">
      <c r="A54" s="9">
        <f t="shared" ref="A54:A57" si="8">+A53+1</f>
        <v>48</v>
      </c>
      <c r="B54" s="112" t="str">
        <f t="shared" si="7"/>
        <v>Customer 9</v>
      </c>
      <c r="C54" s="572"/>
      <c r="D54" s="572"/>
      <c r="E54" s="95">
        <v>5.8100000000000005</v>
      </c>
      <c r="F54" s="95">
        <v>0.56000000000000005</v>
      </c>
      <c r="G54" s="95">
        <v>1.84</v>
      </c>
      <c r="H54" s="95">
        <v>3.41</v>
      </c>
      <c r="I54" s="571">
        <v>0.92</v>
      </c>
      <c r="J54" s="488">
        <v>5.35</v>
      </c>
    </row>
    <row r="55" spans="1:10" x14ac:dyDescent="0.25">
      <c r="A55" s="9">
        <f t="shared" si="8"/>
        <v>49</v>
      </c>
      <c r="B55" s="112" t="str">
        <f t="shared" si="7"/>
        <v>Customer 10</v>
      </c>
      <c r="C55" s="572"/>
      <c r="D55" s="572"/>
      <c r="E55" s="95">
        <v>1.42</v>
      </c>
      <c r="F55" s="95">
        <v>0.41</v>
      </c>
      <c r="G55" s="95">
        <v>0.77</v>
      </c>
      <c r="H55" s="95">
        <v>0.24</v>
      </c>
      <c r="I55" s="571">
        <v>0.92</v>
      </c>
      <c r="J55" s="488">
        <v>1.31</v>
      </c>
    </row>
    <row r="56" spans="1:10" x14ac:dyDescent="0.25">
      <c r="A56" s="9">
        <f t="shared" si="8"/>
        <v>50</v>
      </c>
      <c r="B56" s="112" t="str">
        <f t="shared" si="7"/>
        <v>Customer 11</v>
      </c>
      <c r="C56" s="572"/>
      <c r="D56" s="572"/>
      <c r="E56" s="95">
        <v>2.27</v>
      </c>
      <c r="F56" s="95">
        <v>0.31</v>
      </c>
      <c r="G56" s="95">
        <v>1.24</v>
      </c>
      <c r="H56" s="95">
        <v>0.72</v>
      </c>
      <c r="I56" s="571">
        <v>0.92</v>
      </c>
      <c r="J56" s="488">
        <v>2.09</v>
      </c>
    </row>
    <row r="57" spans="1:10" ht="13.8" thickBot="1" x14ac:dyDescent="0.3">
      <c r="A57" s="9">
        <f t="shared" si="8"/>
        <v>51</v>
      </c>
      <c r="B57" s="115" t="str">
        <f>+B41</f>
        <v>Customer 12</v>
      </c>
      <c r="C57" s="583"/>
      <c r="D57" s="583"/>
      <c r="E57" s="580">
        <v>0.63</v>
      </c>
      <c r="F57" s="580">
        <v>0.11</v>
      </c>
      <c r="G57" s="580">
        <v>0.25</v>
      </c>
      <c r="H57" s="580">
        <v>0.27</v>
      </c>
      <c r="I57" s="581">
        <v>0.92</v>
      </c>
      <c r="J57" s="162">
        <v>0.57999999999999996</v>
      </c>
    </row>
  </sheetData>
  <mergeCells count="6">
    <mergeCell ref="I28:J28"/>
    <mergeCell ref="A1:H1"/>
    <mergeCell ref="A2:H2"/>
    <mergeCell ref="A3:H3"/>
    <mergeCell ref="C27:D27"/>
    <mergeCell ref="C28:D28"/>
  </mergeCells>
  <phoneticPr fontId="0" type="noConversion"/>
  <printOptions horizontalCentered="1"/>
  <pageMargins left="0.25" right="0.25" top="1" bottom="1" header="0.5" footer="0.5"/>
  <pageSetup scale="65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3.2" x14ac:dyDescent="0.25"/>
  <cols>
    <col min="1" max="1" width="9.109375" style="26"/>
    <col min="2" max="2" width="37.88671875" style="26" bestFit="1" customWidth="1"/>
    <col min="3" max="3" width="10.109375" style="26" bestFit="1" customWidth="1"/>
    <col min="4" max="4" width="11.21875" style="26" bestFit="1" customWidth="1"/>
    <col min="5" max="5" width="11" style="26" bestFit="1" customWidth="1"/>
    <col min="6" max="6" width="11.109375" style="26" bestFit="1" customWidth="1"/>
    <col min="7" max="7" width="10.77734375" style="26" bestFit="1" customWidth="1"/>
    <col min="8" max="8" width="14.109375" style="26" bestFit="1" customWidth="1"/>
    <col min="9" max="9" width="3.5546875" style="26" customWidth="1"/>
    <col min="10" max="10" width="10.88671875" style="26" bestFit="1" customWidth="1"/>
    <col min="11" max="11" width="11.77734375" style="26" customWidth="1"/>
    <col min="12" max="12" width="10.88671875" style="26" customWidth="1"/>
    <col min="13" max="14" width="12.5546875" style="26" customWidth="1"/>
    <col min="15" max="15" width="25.109375" style="26" bestFit="1" customWidth="1"/>
    <col min="16" max="16" width="14" style="26" bestFit="1" customWidth="1"/>
    <col min="17" max="17" width="11.44140625" style="26" bestFit="1" customWidth="1"/>
    <col min="18" max="18" width="12.44140625" style="26" bestFit="1" customWidth="1"/>
    <col min="19" max="16384" width="9.109375" style="26"/>
  </cols>
  <sheetData>
    <row r="1" spans="1:18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8" x14ac:dyDescent="0.25">
      <c r="A2" s="592" t="s">
        <v>19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8" x14ac:dyDescent="0.25">
      <c r="A3" s="592" t="s">
        <v>218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5" spans="1:18" x14ac:dyDescent="0.25">
      <c r="C5" s="611" t="s">
        <v>406</v>
      </c>
      <c r="D5" s="612"/>
      <c r="E5" s="612"/>
      <c r="F5" s="612"/>
      <c r="G5" s="612"/>
      <c r="H5" s="613"/>
      <c r="J5" s="608" t="s">
        <v>259</v>
      </c>
      <c r="K5" s="609"/>
      <c r="L5" s="609"/>
      <c r="M5" s="609"/>
      <c r="N5" s="609"/>
      <c r="O5" s="610"/>
    </row>
    <row r="6" spans="1:18" ht="52.8" x14ac:dyDescent="0.25">
      <c r="A6" s="106" t="s">
        <v>172</v>
      </c>
      <c r="B6" s="153" t="s">
        <v>87</v>
      </c>
      <c r="C6" s="168" t="s">
        <v>245</v>
      </c>
      <c r="D6" s="168" t="s">
        <v>29</v>
      </c>
      <c r="E6" s="168" t="s">
        <v>251</v>
      </c>
      <c r="F6" s="168" t="s">
        <v>250</v>
      </c>
      <c r="G6" s="168" t="s">
        <v>279</v>
      </c>
      <c r="H6" s="157" t="s">
        <v>83</v>
      </c>
      <c r="I6" s="153"/>
      <c r="J6" s="168" t="s">
        <v>247</v>
      </c>
      <c r="K6" s="168" t="s">
        <v>29</v>
      </c>
      <c r="L6" s="168" t="s">
        <v>245</v>
      </c>
      <c r="M6" s="152" t="s">
        <v>83</v>
      </c>
      <c r="N6" s="168" t="s">
        <v>246</v>
      </c>
      <c r="O6" s="107" t="s">
        <v>117</v>
      </c>
    </row>
    <row r="7" spans="1:18" x14ac:dyDescent="0.25">
      <c r="A7" s="57"/>
      <c r="B7" s="57"/>
      <c r="C7" s="246" t="s">
        <v>389</v>
      </c>
      <c r="D7" s="246" t="s">
        <v>216</v>
      </c>
      <c r="E7" s="246" t="s">
        <v>380</v>
      </c>
      <c r="F7" s="246" t="s">
        <v>388</v>
      </c>
      <c r="G7" s="246" t="s">
        <v>381</v>
      </c>
      <c r="H7" s="246" t="s">
        <v>387</v>
      </c>
      <c r="I7" s="57"/>
      <c r="J7" s="246" t="s">
        <v>382</v>
      </c>
      <c r="K7" s="246" t="s">
        <v>383</v>
      </c>
      <c r="L7" s="246" t="s">
        <v>386</v>
      </c>
      <c r="M7" s="246" t="s">
        <v>385</v>
      </c>
      <c r="N7" s="246" t="s">
        <v>384</v>
      </c>
      <c r="O7" s="57"/>
    </row>
    <row r="8" spans="1:18" s="57" customFormat="1" x14ac:dyDescent="0.25">
      <c r="A8" s="399">
        <v>1</v>
      </c>
      <c r="B8" s="517" t="str">
        <f>+'Dist Line Transformers 2017'!E6</f>
        <v>Customer 1</v>
      </c>
      <c r="C8" s="510">
        <f ca="1">ROUND(D8*E8,2)</f>
        <v>3.81</v>
      </c>
      <c r="D8" s="509">
        <f>+'Dist Line Transformers 2017'!F32</f>
        <v>0.88980000000000004</v>
      </c>
      <c r="E8" s="510">
        <f ca="1">+'Tariff Summary'!E30</f>
        <v>4.2799999999999994</v>
      </c>
      <c r="F8" s="511">
        <f>+'Dist Line Transformers 2017'!F34</f>
        <v>478594</v>
      </c>
      <c r="G8" s="511">
        <f>+'Dist Line Transformers 2017'!F30</f>
        <v>537867</v>
      </c>
      <c r="H8" s="512">
        <f ca="1">+G8*C8</f>
        <v>2049273.27</v>
      </c>
      <c r="I8" s="512"/>
      <c r="J8" s="508">
        <f>+'Tariff Summary'!E46</f>
        <v>1.68</v>
      </c>
      <c r="K8" s="513">
        <f>+L8/J8</f>
        <v>0.92261904761904767</v>
      </c>
      <c r="L8" s="508">
        <f>+'[2]Cust 1 Sch 40 Adj'!$C$56</f>
        <v>1.55</v>
      </c>
      <c r="M8" s="512">
        <f>+'[2]Cust 1 Sch 40 Adj'!$D$56</f>
        <v>833692.29999999993</v>
      </c>
      <c r="N8" s="511">
        <f>ROUND(+M8/L8,0)</f>
        <v>537866</v>
      </c>
      <c r="O8" s="57" t="s">
        <v>118</v>
      </c>
      <c r="P8" s="93"/>
      <c r="Q8" s="518"/>
      <c r="R8" s="518"/>
    </row>
    <row r="9" spans="1:18" s="57" customFormat="1" x14ac:dyDescent="0.25">
      <c r="A9" s="399">
        <f>+A8+1</f>
        <v>2</v>
      </c>
      <c r="B9" s="517" t="str">
        <f>+'Dist Line Transformers 2017'!G6</f>
        <v>Customer 2</v>
      </c>
      <c r="C9" s="508">
        <f ca="1">ROUND(D9*E9,2)</f>
        <v>6.52</v>
      </c>
      <c r="D9" s="509">
        <f>+'Dist Line Transformers 2017'!H32</f>
        <v>0.89859999999999995</v>
      </c>
      <c r="E9" s="510">
        <f ca="1">+'Tariff Summary'!E31</f>
        <v>7.26</v>
      </c>
      <c r="F9" s="511">
        <f>+'Dist Line Transformers 2017'!H34</f>
        <v>249161</v>
      </c>
      <c r="G9" s="511">
        <f>+'Dist Line Transformers 2017'!H30</f>
        <v>277277</v>
      </c>
      <c r="H9" s="512">
        <f ca="1">+G9*C9</f>
        <v>1807846.0399999998</v>
      </c>
      <c r="I9" s="512"/>
      <c r="J9" s="508">
        <f>+'Tariff Summary'!E47</f>
        <v>5.74</v>
      </c>
      <c r="K9" s="513">
        <f>+L9/J9</f>
        <v>0.91986062717770034</v>
      </c>
      <c r="L9" s="508">
        <f>+'[2]Cust 2 Sch 40 Adj'!$C$56</f>
        <v>5.28</v>
      </c>
      <c r="M9" s="512">
        <f>+'[2]Cust 2 Sch 40 Adj'!$D$56</f>
        <v>1240937.28</v>
      </c>
      <c r="N9" s="511">
        <f>ROUND(+M9/L9,0)</f>
        <v>235026</v>
      </c>
      <c r="O9" s="57" t="s">
        <v>118</v>
      </c>
      <c r="P9" s="93"/>
      <c r="Q9" s="518"/>
      <c r="R9" s="518"/>
    </row>
    <row r="10" spans="1:18" s="57" customFormat="1" x14ac:dyDescent="0.25">
      <c r="A10" s="399">
        <f t="shared" ref="A10:A33" si="0">+A9+1</f>
        <v>3</v>
      </c>
      <c r="B10" s="517" t="str">
        <f>+B9</f>
        <v>Customer 2</v>
      </c>
      <c r="C10" s="508"/>
      <c r="D10" s="509"/>
      <c r="E10" s="510"/>
      <c r="F10" s="511"/>
      <c r="G10" s="511"/>
      <c r="H10" s="512"/>
      <c r="I10" s="512"/>
      <c r="J10" s="514"/>
      <c r="K10" s="513"/>
      <c r="L10" s="514">
        <f>+'[2]Cust 2 Sch 40 Adj'!$C$58</f>
        <v>1.1511E-2</v>
      </c>
      <c r="M10" s="512">
        <f>+'[2]Cust 2 Sch 40 Adj'!$D$58</f>
        <v>215320.16159999999</v>
      </c>
      <c r="N10" s="511">
        <f t="shared" ref="N10:N22" si="1">ROUND(+M10/L10,0)</f>
        <v>18705600</v>
      </c>
      <c r="O10" s="86" t="s">
        <v>236</v>
      </c>
      <c r="P10" s="93"/>
      <c r="Q10" s="518"/>
      <c r="R10" s="518"/>
    </row>
    <row r="11" spans="1:18" s="57" customFormat="1" x14ac:dyDescent="0.25">
      <c r="A11" s="399">
        <f t="shared" si="0"/>
        <v>4</v>
      </c>
      <c r="B11" s="517" t="str">
        <f>+'Dist Line Transformers 2017'!I6</f>
        <v>Customer 3</v>
      </c>
      <c r="C11" s="508">
        <f t="shared" ref="C11:C17" ca="1" si="2">ROUND(D11*E11,2)</f>
        <v>1.56</v>
      </c>
      <c r="D11" s="509">
        <f>+'Dist Line Transformers 2017'!J32</f>
        <v>1</v>
      </c>
      <c r="E11" s="510">
        <f ca="1">+'Tariff Summary'!E32</f>
        <v>1.56</v>
      </c>
      <c r="F11" s="511">
        <f>+'Dist Line Transformers 2017'!J34</f>
        <v>56070</v>
      </c>
      <c r="G11" s="511">
        <f>+'Dist Line Transformers 2017'!J30</f>
        <v>56070</v>
      </c>
      <c r="H11" s="512">
        <f t="shared" ref="H11:H17" ca="1" si="3">+G11*C11</f>
        <v>87469.2</v>
      </c>
      <c r="I11" s="512"/>
      <c r="J11" s="508">
        <f>+'Tariff Summary'!E48</f>
        <v>1.7999999999999998</v>
      </c>
      <c r="K11" s="513">
        <f t="shared" ref="K11:K22" si="4">+L11/J11</f>
        <v>1.0000000000000002</v>
      </c>
      <c r="L11" s="508">
        <f>+'[2]Customer 3'!$C$56</f>
        <v>1.8</v>
      </c>
      <c r="M11" s="512">
        <f>+'[2]Customer 3'!$D$56</f>
        <v>100926</v>
      </c>
      <c r="N11" s="511">
        <f t="shared" si="1"/>
        <v>56070</v>
      </c>
      <c r="O11" s="57" t="s">
        <v>118</v>
      </c>
      <c r="P11" s="93"/>
      <c r="Q11" s="518"/>
      <c r="R11" s="518"/>
    </row>
    <row r="12" spans="1:18" s="57" customFormat="1" x14ac:dyDescent="0.25">
      <c r="A12" s="399">
        <f t="shared" si="0"/>
        <v>5</v>
      </c>
      <c r="B12" s="517" t="str">
        <f>+'Dist Line Transformers 2017'!K6</f>
        <v>Customer 4</v>
      </c>
      <c r="C12" s="508">
        <f t="shared" ca="1" si="2"/>
        <v>0.6</v>
      </c>
      <c r="D12" s="509">
        <f>+'Dist Line Transformers 2017'!L32</f>
        <v>1</v>
      </c>
      <c r="E12" s="510">
        <f ca="1">+'Tariff Summary'!E33</f>
        <v>0.6</v>
      </c>
      <c r="F12" s="511">
        <f>+'Dist Line Transformers 2017'!L34</f>
        <v>41376</v>
      </c>
      <c r="G12" s="511">
        <f>+'Dist Line Transformers 2017'!L30</f>
        <v>41376</v>
      </c>
      <c r="H12" s="512">
        <f t="shared" ca="1" si="3"/>
        <v>24825.599999999999</v>
      </c>
      <c r="I12" s="512"/>
      <c r="J12" s="508">
        <f>+'Tariff Summary'!E49</f>
        <v>0.83000000000000007</v>
      </c>
      <c r="K12" s="513">
        <f t="shared" si="4"/>
        <v>0.99999999999999989</v>
      </c>
      <c r="L12" s="508">
        <f>+'[2]Customer 4'!$C$56</f>
        <v>0.83</v>
      </c>
      <c r="M12" s="512">
        <f>+'[2]Customer 4'!$D$56</f>
        <v>34342.080000000002</v>
      </c>
      <c r="N12" s="511">
        <f t="shared" si="1"/>
        <v>41376</v>
      </c>
      <c r="O12" s="57" t="s">
        <v>118</v>
      </c>
      <c r="P12" s="93"/>
      <c r="Q12" s="518"/>
      <c r="R12" s="518"/>
    </row>
    <row r="13" spans="1:18" s="57" customFormat="1" x14ac:dyDescent="0.25">
      <c r="A13" s="399">
        <f t="shared" si="0"/>
        <v>6</v>
      </c>
      <c r="B13" s="517" t="str">
        <f>+'Dist Line Transformers 2017'!M6</f>
        <v>Customer 5</v>
      </c>
      <c r="C13" s="508">
        <f t="shared" ca="1" si="2"/>
        <v>2.73</v>
      </c>
      <c r="D13" s="509">
        <f>+'Dist Line Transformers 2017'!N32</f>
        <v>0.98680000000000001</v>
      </c>
      <c r="E13" s="510">
        <f ca="1">+'Tariff Summary'!E34</f>
        <v>2.77</v>
      </c>
      <c r="F13" s="511">
        <f>+'Dist Line Transformers 2017'!N34</f>
        <v>54505</v>
      </c>
      <c r="G13" s="511">
        <f>+'Dist Line Transformers 2017'!N30</f>
        <v>55234</v>
      </c>
      <c r="H13" s="515">
        <f t="shared" ca="1" si="3"/>
        <v>150788.82</v>
      </c>
      <c r="I13" s="512"/>
      <c r="J13" s="508">
        <f>+'Tariff Summary'!E50</f>
        <v>4.3900000000000006</v>
      </c>
      <c r="K13" s="513">
        <f t="shared" si="4"/>
        <v>0.92027334851936204</v>
      </c>
      <c r="L13" s="508">
        <f>+'[2]Cust 5 Sch 40 Adjustment'!$C$56</f>
        <v>4.04</v>
      </c>
      <c r="M13" s="515">
        <f>+'[2]Cust 5 Sch 40 Adjustment'!$D$56</f>
        <v>223145.36</v>
      </c>
      <c r="N13" s="511">
        <f t="shared" si="1"/>
        <v>55234</v>
      </c>
      <c r="O13" s="57" t="s">
        <v>118</v>
      </c>
      <c r="P13" s="93"/>
      <c r="Q13" s="518"/>
      <c r="R13" s="518"/>
    </row>
    <row r="14" spans="1:18" s="57" customFormat="1" x14ac:dyDescent="0.25">
      <c r="A14" s="399">
        <f t="shared" si="0"/>
        <v>7</v>
      </c>
      <c r="B14" s="517" t="str">
        <f>+'Dist Line Transformers 2017'!O6</f>
        <v>Customer 6</v>
      </c>
      <c r="C14" s="508">
        <f t="shared" ca="1" si="2"/>
        <v>0.46</v>
      </c>
      <c r="D14" s="509">
        <f>+'Dist Line Transformers 2017'!P32</f>
        <v>1</v>
      </c>
      <c r="E14" s="510">
        <f ca="1">+'Tariff Summary'!E35</f>
        <v>0.45999999999999996</v>
      </c>
      <c r="F14" s="511">
        <f>+'Dist Line Transformers 2017'!P34</f>
        <v>67312</v>
      </c>
      <c r="G14" s="511">
        <f>+'Dist Line Transformers 2017'!P30</f>
        <v>67312</v>
      </c>
      <c r="H14" s="515">
        <f t="shared" ca="1" si="3"/>
        <v>30963.52</v>
      </c>
      <c r="I14" s="512"/>
      <c r="J14" s="508">
        <f>+'Tariff Summary'!E51</f>
        <v>0.87000000000000011</v>
      </c>
      <c r="K14" s="513">
        <f t="shared" si="4"/>
        <v>0.99999999999999989</v>
      </c>
      <c r="L14" s="508">
        <f>+'[2]Customer 6'!$C$56</f>
        <v>0.87</v>
      </c>
      <c r="M14" s="515">
        <f>+'[2]Customer 6'!$D$56</f>
        <v>58561.440000000002</v>
      </c>
      <c r="N14" s="511">
        <f t="shared" si="1"/>
        <v>67312</v>
      </c>
      <c r="O14" s="57" t="s">
        <v>118</v>
      </c>
      <c r="P14" s="93"/>
      <c r="Q14" s="518"/>
      <c r="R14" s="518"/>
    </row>
    <row r="15" spans="1:18" s="57" customFormat="1" x14ac:dyDescent="0.25">
      <c r="A15" s="399">
        <f t="shared" si="0"/>
        <v>8</v>
      </c>
      <c r="B15" s="517" t="str">
        <f>+'Dist Line Transformers 2017'!Q6</f>
        <v>Customer 7</v>
      </c>
      <c r="C15" s="508">
        <f t="shared" ca="1" si="2"/>
        <v>2.1800000000000002</v>
      </c>
      <c r="D15" s="509">
        <f>+'Dist Line Transformers 2017'!R32</f>
        <v>1</v>
      </c>
      <c r="E15" s="510">
        <f ca="1">+'Tariff Summary'!E36</f>
        <v>2.1800000000000002</v>
      </c>
      <c r="F15" s="511">
        <f>+'Dist Line Transformers 2017'!R34</f>
        <v>11290</v>
      </c>
      <c r="G15" s="511">
        <f>+'Dist Line Transformers 2017'!R30</f>
        <v>11290</v>
      </c>
      <c r="H15" s="515">
        <f t="shared" ca="1" si="3"/>
        <v>24612.2</v>
      </c>
      <c r="I15" s="512"/>
      <c r="J15" s="508">
        <f>+'Tariff Summary'!E52</f>
        <v>1.8599999999999999</v>
      </c>
      <c r="K15" s="513">
        <f t="shared" si="4"/>
        <v>1.0000000000000002</v>
      </c>
      <c r="L15" s="508">
        <f>+'[2]Customer 7'!$C$56</f>
        <v>1.86</v>
      </c>
      <c r="M15" s="515">
        <f>+'[2]Customer 7'!$D$56</f>
        <v>20999.4</v>
      </c>
      <c r="N15" s="511">
        <f t="shared" si="1"/>
        <v>11290</v>
      </c>
      <c r="O15" s="57" t="s">
        <v>118</v>
      </c>
      <c r="P15" s="93"/>
      <c r="Q15" s="518"/>
      <c r="R15" s="518"/>
    </row>
    <row r="16" spans="1:18" s="57" customFormat="1" x14ac:dyDescent="0.25">
      <c r="A16" s="399">
        <f t="shared" si="0"/>
        <v>9</v>
      </c>
      <c r="B16" s="517" t="str">
        <f>+'Dist Line Transformers 2017'!S6</f>
        <v>Customer 8</v>
      </c>
      <c r="C16" s="508">
        <f t="shared" ca="1" si="2"/>
        <v>2.61</v>
      </c>
      <c r="D16" s="509">
        <f>+'Dist Line Transformers 2017'!T32</f>
        <v>0.99770000000000003</v>
      </c>
      <c r="E16" s="510">
        <f ca="1">+'Tariff Summary'!E37</f>
        <v>2.62</v>
      </c>
      <c r="F16" s="511">
        <f>+'Dist Line Transformers 2017'!T34</f>
        <v>51897</v>
      </c>
      <c r="G16" s="511">
        <f>+'Dist Line Transformers 2017'!T30</f>
        <v>52016</v>
      </c>
      <c r="H16" s="515">
        <f t="shared" ca="1" si="3"/>
        <v>135761.75999999998</v>
      </c>
      <c r="I16" s="512"/>
      <c r="J16" s="508">
        <f>+'Tariff Summary'!E53</f>
        <v>1.83</v>
      </c>
      <c r="K16" s="513">
        <f t="shared" si="4"/>
        <v>0.91803278688524581</v>
      </c>
      <c r="L16" s="508">
        <f>+'[2]Customer 8'!$C$56</f>
        <v>1.68</v>
      </c>
      <c r="M16" s="515">
        <f>+'[2]Customer 8'!$D$56</f>
        <v>87388.56</v>
      </c>
      <c r="N16" s="511">
        <f t="shared" si="1"/>
        <v>52017</v>
      </c>
      <c r="O16" s="57" t="s">
        <v>118</v>
      </c>
      <c r="P16" s="93"/>
      <c r="Q16" s="518"/>
      <c r="R16" s="518"/>
    </row>
    <row r="17" spans="1:18" s="57" customFormat="1" x14ac:dyDescent="0.25">
      <c r="A17" s="399">
        <f t="shared" si="0"/>
        <v>10</v>
      </c>
      <c r="B17" s="517" t="str">
        <f>+'Dist Line Transformers 2017'!U6</f>
        <v>Customer 9</v>
      </c>
      <c r="C17" s="508">
        <f t="shared" ca="1" si="2"/>
        <v>5.49</v>
      </c>
      <c r="D17" s="509">
        <f>+'Dist Line Transformers 2017'!V32</f>
        <v>0.91700000000000004</v>
      </c>
      <c r="E17" s="510">
        <f ca="1">+'Tariff Summary'!E38</f>
        <v>5.99</v>
      </c>
      <c r="F17" s="511">
        <f>+'Dist Line Transformers 2017'!V34</f>
        <v>64529</v>
      </c>
      <c r="G17" s="511">
        <f>+'Dist Line Transformers 2017'!V30</f>
        <v>70369</v>
      </c>
      <c r="H17" s="515">
        <f t="shared" ca="1" si="3"/>
        <v>386325.81</v>
      </c>
      <c r="I17" s="512"/>
      <c r="J17" s="508">
        <f>+'Tariff Summary'!E54</f>
        <v>5.8100000000000005</v>
      </c>
      <c r="K17" s="513">
        <f t="shared" si="4"/>
        <v>0.92082616179001708</v>
      </c>
      <c r="L17" s="508">
        <f>+'[2]Cust 9 Sch 40 Adj'!$C$56</f>
        <v>5.35</v>
      </c>
      <c r="M17" s="515">
        <f>+'[2]Cust 9 Sch 40 Adj'!$D$56</f>
        <v>264627.05</v>
      </c>
      <c r="N17" s="511">
        <f t="shared" si="1"/>
        <v>49463</v>
      </c>
      <c r="O17" s="57" t="s">
        <v>118</v>
      </c>
      <c r="P17" s="93"/>
      <c r="Q17" s="518"/>
      <c r="R17" s="518"/>
    </row>
    <row r="18" spans="1:18" s="57" customFormat="1" x14ac:dyDescent="0.25">
      <c r="A18" s="399">
        <f t="shared" si="0"/>
        <v>11</v>
      </c>
      <c r="B18" s="517" t="str">
        <f>+B17</f>
        <v>Customer 9</v>
      </c>
      <c r="C18" s="508"/>
      <c r="D18" s="509"/>
      <c r="E18" s="510"/>
      <c r="F18" s="511"/>
      <c r="G18" s="511"/>
      <c r="H18" s="515"/>
      <c r="I18" s="512"/>
      <c r="J18" s="514"/>
      <c r="K18" s="514"/>
      <c r="L18" s="514">
        <f>+'[2]Cust 9 Sch 40 Adj'!$C$59</f>
        <v>1.6376999999999999E-2</v>
      </c>
      <c r="M18" s="515">
        <f>+'[2]Cust 9 Sch 40 Adj'!$D$59</f>
        <v>160167.06</v>
      </c>
      <c r="N18" s="511">
        <f t="shared" si="1"/>
        <v>9780000</v>
      </c>
      <c r="O18" s="86" t="s">
        <v>244</v>
      </c>
      <c r="P18" s="93"/>
      <c r="Q18" s="518"/>
      <c r="R18" s="518"/>
    </row>
    <row r="19" spans="1:18" s="57" customFormat="1" x14ac:dyDescent="0.25">
      <c r="A19" s="399">
        <f t="shared" si="0"/>
        <v>12</v>
      </c>
      <c r="B19" s="517" t="str">
        <f>+'Dist Line Transformers 2017'!W6</f>
        <v>Customer 10</v>
      </c>
      <c r="C19" s="508">
        <f ca="1">ROUND(D19*E19,2)</f>
        <v>1.5</v>
      </c>
      <c r="D19" s="509">
        <f>+'Dist Line Transformers 2017'!X32</f>
        <v>0.95850000000000002</v>
      </c>
      <c r="E19" s="510">
        <f ca="1">+'Tariff Summary'!E39</f>
        <v>1.57</v>
      </c>
      <c r="F19" s="511">
        <f>+'Dist Line Transformers 2017'!X34</f>
        <v>45839</v>
      </c>
      <c r="G19" s="511">
        <f>+'Dist Line Transformers 2017'!X30</f>
        <v>47824</v>
      </c>
      <c r="H19" s="515">
        <f ca="1">+G19*C19</f>
        <v>71736</v>
      </c>
      <c r="I19" s="512"/>
      <c r="J19" s="508">
        <f>+'Tariff Summary'!E55</f>
        <v>1.42</v>
      </c>
      <c r="K19" s="513">
        <f t="shared" si="4"/>
        <v>0.92253521126760574</v>
      </c>
      <c r="L19" s="508">
        <f>+'[2]Customer 10'!$C$56</f>
        <v>1.31</v>
      </c>
      <c r="M19" s="515">
        <f>+'[2]Customer 10'!$D$56</f>
        <v>62649.440000000002</v>
      </c>
      <c r="N19" s="511">
        <f t="shared" si="1"/>
        <v>47824</v>
      </c>
      <c r="O19" s="57" t="s">
        <v>118</v>
      </c>
      <c r="P19" s="93"/>
      <c r="Q19" s="518"/>
      <c r="R19" s="518"/>
    </row>
    <row r="20" spans="1:18" s="57" customFormat="1" x14ac:dyDescent="0.25">
      <c r="A20" s="399">
        <f t="shared" si="0"/>
        <v>13</v>
      </c>
      <c r="B20" s="517" t="str">
        <f>+'Dist Line Transformers 2017'!Y6</f>
        <v>Customer 11</v>
      </c>
      <c r="C20" s="508">
        <f ca="1">ROUND(D20*E20,2)</f>
        <v>1.98</v>
      </c>
      <c r="D20" s="509">
        <f>+'Dist Line Transformers 2017'!Z32</f>
        <v>0.94930000000000003</v>
      </c>
      <c r="E20" s="510">
        <f ca="1">+'Tariff Summary'!E40</f>
        <v>2.09</v>
      </c>
      <c r="F20" s="511">
        <f>+'Dist Line Transformers 2017'!Z34</f>
        <v>51195</v>
      </c>
      <c r="G20" s="511">
        <f>+'Dist Line Transformers 2017'!Z30</f>
        <v>53929</v>
      </c>
      <c r="H20" s="515">
        <f ca="1">+G20*C20</f>
        <v>106779.42</v>
      </c>
      <c r="I20" s="512"/>
      <c r="J20" s="508">
        <f>+'Tariff Summary'!E56</f>
        <v>2.27</v>
      </c>
      <c r="K20" s="513">
        <f t="shared" si="4"/>
        <v>0.92070484581497791</v>
      </c>
      <c r="L20" s="508">
        <f>+'[2]Customer 11'!$C$56</f>
        <v>2.09</v>
      </c>
      <c r="M20" s="515">
        <f>+'[2]Customer 11'!$D$56</f>
        <v>110326.91999999998</v>
      </c>
      <c r="N20" s="511">
        <f t="shared" si="1"/>
        <v>52788</v>
      </c>
      <c r="O20" s="57" t="s">
        <v>118</v>
      </c>
      <c r="P20" s="93"/>
      <c r="Q20" s="518"/>
      <c r="R20" s="518"/>
    </row>
    <row r="21" spans="1:18" s="57" customFormat="1" x14ac:dyDescent="0.25">
      <c r="A21" s="399">
        <f t="shared" si="0"/>
        <v>14</v>
      </c>
      <c r="B21" s="517" t="str">
        <f>+B20</f>
        <v>Customer 11</v>
      </c>
      <c r="C21" s="508"/>
      <c r="D21" s="509"/>
      <c r="E21" s="510"/>
      <c r="F21" s="511"/>
      <c r="G21" s="511"/>
      <c r="H21" s="515"/>
      <c r="I21" s="512"/>
      <c r="J21" s="514"/>
      <c r="K21" s="514"/>
      <c r="L21" s="514">
        <f>+'[2]Customer 11'!$C$57</f>
        <v>1.6131E-2</v>
      </c>
      <c r="M21" s="515">
        <f>+'[2]Customer 11'!$D$57</f>
        <v>10663.236239999998</v>
      </c>
      <c r="N21" s="511">
        <f t="shared" si="1"/>
        <v>661040</v>
      </c>
      <c r="O21" s="86" t="s">
        <v>212</v>
      </c>
      <c r="P21" s="93"/>
      <c r="Q21" s="518"/>
      <c r="R21" s="518"/>
    </row>
    <row r="22" spans="1:18" s="57" customFormat="1" x14ac:dyDescent="0.25">
      <c r="A22" s="399">
        <f t="shared" si="0"/>
        <v>15</v>
      </c>
      <c r="B22" s="517" t="str">
        <f>+'Dist Line Transformers 2017'!AA6</f>
        <v>Customer 12</v>
      </c>
      <c r="C22" s="508">
        <f ca="1">ROUND(D22*E22,2)</f>
        <v>0.82</v>
      </c>
      <c r="D22" s="509">
        <f>+'Dist Line Transformers 2017'!AB32</f>
        <v>0.97319999999999995</v>
      </c>
      <c r="E22" s="510">
        <f ca="1">+'Tariff Summary'!E41</f>
        <v>0.84</v>
      </c>
      <c r="F22" s="511">
        <f>+'Dist Line Transformers 2017'!AB34</f>
        <v>26640</v>
      </c>
      <c r="G22" s="511">
        <f>+'Dist Line Transformers 2017'!AB30</f>
        <v>27373</v>
      </c>
      <c r="H22" s="515">
        <f ca="1">+G22*C22</f>
        <v>22445.859999999997</v>
      </c>
      <c r="I22" s="512"/>
      <c r="J22" s="508">
        <f>+'Tariff Summary'!E57</f>
        <v>0.63</v>
      </c>
      <c r="K22" s="513">
        <f t="shared" si="4"/>
        <v>0.92063492063492058</v>
      </c>
      <c r="L22" s="508">
        <f>+'[2]Cust 12 Sch 40 Adjustment'!$C$56</f>
        <v>0.57999999999999996</v>
      </c>
      <c r="M22" s="515">
        <f>+'[2]Cust 12 Sch 40 Adjustment'!$D$56</f>
        <v>15874.019999999999</v>
      </c>
      <c r="N22" s="511">
        <f t="shared" si="1"/>
        <v>27369</v>
      </c>
      <c r="O22" s="57" t="s">
        <v>118</v>
      </c>
      <c r="P22" s="93"/>
      <c r="Q22" s="518"/>
      <c r="R22" s="518"/>
    </row>
    <row r="23" spans="1:18" s="57" customFormat="1" x14ac:dyDescent="0.25">
      <c r="A23" s="399">
        <f t="shared" si="0"/>
        <v>16</v>
      </c>
      <c r="B23" s="517" t="str">
        <f>+B22</f>
        <v>Customer 12</v>
      </c>
      <c r="C23" s="508"/>
      <c r="D23" s="509"/>
      <c r="E23" s="510"/>
      <c r="F23" s="511"/>
      <c r="G23" s="511"/>
      <c r="H23" s="515"/>
      <c r="I23" s="512"/>
      <c r="J23" s="508"/>
      <c r="K23" s="513"/>
      <c r="L23" s="514">
        <f>+'[2]Cust 12 Sch 40 Adjustment'!$C$57</f>
        <v>1.6131E-2</v>
      </c>
      <c r="M23" s="515">
        <f>+'[2]Cust 12 Sch 40 Adjustment'!$D$57</f>
        <v>1552.28613</v>
      </c>
      <c r="N23" s="511">
        <f t="shared" ref="N23" si="5">ROUND(+M23/L23,0)</f>
        <v>96230</v>
      </c>
      <c r="O23" s="86" t="s">
        <v>212</v>
      </c>
      <c r="P23" s="93"/>
      <c r="Q23" s="518"/>
      <c r="R23" s="518"/>
    </row>
    <row r="24" spans="1:18" s="57" customFormat="1" x14ac:dyDescent="0.25">
      <c r="A24" s="399">
        <f t="shared" si="0"/>
        <v>17</v>
      </c>
      <c r="B24" s="517"/>
      <c r="C24" s="508"/>
      <c r="D24" s="509"/>
      <c r="E24" s="510"/>
      <c r="F24" s="511"/>
      <c r="G24" s="511"/>
      <c r="H24" s="515"/>
      <c r="I24" s="512"/>
      <c r="J24" s="514"/>
      <c r="K24" s="514"/>
      <c r="L24" s="514"/>
      <c r="M24" s="515"/>
      <c r="N24" s="511"/>
      <c r="O24" s="86"/>
      <c r="P24" s="93"/>
    </row>
    <row r="25" spans="1:18" s="57" customFormat="1" x14ac:dyDescent="0.25">
      <c r="A25" s="399">
        <f t="shared" si="0"/>
        <v>18</v>
      </c>
      <c r="B25" s="517"/>
      <c r="C25" s="508"/>
      <c r="D25" s="509"/>
      <c r="E25" s="510"/>
      <c r="F25" s="511"/>
      <c r="G25" s="511"/>
      <c r="H25" s="515"/>
      <c r="I25" s="512"/>
      <c r="J25" s="514"/>
      <c r="K25" s="514"/>
      <c r="L25" s="514"/>
      <c r="M25" s="515"/>
      <c r="N25" s="511"/>
      <c r="O25" s="86"/>
      <c r="P25" s="93"/>
    </row>
    <row r="26" spans="1:18" s="57" customFormat="1" x14ac:dyDescent="0.25">
      <c r="A26" s="399">
        <f t="shared" si="0"/>
        <v>19</v>
      </c>
      <c r="B26" s="517"/>
      <c r="C26" s="508"/>
      <c r="D26" s="509"/>
      <c r="E26" s="510"/>
      <c r="F26" s="511"/>
      <c r="G26" s="511"/>
      <c r="H26" s="515"/>
      <c r="I26" s="512"/>
      <c r="J26" s="514"/>
      <c r="K26" s="514"/>
      <c r="L26" s="514"/>
      <c r="M26" s="515"/>
      <c r="N26" s="511"/>
      <c r="O26" s="86"/>
      <c r="P26" s="93"/>
    </row>
    <row r="27" spans="1:18" s="57" customFormat="1" x14ac:dyDescent="0.25">
      <c r="A27" s="399">
        <f t="shared" si="0"/>
        <v>20</v>
      </c>
      <c r="B27" s="517"/>
      <c r="C27" s="508"/>
      <c r="D27" s="516"/>
      <c r="E27" s="516"/>
      <c r="F27" s="511"/>
      <c r="G27" s="511"/>
      <c r="H27" s="515"/>
      <c r="I27" s="512"/>
      <c r="J27" s="514"/>
      <c r="K27" s="514"/>
      <c r="L27" s="514"/>
      <c r="M27" s="515"/>
      <c r="N27" s="511"/>
      <c r="O27" s="86"/>
      <c r="P27" s="93"/>
    </row>
    <row r="28" spans="1:18" s="57" customFormat="1" x14ac:dyDescent="0.25">
      <c r="A28" s="399">
        <f t="shared" si="0"/>
        <v>21</v>
      </c>
      <c r="B28" s="517"/>
      <c r="C28" s="508"/>
      <c r="D28" s="516"/>
      <c r="E28" s="516"/>
      <c r="F28" s="511"/>
      <c r="G28" s="511"/>
      <c r="H28" s="515"/>
      <c r="I28" s="512"/>
      <c r="J28" s="508"/>
      <c r="K28" s="508"/>
      <c r="L28" s="508"/>
      <c r="M28" s="515"/>
      <c r="N28" s="511"/>
      <c r="P28" s="93"/>
    </row>
    <row r="29" spans="1:18" s="57" customFormat="1" x14ac:dyDescent="0.25">
      <c r="A29" s="399">
        <f t="shared" si="0"/>
        <v>22</v>
      </c>
      <c r="B29" s="517"/>
      <c r="C29" s="510"/>
      <c r="D29" s="510"/>
      <c r="E29" s="510"/>
      <c r="F29" s="511"/>
      <c r="G29" s="511"/>
      <c r="H29" s="515"/>
      <c r="I29" s="512"/>
      <c r="J29" s="514"/>
      <c r="K29" s="514"/>
      <c r="L29" s="514"/>
      <c r="M29" s="515"/>
      <c r="N29" s="511"/>
      <c r="O29" s="86"/>
      <c r="P29" s="93"/>
    </row>
    <row r="30" spans="1:18" x14ac:dyDescent="0.25">
      <c r="A30" s="396">
        <f t="shared" si="0"/>
        <v>23</v>
      </c>
      <c r="B30" s="26" t="s">
        <v>38</v>
      </c>
      <c r="F30" s="77">
        <f>SUM(F8:F29)</f>
        <v>1198408</v>
      </c>
      <c r="G30" s="77">
        <f>SUM(G8:G29)</f>
        <v>1297937</v>
      </c>
      <c r="H30" s="34">
        <f ca="1">SUM(H8:H29)</f>
        <v>4898827.5</v>
      </c>
      <c r="I30" s="34"/>
      <c r="M30" s="34">
        <f>SUM(M8:M29)</f>
        <v>3441172.5939699998</v>
      </c>
      <c r="N30" s="75">
        <f>SUM(N8,N9,N11:N13,N14:N17,N19:N20,N22)</f>
        <v>1233635</v>
      </c>
      <c r="O30" s="26" t="str">
        <f>+O22</f>
        <v>C kW</v>
      </c>
      <c r="Q30" s="34"/>
      <c r="R30" s="34"/>
    </row>
    <row r="31" spans="1:18" x14ac:dyDescent="0.25">
      <c r="A31" s="211">
        <f t="shared" si="0"/>
        <v>24</v>
      </c>
      <c r="B31" s="68" t="s">
        <v>187</v>
      </c>
      <c r="F31" s="75">
        <f>+'Bill Determinants'!E30</f>
        <v>1198408</v>
      </c>
      <c r="G31" s="75">
        <f>+'Bill Determinants'!C30</f>
        <v>1297937</v>
      </c>
      <c r="H31" s="34">
        <f ca="1">SUMPRODUCT(E8:E26,F8:F26)</f>
        <v>4899981.78</v>
      </c>
      <c r="M31" s="34">
        <f ca="1">+'Bill Determinants'!G37</f>
        <v>3441161.8012620001</v>
      </c>
      <c r="N31" s="75">
        <f>SUM(,N21,N23:N24,N26)</f>
        <v>757270</v>
      </c>
      <c r="O31" s="26">
        <f>+O24</f>
        <v>0</v>
      </c>
    </row>
    <row r="32" spans="1:18" x14ac:dyDescent="0.25">
      <c r="A32" s="211">
        <f t="shared" si="0"/>
        <v>25</v>
      </c>
      <c r="B32" s="68" t="s">
        <v>187</v>
      </c>
      <c r="F32" s="75">
        <f>+F31-F30</f>
        <v>0</v>
      </c>
      <c r="G32" s="75">
        <f>+G31-G30</f>
        <v>0</v>
      </c>
      <c r="H32" s="34">
        <f ca="1">+H31-H30</f>
        <v>1154.2800000002608</v>
      </c>
      <c r="M32" s="78">
        <f ca="1">+M31-M30</f>
        <v>-10.792707999702543</v>
      </c>
      <c r="N32" s="75">
        <f>SUM(N10,N25)</f>
        <v>18705600</v>
      </c>
      <c r="O32" s="26">
        <f>+O25</f>
        <v>0</v>
      </c>
    </row>
    <row r="33" spans="1:15" x14ac:dyDescent="0.25">
      <c r="A33" s="211">
        <f t="shared" si="0"/>
        <v>26</v>
      </c>
      <c r="N33" s="75">
        <f>SUM(N18,N27)</f>
        <v>9780000</v>
      </c>
      <c r="O33" s="26">
        <f>+O27</f>
        <v>0</v>
      </c>
    </row>
    <row r="34" spans="1:15" x14ac:dyDescent="0.25">
      <c r="A34" s="167"/>
      <c r="H34" s="174"/>
    </row>
    <row r="36" spans="1:15" x14ac:dyDescent="0.25">
      <c r="G36" s="78"/>
      <c r="H36" s="34"/>
    </row>
    <row r="37" spans="1:15" x14ac:dyDescent="0.25">
      <c r="G37" s="78"/>
      <c r="H37" s="34"/>
    </row>
    <row r="38" spans="1:15" x14ac:dyDescent="0.25">
      <c r="G38" s="78"/>
      <c r="H38" s="34"/>
    </row>
    <row r="39" spans="1:15" x14ac:dyDescent="0.25">
      <c r="G39" s="78"/>
      <c r="H39" s="34"/>
    </row>
    <row r="40" spans="1:15" x14ac:dyDescent="0.25">
      <c r="G40" s="78"/>
      <c r="H40" s="34"/>
    </row>
    <row r="41" spans="1:15" x14ac:dyDescent="0.25">
      <c r="G41" s="78"/>
      <c r="H41" s="34"/>
    </row>
    <row r="42" spans="1:15" x14ac:dyDescent="0.25">
      <c r="G42" s="78"/>
      <c r="H42" s="34"/>
    </row>
    <row r="43" spans="1:15" x14ac:dyDescent="0.25">
      <c r="G43" s="78"/>
      <c r="H43" s="34"/>
    </row>
    <row r="44" spans="1:15" x14ac:dyDescent="0.25">
      <c r="G44" s="78"/>
      <c r="H44" s="34"/>
    </row>
    <row r="45" spans="1:15" x14ac:dyDescent="0.25">
      <c r="G45" s="78"/>
      <c r="H45" s="34"/>
    </row>
    <row r="46" spans="1:15" x14ac:dyDescent="0.25">
      <c r="G46" s="78"/>
      <c r="H46" s="34"/>
    </row>
    <row r="47" spans="1:15" x14ac:dyDescent="0.25">
      <c r="G47" s="78"/>
      <c r="H47" s="34"/>
    </row>
    <row r="48" spans="1:15" x14ac:dyDescent="0.25">
      <c r="G48" s="78"/>
      <c r="H48" s="34"/>
    </row>
    <row r="49" spans="7:8" x14ac:dyDescent="0.25">
      <c r="G49" s="78"/>
      <c r="H49" s="34"/>
    </row>
    <row r="50" spans="7:8" x14ac:dyDescent="0.25">
      <c r="G50" s="78"/>
      <c r="H50" s="34"/>
    </row>
    <row r="51" spans="7:8" x14ac:dyDescent="0.25">
      <c r="G51" s="78"/>
      <c r="H51" s="34"/>
    </row>
    <row r="52" spans="7:8" x14ac:dyDescent="0.25">
      <c r="G52" s="78"/>
      <c r="H52" s="34"/>
    </row>
    <row r="53" spans="7:8" x14ac:dyDescent="0.25">
      <c r="G53" s="78"/>
      <c r="H53" s="34"/>
    </row>
    <row r="54" spans="7:8" x14ac:dyDescent="0.25">
      <c r="G54" s="78"/>
      <c r="H54" s="34"/>
    </row>
    <row r="55" spans="7:8" x14ac:dyDescent="0.25">
      <c r="G55" s="78"/>
      <c r="H55" s="34"/>
    </row>
    <row r="56" spans="7:8" x14ac:dyDescent="0.25">
      <c r="G56" s="78"/>
      <c r="H56" s="34"/>
    </row>
    <row r="57" spans="7:8" x14ac:dyDescent="0.25">
      <c r="G57" s="78"/>
      <c r="H57" s="34"/>
    </row>
    <row r="58" spans="7:8" x14ac:dyDescent="0.25">
      <c r="G58" s="78"/>
      <c r="H58" s="34"/>
    </row>
  </sheetData>
  <mergeCells count="5">
    <mergeCell ref="J5:O5"/>
    <mergeCell ref="C5:H5"/>
    <mergeCell ref="A1:O1"/>
    <mergeCell ref="A2:O2"/>
    <mergeCell ref="A3:O3"/>
  </mergeCells>
  <phoneticPr fontId="0" type="noConversion"/>
  <printOptions horizontalCentered="1"/>
  <pageMargins left="0.25" right="0.25" top="1.1000000000000001" bottom="1" header="0.5" footer="0.5"/>
  <pageSetup scale="67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zoomScale="90" zoomScaleNormal="90" workbookViewId="0">
      <pane xSplit="4" ySplit="7" topLeftCell="E8" activePane="bottomRight" state="frozen"/>
      <selection sqref="A1:F1"/>
      <selection pane="topRight" sqref="A1:F1"/>
      <selection pane="bottomLeft" sqref="A1:F1"/>
      <selection pane="bottomRight" activeCell="E8" sqref="E8"/>
    </sheetView>
  </sheetViews>
  <sheetFormatPr defaultColWidth="9.109375" defaultRowHeight="13.2" x14ac:dyDescent="0.25"/>
  <cols>
    <col min="1" max="1" width="4.44140625" style="26" customWidth="1"/>
    <col min="2" max="2" width="40" style="26" bestFit="1" customWidth="1"/>
    <col min="3" max="3" width="10.44140625" style="26" bestFit="1" customWidth="1"/>
    <col min="4" max="4" width="11.44140625" style="26" bestFit="1" customWidth="1"/>
    <col min="5" max="5" width="11.77734375" style="26" customWidth="1"/>
    <col min="6" max="6" width="9.88671875" style="26" bestFit="1" customWidth="1"/>
    <col min="7" max="7" width="11.77734375" style="26" customWidth="1"/>
    <col min="8" max="8" width="9.88671875" style="26" bestFit="1" customWidth="1"/>
    <col min="9" max="9" width="11.77734375" style="26" customWidth="1"/>
    <col min="10" max="10" width="8.21875" style="26" bestFit="1" customWidth="1"/>
    <col min="11" max="11" width="11.77734375" style="26" customWidth="1"/>
    <col min="12" max="12" width="8.21875" style="26" bestFit="1" customWidth="1"/>
    <col min="13" max="13" width="11.77734375" style="26" customWidth="1"/>
    <col min="14" max="14" width="7.88671875" style="26" bestFit="1" customWidth="1"/>
    <col min="15" max="15" width="11.77734375" style="26" customWidth="1"/>
    <col min="16" max="16" width="8.21875" style="26" bestFit="1" customWidth="1"/>
    <col min="17" max="18" width="8.21875" style="26" customWidth="1"/>
    <col min="19" max="19" width="11.77734375" style="26" customWidth="1"/>
    <col min="20" max="20" width="7.88671875" style="26" bestFit="1" customWidth="1"/>
    <col min="21" max="21" width="11.77734375" style="26" customWidth="1"/>
    <col min="22" max="22" width="8.88671875" style="26" bestFit="1" customWidth="1"/>
    <col min="23" max="23" width="11.77734375" style="26" customWidth="1"/>
    <col min="24" max="24" width="8.88671875" style="26" bestFit="1" customWidth="1"/>
    <col min="25" max="25" width="11.77734375" style="26" customWidth="1"/>
    <col min="26" max="26" width="8.88671875" style="26" bestFit="1" customWidth="1"/>
    <col min="27" max="27" width="11.77734375" style="26" customWidth="1"/>
    <col min="28" max="28" width="7.88671875" style="26" bestFit="1" customWidth="1"/>
    <col min="29" max="29" width="11.77734375" style="26" customWidth="1"/>
    <col min="30" max="30" width="8.88671875" style="26" bestFit="1" customWidth="1"/>
    <col min="31" max="31" width="11.77734375" style="26" customWidth="1"/>
    <col min="32" max="32" width="8.88671875" style="26" bestFit="1" customWidth="1"/>
    <col min="33" max="34" width="9.109375" style="26"/>
    <col min="35" max="35" width="11.109375" style="26" customWidth="1"/>
    <col min="36" max="37" width="11.44140625" style="26" bestFit="1" customWidth="1"/>
    <col min="38" max="38" width="9.109375" style="26"/>
    <col min="39" max="39" width="11.44140625" style="26" bestFit="1" customWidth="1"/>
    <col min="40" max="43" width="9.109375" style="26"/>
    <col min="44" max="44" width="10.44140625" style="26" bestFit="1" customWidth="1"/>
    <col min="45" max="16384" width="9.109375" style="26"/>
  </cols>
  <sheetData>
    <row r="1" spans="1:44" x14ac:dyDescent="0.25">
      <c r="A1" s="616" t="s">
        <v>19</v>
      </c>
      <c r="B1" s="616"/>
      <c r="C1" s="616"/>
      <c r="D1" s="61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44" x14ac:dyDescent="0.25">
      <c r="A2" s="616" t="s">
        <v>20</v>
      </c>
      <c r="B2" s="616"/>
      <c r="C2" s="616"/>
      <c r="D2" s="616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44" x14ac:dyDescent="0.25">
      <c r="A3" s="617" t="s">
        <v>407</v>
      </c>
      <c r="B3" s="616"/>
      <c r="C3" s="616"/>
      <c r="D3" s="616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44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44" ht="13.8" thickBot="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44" s="84" customFormat="1" ht="31.8" customHeight="1" thickBot="1" x14ac:dyDescent="0.3">
      <c r="B6" s="99"/>
      <c r="C6" s="99"/>
      <c r="D6" s="99"/>
      <c r="E6" s="618" t="str">
        <f>+'Distribution Subs 2017'!D6</f>
        <v>Customer 1</v>
      </c>
      <c r="F6" s="615"/>
      <c r="G6" s="618" t="str">
        <f>+'Distribution Subs 2017'!Y6</f>
        <v>Customer 2</v>
      </c>
      <c r="H6" s="615"/>
      <c r="I6" s="618" t="str">
        <f>+'Distribution Subs 2017'!AI6</f>
        <v>Customer 3</v>
      </c>
      <c r="J6" s="615"/>
      <c r="K6" s="618" t="str">
        <f>+'Distribution Subs 2017'!AO6</f>
        <v>Customer 4</v>
      </c>
      <c r="L6" s="615"/>
      <c r="M6" s="618" t="str">
        <f>+'Distribution Subs 2017'!AT6</f>
        <v>Customer 5</v>
      </c>
      <c r="N6" s="615"/>
      <c r="O6" s="618" t="str">
        <f>+'Distribution Subs 2017'!AY6</f>
        <v>Customer 6</v>
      </c>
      <c r="P6" s="615"/>
      <c r="Q6" s="614" t="str">
        <f>+'Distribution Subs 2017'!CE6</f>
        <v>Customer 7</v>
      </c>
      <c r="R6" s="615"/>
      <c r="S6" s="614" t="str">
        <f>+'Distribution Subs 2017'!BC6</f>
        <v>Customer 8</v>
      </c>
      <c r="T6" s="615"/>
      <c r="U6" s="614" t="str">
        <f>+'Distribution Subs 2017'!BG6</f>
        <v>Customer 9</v>
      </c>
      <c r="V6" s="615"/>
      <c r="W6" s="614" t="str">
        <f>+'Distribution Subs 2017'!BM6</f>
        <v>Customer 10</v>
      </c>
      <c r="X6" s="615"/>
      <c r="Y6" s="614" t="str">
        <f>+'Distribution Subs 2017'!BP6</f>
        <v>Customer 11</v>
      </c>
      <c r="Z6" s="615"/>
      <c r="AA6" s="614" t="str">
        <f>+'Distribution Subs 2017'!BS6</f>
        <v>Customer 12</v>
      </c>
      <c r="AB6" s="615"/>
      <c r="AC6" s="614"/>
      <c r="AD6" s="615"/>
      <c r="AE6" s="614"/>
      <c r="AF6" s="615"/>
    </row>
    <row r="7" spans="1:44" ht="66.599999999999994" thickBot="1" x14ac:dyDescent="0.3">
      <c r="A7" s="101" t="s">
        <v>172</v>
      </c>
      <c r="B7" s="102" t="s">
        <v>43</v>
      </c>
      <c r="C7" s="100" t="s">
        <v>44</v>
      </c>
      <c r="D7" s="100" t="s">
        <v>45</v>
      </c>
      <c r="E7" s="520" t="s">
        <v>46</v>
      </c>
      <c r="F7" s="519" t="s">
        <v>47</v>
      </c>
      <c r="G7" s="520" t="s">
        <v>46</v>
      </c>
      <c r="H7" s="519" t="s">
        <v>47</v>
      </c>
      <c r="I7" s="521" t="s">
        <v>46</v>
      </c>
      <c r="J7" s="519" t="s">
        <v>47</v>
      </c>
      <c r="K7" s="520" t="s">
        <v>46</v>
      </c>
      <c r="L7" s="519" t="s">
        <v>47</v>
      </c>
      <c r="M7" s="520" t="s">
        <v>46</v>
      </c>
      <c r="N7" s="519" t="s">
        <v>47</v>
      </c>
      <c r="O7" s="520" t="s">
        <v>46</v>
      </c>
      <c r="P7" s="519" t="s">
        <v>47</v>
      </c>
      <c r="Q7" s="520" t="s">
        <v>46</v>
      </c>
      <c r="R7" s="519" t="s">
        <v>47</v>
      </c>
      <c r="S7" s="520" t="s">
        <v>46</v>
      </c>
      <c r="T7" s="519" t="s">
        <v>47</v>
      </c>
      <c r="U7" s="520" t="s">
        <v>46</v>
      </c>
      <c r="V7" s="519" t="s">
        <v>47</v>
      </c>
      <c r="W7" s="520" t="s">
        <v>46</v>
      </c>
      <c r="X7" s="519" t="s">
        <v>47</v>
      </c>
      <c r="Y7" s="520" t="s">
        <v>46</v>
      </c>
      <c r="Z7" s="519" t="s">
        <v>47</v>
      </c>
      <c r="AA7" s="520" t="s">
        <v>46</v>
      </c>
      <c r="AB7" s="519" t="s">
        <v>47</v>
      </c>
      <c r="AC7" s="520"/>
      <c r="AD7" s="519"/>
      <c r="AE7" s="520"/>
      <c r="AF7" s="519"/>
      <c r="AH7" s="236" t="s">
        <v>272</v>
      </c>
      <c r="AI7" s="236" t="s">
        <v>271</v>
      </c>
      <c r="AJ7" s="236" t="s">
        <v>273</v>
      </c>
      <c r="AK7" s="237" t="s">
        <v>274</v>
      </c>
      <c r="AL7" s="236" t="s">
        <v>275</v>
      </c>
      <c r="AM7" s="236" t="s">
        <v>276</v>
      </c>
      <c r="AP7" s="100" t="s">
        <v>300</v>
      </c>
      <c r="AQ7" s="100"/>
      <c r="AR7" s="100" t="s">
        <v>301</v>
      </c>
    </row>
    <row r="8" spans="1:44" x14ac:dyDescent="0.25">
      <c r="A8" s="103">
        <v>1</v>
      </c>
      <c r="B8" s="10" t="s">
        <v>261</v>
      </c>
      <c r="C8" s="95">
        <f>+AR8</f>
        <v>21.937857381618752</v>
      </c>
      <c r="D8" s="95">
        <f t="shared" ref="D8" si="0">+C8*12</f>
        <v>263.25428857942501</v>
      </c>
      <c r="E8" s="522">
        <v>0</v>
      </c>
      <c r="F8" s="469">
        <f>ROUND(+E8*$D8,0)</f>
        <v>0</v>
      </c>
      <c r="G8" s="522">
        <v>0</v>
      </c>
      <c r="H8" s="469">
        <f>ROUND(+G8*$D8,0)</f>
        <v>0</v>
      </c>
      <c r="I8" s="522">
        <v>0</v>
      </c>
      <c r="J8" s="469">
        <f>ROUND(+I8*$D8,0)</f>
        <v>0</v>
      </c>
      <c r="K8" s="522">
        <v>0</v>
      </c>
      <c r="L8" s="469">
        <f>ROUND(+K8*$D8,0)</f>
        <v>0</v>
      </c>
      <c r="M8" s="522">
        <v>3</v>
      </c>
      <c r="N8" s="469">
        <f>ROUND(+M8*$D8,0)</f>
        <v>790</v>
      </c>
      <c r="O8" s="522">
        <v>0</v>
      </c>
      <c r="P8" s="469">
        <f>ROUND(+O8*$D8,0)</f>
        <v>0</v>
      </c>
      <c r="Q8" s="522">
        <v>0</v>
      </c>
      <c r="R8" s="469">
        <f>ROUND(+Q8*$D8,0)</f>
        <v>0</v>
      </c>
      <c r="S8" s="522">
        <v>0</v>
      </c>
      <c r="T8" s="469">
        <f>ROUND(+S8*$D8,0)</f>
        <v>0</v>
      </c>
      <c r="U8" s="522">
        <v>0</v>
      </c>
      <c r="V8" s="469">
        <f>ROUND(+U8*$D8,0)</f>
        <v>0</v>
      </c>
      <c r="W8" s="522">
        <v>0</v>
      </c>
      <c r="X8" s="469">
        <f>ROUND(+W8*$D8,0)</f>
        <v>0</v>
      </c>
      <c r="Y8" s="522">
        <v>0</v>
      </c>
      <c r="Z8" s="469">
        <f>ROUND(+Y8*$D8,0)</f>
        <v>0</v>
      </c>
      <c r="AA8" s="522">
        <v>0</v>
      </c>
      <c r="AB8" s="469">
        <f>ROUND(+AA8*$D8,0)</f>
        <v>0</v>
      </c>
      <c r="AC8" s="522"/>
      <c r="AD8" s="469"/>
      <c r="AE8" s="522"/>
      <c r="AF8" s="469"/>
      <c r="AH8" s="75">
        <f>SUM(AE8,AC8,AA8,Y8,W8,U8,S8,O8,M8,K8,I8,G8,E8)</f>
        <v>3</v>
      </c>
      <c r="AI8" s="34">
        <v>2674.6351597567718</v>
      </c>
      <c r="AJ8" s="34">
        <f>+AI8*AH8</f>
        <v>8023.9054792703155</v>
      </c>
      <c r="AK8" s="34">
        <f>+AJ8*0.5</f>
        <v>4011.9527396351577</v>
      </c>
      <c r="AL8" s="78">
        <f>+AK8</f>
        <v>4011.9527396351577</v>
      </c>
      <c r="AP8" s="95">
        <v>9.39</v>
      </c>
      <c r="AQ8" s="95"/>
      <c r="AR8" s="95">
        <v>21.937857381618752</v>
      </c>
    </row>
    <row r="9" spans="1:44" x14ac:dyDescent="0.25">
      <c r="A9" s="103">
        <f>+A8+1</f>
        <v>2</v>
      </c>
      <c r="B9" s="11" t="s">
        <v>50</v>
      </c>
      <c r="C9" s="95">
        <f t="shared" ref="C9:C23" si="1">+AR9</f>
        <v>30.022872459401253</v>
      </c>
      <c r="D9" s="95">
        <f t="shared" ref="D9:D14" si="2">+C9*12</f>
        <v>360.27446951281502</v>
      </c>
      <c r="E9" s="522">
        <v>0</v>
      </c>
      <c r="F9" s="469">
        <f>ROUND(+E9*$D9,0)</f>
        <v>0</v>
      </c>
      <c r="G9" s="522">
        <v>0</v>
      </c>
      <c r="H9" s="469">
        <f>ROUND(+G9*$D9,0)</f>
        <v>0</v>
      </c>
      <c r="I9" s="522">
        <v>0</v>
      </c>
      <c r="J9" s="469">
        <f>ROUND(+I9*$D9,0)</f>
        <v>0</v>
      </c>
      <c r="K9" s="522">
        <v>0</v>
      </c>
      <c r="L9" s="469">
        <f>ROUND(+K9*$D9,0)</f>
        <v>0</v>
      </c>
      <c r="M9" s="522">
        <v>0</v>
      </c>
      <c r="N9" s="469">
        <f>ROUND(+M9*$D9,0)</f>
        <v>0</v>
      </c>
      <c r="O9" s="522">
        <v>0</v>
      </c>
      <c r="P9" s="469">
        <f>ROUND(+O9*$D9,0)</f>
        <v>0</v>
      </c>
      <c r="Q9" s="522">
        <v>0</v>
      </c>
      <c r="R9" s="469">
        <f>ROUND(+Q9*$D9,0)</f>
        <v>0</v>
      </c>
      <c r="S9" s="522">
        <v>0</v>
      </c>
      <c r="T9" s="469">
        <f>ROUND(+S9*$D9,0)</f>
        <v>0</v>
      </c>
      <c r="U9" s="522">
        <v>0</v>
      </c>
      <c r="V9" s="469">
        <f>ROUND(+U9*$D9,0)</f>
        <v>0</v>
      </c>
      <c r="W9" s="522">
        <v>0</v>
      </c>
      <c r="X9" s="469">
        <f>ROUND(+W9*$D9,0)</f>
        <v>0</v>
      </c>
      <c r="Y9" s="522">
        <v>0</v>
      </c>
      <c r="Z9" s="469">
        <f>ROUND(+Y9*$D9,0)</f>
        <v>0</v>
      </c>
      <c r="AA9" s="522">
        <v>0</v>
      </c>
      <c r="AB9" s="469">
        <f>ROUND(+AA9*$D9,0)</f>
        <v>0</v>
      </c>
      <c r="AC9" s="522"/>
      <c r="AD9" s="469"/>
      <c r="AE9" s="522"/>
      <c r="AF9" s="469"/>
      <c r="AH9" s="75">
        <f t="shared" ref="AH9:AH25" si="3">SUM(AE9,AC9,AA9,Y9,W9,U9,S9,O9,M9,K9,I9,G9,E9)</f>
        <v>0</v>
      </c>
      <c r="AI9" s="34">
        <v>2879.7032245370374</v>
      </c>
      <c r="AJ9" s="34">
        <f>+AI9*AH9</f>
        <v>0</v>
      </c>
      <c r="AK9" s="34">
        <f t="shared" ref="AK9:AK23" si="4">+AJ9*0.5</f>
        <v>0</v>
      </c>
      <c r="AL9" s="78">
        <f t="shared" ref="AL9:AL11" si="5">+AK9</f>
        <v>0</v>
      </c>
      <c r="AP9" s="95">
        <v>16.84</v>
      </c>
      <c r="AQ9" s="95"/>
      <c r="AR9" s="95">
        <v>30.022872459401253</v>
      </c>
    </row>
    <row r="10" spans="1:44" x14ac:dyDescent="0.25">
      <c r="A10" s="103">
        <f t="shared" ref="A10:A46" si="6">1+A9</f>
        <v>3</v>
      </c>
      <c r="B10" s="11" t="s">
        <v>31</v>
      </c>
      <c r="C10" s="95">
        <f t="shared" si="1"/>
        <v>87.598620573750011</v>
      </c>
      <c r="D10" s="95">
        <f t="shared" si="2"/>
        <v>1051.1834468850002</v>
      </c>
      <c r="E10" s="522">
        <v>0</v>
      </c>
      <c r="F10" s="469">
        <f t="shared" ref="F10:H23" si="7">ROUND(+E10*$D10,0)</f>
        <v>0</v>
      </c>
      <c r="G10" s="522">
        <v>0</v>
      </c>
      <c r="H10" s="469">
        <f t="shared" si="7"/>
        <v>0</v>
      </c>
      <c r="I10" s="522">
        <v>0</v>
      </c>
      <c r="J10" s="469">
        <f t="shared" ref="J10" si="8">ROUND(+I10*$D10,0)</f>
        <v>0</v>
      </c>
      <c r="K10" s="522">
        <v>0</v>
      </c>
      <c r="L10" s="469">
        <f t="shared" ref="L10" si="9">ROUND(+K10*$D10,0)</f>
        <v>0</v>
      </c>
      <c r="M10" s="522">
        <v>0</v>
      </c>
      <c r="N10" s="469">
        <f t="shared" ref="N10" si="10">ROUND(+M10*$D10,0)</f>
        <v>0</v>
      </c>
      <c r="O10" s="522">
        <v>0</v>
      </c>
      <c r="P10" s="469">
        <f t="shared" ref="P10" si="11">ROUND(+O10*$D10,0)</f>
        <v>0</v>
      </c>
      <c r="Q10" s="522">
        <v>0</v>
      </c>
      <c r="R10" s="469">
        <f t="shared" ref="R10:R23" si="12">ROUND(+Q10*$D10,0)</f>
        <v>0</v>
      </c>
      <c r="S10" s="522">
        <v>0</v>
      </c>
      <c r="T10" s="469">
        <f t="shared" ref="T10" si="13">ROUND(+S10*$D10,0)</f>
        <v>0</v>
      </c>
      <c r="U10" s="522">
        <v>0</v>
      </c>
      <c r="V10" s="469">
        <f t="shared" ref="V10" si="14">ROUND(+U10*$D10,0)</f>
        <v>0</v>
      </c>
      <c r="W10" s="522">
        <v>0</v>
      </c>
      <c r="X10" s="469">
        <f t="shared" ref="X10" si="15">ROUND(+W10*$D10,0)</f>
        <v>0</v>
      </c>
      <c r="Y10" s="522">
        <v>1</v>
      </c>
      <c r="Z10" s="469">
        <f t="shared" ref="Z10" si="16">ROUND(+Y10*$D10,0)</f>
        <v>1051</v>
      </c>
      <c r="AA10" s="522">
        <v>0</v>
      </c>
      <c r="AB10" s="469">
        <f t="shared" ref="AB10" si="17">ROUND(+AA10*$D10,0)</f>
        <v>0</v>
      </c>
      <c r="AC10" s="522"/>
      <c r="AD10" s="469"/>
      <c r="AE10" s="522"/>
      <c r="AF10" s="469"/>
      <c r="AH10" s="75">
        <f t="shared" si="3"/>
        <v>1</v>
      </c>
      <c r="AI10" s="34">
        <v>3159.4927240821598</v>
      </c>
      <c r="AJ10" s="34">
        <f t="shared" ref="AJ10:AJ23" si="18">+AI10*AH10</f>
        <v>3159.4927240821598</v>
      </c>
      <c r="AK10" s="34">
        <f t="shared" si="4"/>
        <v>1579.7463620410799</v>
      </c>
      <c r="AL10" s="78">
        <f t="shared" si="5"/>
        <v>1579.7463620410799</v>
      </c>
      <c r="AP10" s="95">
        <v>56.32</v>
      </c>
      <c r="AQ10" s="95"/>
      <c r="AR10" s="95">
        <v>87.598620573750011</v>
      </c>
    </row>
    <row r="11" spans="1:44" x14ac:dyDescent="0.25">
      <c r="A11" s="103">
        <f t="shared" si="6"/>
        <v>4</v>
      </c>
      <c r="B11" s="11" t="s">
        <v>260</v>
      </c>
      <c r="C11" s="95">
        <f t="shared" si="1"/>
        <v>23.940720771288749</v>
      </c>
      <c r="D11" s="95">
        <f t="shared" ref="D11" si="19">+C11*12</f>
        <v>287.28864925546497</v>
      </c>
      <c r="E11" s="522">
        <v>0</v>
      </c>
      <c r="F11" s="469">
        <f t="shared" ref="F11" si="20">ROUND(+E11*$D11,0)</f>
        <v>0</v>
      </c>
      <c r="G11" s="522">
        <v>0</v>
      </c>
      <c r="H11" s="469">
        <f t="shared" ref="H11" si="21">ROUND(+G11*$D11,0)</f>
        <v>0</v>
      </c>
      <c r="I11" s="522">
        <v>0</v>
      </c>
      <c r="J11" s="469">
        <f t="shared" ref="J11" si="22">ROUND(+I11*$D11,0)</f>
        <v>0</v>
      </c>
      <c r="K11" s="522">
        <v>0</v>
      </c>
      <c r="L11" s="469">
        <f t="shared" ref="L11" si="23">ROUND(+K11*$D11,0)</f>
        <v>0</v>
      </c>
      <c r="M11" s="522">
        <v>0</v>
      </c>
      <c r="N11" s="469">
        <f t="shared" ref="N11" si="24">ROUND(+M11*$D11,0)</f>
        <v>0</v>
      </c>
      <c r="O11" s="522">
        <v>0</v>
      </c>
      <c r="P11" s="469">
        <f t="shared" ref="P11" si="25">ROUND(+O11*$D11,0)</f>
        <v>0</v>
      </c>
      <c r="Q11" s="522">
        <v>0</v>
      </c>
      <c r="R11" s="469">
        <f t="shared" si="12"/>
        <v>0</v>
      </c>
      <c r="S11" s="522">
        <v>0</v>
      </c>
      <c r="T11" s="469">
        <f t="shared" ref="T11" si="26">ROUND(+S11*$D11,0)</f>
        <v>0</v>
      </c>
      <c r="U11" s="522">
        <v>0</v>
      </c>
      <c r="V11" s="469">
        <f t="shared" ref="V11" si="27">ROUND(+U11*$D11,0)</f>
        <v>0</v>
      </c>
      <c r="W11" s="522">
        <v>0</v>
      </c>
      <c r="X11" s="469">
        <f t="shared" ref="X11" si="28">ROUND(+W11*$D11,0)</f>
        <v>0</v>
      </c>
      <c r="Y11" s="522">
        <v>0</v>
      </c>
      <c r="Z11" s="469">
        <f t="shared" ref="Z11" si="29">ROUND(+Y11*$D11,0)</f>
        <v>0</v>
      </c>
      <c r="AA11" s="522">
        <v>3</v>
      </c>
      <c r="AB11" s="469">
        <f t="shared" ref="AB11" si="30">ROUND(+AA11*$D11,0)</f>
        <v>862</v>
      </c>
      <c r="AC11" s="522"/>
      <c r="AD11" s="469"/>
      <c r="AE11" s="522"/>
      <c r="AF11" s="469"/>
      <c r="AH11" s="75">
        <f t="shared" si="3"/>
        <v>3</v>
      </c>
      <c r="AI11" s="34">
        <f>+AI10</f>
        <v>3159.4927240821598</v>
      </c>
      <c r="AJ11" s="34">
        <f t="shared" si="18"/>
        <v>9478.4781722464795</v>
      </c>
      <c r="AK11" s="34">
        <f t="shared" si="4"/>
        <v>4739.2390861232398</v>
      </c>
      <c r="AL11" s="78">
        <f t="shared" si="5"/>
        <v>4739.2390861232398</v>
      </c>
      <c r="AP11" s="95">
        <v>11.72</v>
      </c>
      <c r="AQ11" s="95"/>
      <c r="AR11" s="95">
        <v>23.940720771288749</v>
      </c>
    </row>
    <row r="12" spans="1:44" x14ac:dyDescent="0.25">
      <c r="A12" s="103">
        <f t="shared" si="6"/>
        <v>5</v>
      </c>
      <c r="B12" s="10" t="s">
        <v>48</v>
      </c>
      <c r="C12" s="95">
        <f t="shared" si="1"/>
        <v>40.075569330761247</v>
      </c>
      <c r="D12" s="95">
        <f t="shared" si="2"/>
        <v>480.90683196913494</v>
      </c>
      <c r="E12" s="522">
        <v>0</v>
      </c>
      <c r="F12" s="469">
        <f t="shared" si="7"/>
        <v>0</v>
      </c>
      <c r="G12" s="522">
        <v>0</v>
      </c>
      <c r="H12" s="469">
        <f t="shared" si="7"/>
        <v>0</v>
      </c>
      <c r="I12" s="522">
        <v>0</v>
      </c>
      <c r="J12" s="469">
        <f t="shared" ref="J12" si="31">ROUND(+I12*$D12,0)</f>
        <v>0</v>
      </c>
      <c r="K12" s="522">
        <v>0</v>
      </c>
      <c r="L12" s="469">
        <f t="shared" ref="L12" si="32">ROUND(+K12*$D12,0)</f>
        <v>0</v>
      </c>
      <c r="M12" s="522">
        <v>0</v>
      </c>
      <c r="N12" s="469">
        <f t="shared" ref="N12" si="33">ROUND(+M12*$D12,0)</f>
        <v>0</v>
      </c>
      <c r="O12" s="522">
        <v>0</v>
      </c>
      <c r="P12" s="469">
        <f t="shared" ref="P12" si="34">ROUND(+O12*$D12,0)</f>
        <v>0</v>
      </c>
      <c r="Q12" s="522">
        <v>0</v>
      </c>
      <c r="R12" s="469">
        <f t="shared" si="12"/>
        <v>0</v>
      </c>
      <c r="S12" s="522">
        <v>0</v>
      </c>
      <c r="T12" s="469">
        <f t="shared" ref="T12" si="35">ROUND(+S12*$D12,0)</f>
        <v>0</v>
      </c>
      <c r="U12" s="522">
        <v>0</v>
      </c>
      <c r="V12" s="469">
        <f t="shared" ref="V12" si="36">ROUND(+U12*$D12,0)</f>
        <v>0</v>
      </c>
      <c r="W12" s="522">
        <v>0</v>
      </c>
      <c r="X12" s="469">
        <f t="shared" ref="X12" si="37">ROUND(+W12*$D12,0)</f>
        <v>0</v>
      </c>
      <c r="Y12" s="522">
        <v>0</v>
      </c>
      <c r="Z12" s="469">
        <f t="shared" ref="Z12" si="38">ROUND(+Y12*$D12,0)</f>
        <v>0</v>
      </c>
      <c r="AA12" s="522">
        <v>0</v>
      </c>
      <c r="AB12" s="469">
        <f t="shared" ref="AB12" si="39">ROUND(+AA12*$D12,0)</f>
        <v>0</v>
      </c>
      <c r="AC12" s="522"/>
      <c r="AD12" s="469"/>
      <c r="AE12" s="522"/>
      <c r="AF12" s="469"/>
      <c r="AH12" s="75">
        <f t="shared" si="3"/>
        <v>0</v>
      </c>
      <c r="AI12" s="34"/>
      <c r="AJ12" s="34">
        <f t="shared" si="18"/>
        <v>0</v>
      </c>
      <c r="AK12" s="34">
        <f t="shared" si="4"/>
        <v>0</v>
      </c>
      <c r="AM12" s="78">
        <f>+AK12</f>
        <v>0</v>
      </c>
      <c r="AP12" s="95">
        <v>22</v>
      </c>
      <c r="AQ12" s="95"/>
      <c r="AR12" s="95">
        <v>40.075569330761247</v>
      </c>
    </row>
    <row r="13" spans="1:44" x14ac:dyDescent="0.25">
      <c r="A13" s="103">
        <f t="shared" si="6"/>
        <v>6</v>
      </c>
      <c r="B13" s="10" t="s">
        <v>49</v>
      </c>
      <c r="C13" s="95">
        <f t="shared" si="1"/>
        <v>103.785708472875</v>
      </c>
      <c r="D13" s="95">
        <f t="shared" si="2"/>
        <v>1245.4285016745</v>
      </c>
      <c r="E13" s="522">
        <v>0</v>
      </c>
      <c r="F13" s="469">
        <f t="shared" si="7"/>
        <v>0</v>
      </c>
      <c r="G13" s="522">
        <v>0</v>
      </c>
      <c r="H13" s="469">
        <f t="shared" si="7"/>
        <v>0</v>
      </c>
      <c r="I13" s="522">
        <v>0</v>
      </c>
      <c r="J13" s="469">
        <f t="shared" ref="J13" si="40">ROUND(+I13*$D13,0)</f>
        <v>0</v>
      </c>
      <c r="K13" s="522">
        <v>0</v>
      </c>
      <c r="L13" s="469">
        <f t="shared" ref="L13" si="41">ROUND(+K13*$D13,0)</f>
        <v>0</v>
      </c>
      <c r="M13" s="522">
        <v>0</v>
      </c>
      <c r="N13" s="469">
        <f t="shared" ref="N13" si="42">ROUND(+M13*$D13,0)</f>
        <v>0</v>
      </c>
      <c r="O13" s="522">
        <v>0</v>
      </c>
      <c r="P13" s="469">
        <f t="shared" ref="P13" si="43">ROUND(+O13*$D13,0)</f>
        <v>0</v>
      </c>
      <c r="Q13" s="522">
        <v>0</v>
      </c>
      <c r="R13" s="469">
        <f t="shared" si="12"/>
        <v>0</v>
      </c>
      <c r="S13" s="522">
        <v>0</v>
      </c>
      <c r="T13" s="469">
        <f t="shared" ref="T13" si="44">ROUND(+S13*$D13,0)</f>
        <v>0</v>
      </c>
      <c r="U13" s="522">
        <v>0</v>
      </c>
      <c r="V13" s="469">
        <f t="shared" ref="V13" si="45">ROUND(+U13*$D13,0)</f>
        <v>0</v>
      </c>
      <c r="W13" s="522">
        <v>0</v>
      </c>
      <c r="X13" s="469">
        <f t="shared" ref="X13" si="46">ROUND(+W13*$D13,0)</f>
        <v>0</v>
      </c>
      <c r="Y13" s="522">
        <v>0</v>
      </c>
      <c r="Z13" s="469">
        <f t="shared" ref="Z13" si="47">ROUND(+Y13*$D13,0)</f>
        <v>0</v>
      </c>
      <c r="AA13" s="522">
        <v>0</v>
      </c>
      <c r="AB13" s="469">
        <f t="shared" ref="AB13" si="48">ROUND(+AA13*$D13,0)</f>
        <v>0</v>
      </c>
      <c r="AC13" s="522"/>
      <c r="AD13" s="469"/>
      <c r="AE13" s="522"/>
      <c r="AF13" s="469"/>
      <c r="AH13" s="75">
        <f t="shared" si="3"/>
        <v>0</v>
      </c>
      <c r="AI13" s="34"/>
      <c r="AJ13" s="34">
        <f t="shared" si="18"/>
        <v>0</v>
      </c>
      <c r="AK13" s="34">
        <f t="shared" si="4"/>
        <v>0</v>
      </c>
      <c r="AM13" s="78">
        <f t="shared" ref="AM13:AM23" si="49">+AK13</f>
        <v>0</v>
      </c>
      <c r="AP13" s="95">
        <v>68.430000000000007</v>
      </c>
      <c r="AQ13" s="95"/>
      <c r="AR13" s="95">
        <v>103.785708472875</v>
      </c>
    </row>
    <row r="14" spans="1:44" x14ac:dyDescent="0.25">
      <c r="A14" s="103">
        <f t="shared" si="6"/>
        <v>7</v>
      </c>
      <c r="B14" s="11" t="s">
        <v>51</v>
      </c>
      <c r="C14" s="95">
        <f t="shared" si="1"/>
        <v>109.98690899624999</v>
      </c>
      <c r="D14" s="95">
        <f t="shared" si="2"/>
        <v>1319.8429079549999</v>
      </c>
      <c r="E14" s="522">
        <v>0</v>
      </c>
      <c r="F14" s="469">
        <f t="shared" si="7"/>
        <v>0</v>
      </c>
      <c r="G14" s="522">
        <v>0</v>
      </c>
      <c r="H14" s="469">
        <f t="shared" si="7"/>
        <v>0</v>
      </c>
      <c r="I14" s="522">
        <v>0</v>
      </c>
      <c r="J14" s="469">
        <f t="shared" ref="J14" si="50">ROUND(+I14*$D14,0)</f>
        <v>0</v>
      </c>
      <c r="K14" s="522">
        <v>0</v>
      </c>
      <c r="L14" s="469">
        <f t="shared" ref="L14" si="51">ROUND(+K14*$D14,0)</f>
        <v>0</v>
      </c>
      <c r="M14" s="522">
        <v>0</v>
      </c>
      <c r="N14" s="469">
        <f t="shared" ref="N14" si="52">ROUND(+M14*$D14,0)</f>
        <v>0</v>
      </c>
      <c r="O14" s="522">
        <v>0</v>
      </c>
      <c r="P14" s="469">
        <f t="shared" ref="P14" si="53">ROUND(+O14*$D14,0)</f>
        <v>0</v>
      </c>
      <c r="Q14" s="522">
        <v>0</v>
      </c>
      <c r="R14" s="469">
        <f t="shared" si="12"/>
        <v>0</v>
      </c>
      <c r="S14" s="522">
        <v>0</v>
      </c>
      <c r="T14" s="469">
        <f t="shared" ref="T14" si="54">ROUND(+S14*$D14,0)</f>
        <v>0</v>
      </c>
      <c r="U14" s="522">
        <v>0</v>
      </c>
      <c r="V14" s="469">
        <f t="shared" ref="V14" si="55">ROUND(+U14*$D14,0)</f>
        <v>0</v>
      </c>
      <c r="W14" s="522">
        <v>1</v>
      </c>
      <c r="X14" s="469">
        <f t="shared" ref="X14" si="56">ROUND(+W14*$D14,0)</f>
        <v>1320</v>
      </c>
      <c r="Y14" s="522">
        <v>0</v>
      </c>
      <c r="Z14" s="469">
        <f t="shared" ref="Z14" si="57">ROUND(+Y14*$D14,0)</f>
        <v>0</v>
      </c>
      <c r="AA14" s="522">
        <v>0</v>
      </c>
      <c r="AB14" s="469">
        <f t="shared" ref="AB14" si="58">ROUND(+AA14*$D14,0)</f>
        <v>0</v>
      </c>
      <c r="AC14" s="522"/>
      <c r="AD14" s="469"/>
      <c r="AE14" s="522"/>
      <c r="AF14" s="469"/>
      <c r="AH14" s="75">
        <f t="shared" si="3"/>
        <v>1</v>
      </c>
      <c r="AI14" s="34">
        <v>6124.3861250000009</v>
      </c>
      <c r="AJ14" s="34">
        <f t="shared" si="18"/>
        <v>6124.3861250000009</v>
      </c>
      <c r="AK14" s="34">
        <f t="shared" si="4"/>
        <v>3062.1930625000005</v>
      </c>
      <c r="AM14" s="78">
        <f t="shared" si="49"/>
        <v>3062.1930625000005</v>
      </c>
      <c r="AP14" s="95">
        <v>69.260000000000005</v>
      </c>
      <c r="AQ14" s="95"/>
      <c r="AR14" s="95">
        <v>109.98690899624999</v>
      </c>
    </row>
    <row r="15" spans="1:44" x14ac:dyDescent="0.25">
      <c r="A15" s="103">
        <f t="shared" si="6"/>
        <v>8</v>
      </c>
      <c r="B15" s="10" t="s">
        <v>21</v>
      </c>
      <c r="C15" s="95">
        <f t="shared" si="1"/>
        <v>128.76819539512499</v>
      </c>
      <c r="D15" s="95">
        <f t="shared" ref="D15:D21" si="59">+C15*12</f>
        <v>1545.2183447415</v>
      </c>
      <c r="E15" s="522">
        <v>3</v>
      </c>
      <c r="F15" s="469">
        <f t="shared" si="7"/>
        <v>4636</v>
      </c>
      <c r="G15" s="522">
        <v>0</v>
      </c>
      <c r="H15" s="469">
        <f t="shared" si="7"/>
        <v>0</v>
      </c>
      <c r="I15" s="522">
        <v>0</v>
      </c>
      <c r="J15" s="469">
        <f t="shared" ref="J15" si="60">ROUND(+I15*$D15,0)</f>
        <v>0</v>
      </c>
      <c r="K15" s="522">
        <v>0</v>
      </c>
      <c r="L15" s="469">
        <f t="shared" ref="L15" si="61">ROUND(+K15*$D15,0)</f>
        <v>0</v>
      </c>
      <c r="M15" s="522">
        <v>0</v>
      </c>
      <c r="N15" s="469">
        <f t="shared" ref="N15" si="62">ROUND(+M15*$D15,0)</f>
        <v>0</v>
      </c>
      <c r="O15" s="522">
        <v>0</v>
      </c>
      <c r="P15" s="469">
        <f t="shared" ref="P15" si="63">ROUND(+O15*$D15,0)</f>
        <v>0</v>
      </c>
      <c r="Q15" s="522">
        <v>0</v>
      </c>
      <c r="R15" s="469">
        <f t="shared" si="12"/>
        <v>0</v>
      </c>
      <c r="S15" s="522">
        <v>1</v>
      </c>
      <c r="T15" s="469">
        <f t="shared" ref="T15" si="64">ROUND(+S15*$D15,0)</f>
        <v>1545</v>
      </c>
      <c r="U15" s="522">
        <v>0</v>
      </c>
      <c r="V15" s="469">
        <f t="shared" ref="V15" si="65">ROUND(+U15*$D15,0)</f>
        <v>0</v>
      </c>
      <c r="W15" s="522">
        <v>0</v>
      </c>
      <c r="X15" s="469">
        <f t="shared" ref="X15" si="66">ROUND(+W15*$D15,0)</f>
        <v>0</v>
      </c>
      <c r="Y15" s="522">
        <v>1</v>
      </c>
      <c r="Z15" s="469">
        <f t="shared" ref="Z15" si="67">ROUND(+Y15*$D15,0)</f>
        <v>1545</v>
      </c>
      <c r="AA15" s="522">
        <v>0</v>
      </c>
      <c r="AB15" s="469">
        <f t="shared" ref="AB15" si="68">ROUND(+AA15*$D15,0)</f>
        <v>0</v>
      </c>
      <c r="AC15" s="522"/>
      <c r="AD15" s="469"/>
      <c r="AE15" s="522"/>
      <c r="AF15" s="469"/>
      <c r="AH15" s="75">
        <f t="shared" si="3"/>
        <v>5</v>
      </c>
      <c r="AI15" s="34">
        <v>8255.3780872093066</v>
      </c>
      <c r="AJ15" s="34">
        <f t="shared" si="18"/>
        <v>41276.890436046531</v>
      </c>
      <c r="AK15" s="34">
        <f t="shared" si="4"/>
        <v>20638.445218023266</v>
      </c>
      <c r="AM15" s="78">
        <f t="shared" si="49"/>
        <v>20638.445218023266</v>
      </c>
      <c r="AP15" s="95">
        <v>80.97</v>
      </c>
      <c r="AQ15" s="95"/>
      <c r="AR15" s="95">
        <v>128.76819539512499</v>
      </c>
    </row>
    <row r="16" spans="1:44" x14ac:dyDescent="0.25">
      <c r="A16" s="103">
        <f t="shared" si="6"/>
        <v>9</v>
      </c>
      <c r="B16" s="10" t="s">
        <v>22</v>
      </c>
      <c r="C16" s="95">
        <f t="shared" si="1"/>
        <v>140.72638437000001</v>
      </c>
      <c r="D16" s="95">
        <f t="shared" si="59"/>
        <v>1688.7166124400001</v>
      </c>
      <c r="E16" s="522">
        <v>0</v>
      </c>
      <c r="F16" s="469">
        <f t="shared" si="7"/>
        <v>0</v>
      </c>
      <c r="G16" s="522">
        <v>0</v>
      </c>
      <c r="H16" s="469">
        <f t="shared" si="7"/>
        <v>0</v>
      </c>
      <c r="I16" s="522">
        <v>0</v>
      </c>
      <c r="J16" s="469">
        <f t="shared" ref="J16" si="69">ROUND(+I16*$D16,0)</f>
        <v>0</v>
      </c>
      <c r="K16" s="522">
        <v>0</v>
      </c>
      <c r="L16" s="469">
        <f t="shared" ref="L16" si="70">ROUND(+K16*$D16,0)</f>
        <v>0</v>
      </c>
      <c r="M16" s="522">
        <v>1</v>
      </c>
      <c r="N16" s="469">
        <f t="shared" ref="N16" si="71">ROUND(+M16*$D16,0)</f>
        <v>1689</v>
      </c>
      <c r="O16" s="522">
        <v>0</v>
      </c>
      <c r="P16" s="469">
        <f t="shared" ref="P16" si="72">ROUND(+O16*$D16,0)</f>
        <v>0</v>
      </c>
      <c r="Q16" s="522">
        <v>0</v>
      </c>
      <c r="R16" s="469">
        <f t="shared" si="12"/>
        <v>0</v>
      </c>
      <c r="S16" s="522">
        <v>0</v>
      </c>
      <c r="T16" s="469">
        <f t="shared" ref="T16" si="73">ROUND(+S16*$D16,0)</f>
        <v>0</v>
      </c>
      <c r="U16" s="522">
        <v>0</v>
      </c>
      <c r="V16" s="469">
        <f t="shared" ref="V16" si="74">ROUND(+U16*$D16,0)</f>
        <v>0</v>
      </c>
      <c r="W16" s="522">
        <v>2</v>
      </c>
      <c r="X16" s="469">
        <f t="shared" ref="X16" si="75">ROUND(+W16*$D16,0)</f>
        <v>3377</v>
      </c>
      <c r="Y16" s="522">
        <v>0</v>
      </c>
      <c r="Z16" s="469">
        <f t="shared" ref="Z16" si="76">ROUND(+Y16*$D16,0)</f>
        <v>0</v>
      </c>
      <c r="AA16" s="522">
        <v>0</v>
      </c>
      <c r="AB16" s="469">
        <f t="shared" ref="AB16" si="77">ROUND(+AA16*$D16,0)</f>
        <v>0</v>
      </c>
      <c r="AC16" s="522"/>
      <c r="AD16" s="469"/>
      <c r="AE16" s="522"/>
      <c r="AF16" s="469"/>
      <c r="AH16" s="75">
        <f t="shared" si="3"/>
        <v>3</v>
      </c>
      <c r="AI16" s="34">
        <v>8342.3469095744676</v>
      </c>
      <c r="AJ16" s="34">
        <f t="shared" si="18"/>
        <v>25027.040728723405</v>
      </c>
      <c r="AK16" s="34">
        <f t="shared" si="4"/>
        <v>12513.520364361702</v>
      </c>
      <c r="AM16" s="78">
        <f t="shared" si="49"/>
        <v>12513.520364361702</v>
      </c>
      <c r="AP16" s="95">
        <v>97.37</v>
      </c>
      <c r="AQ16" s="95"/>
      <c r="AR16" s="95">
        <v>140.72638437000001</v>
      </c>
    </row>
    <row r="17" spans="1:44" x14ac:dyDescent="0.25">
      <c r="A17" s="103">
        <f t="shared" si="6"/>
        <v>10</v>
      </c>
      <c r="B17" s="10" t="s">
        <v>23</v>
      </c>
      <c r="C17" s="95">
        <f t="shared" si="1"/>
        <v>174.34435396950002</v>
      </c>
      <c r="D17" s="95">
        <f t="shared" si="59"/>
        <v>2092.1322476340001</v>
      </c>
      <c r="E17" s="522">
        <v>3</v>
      </c>
      <c r="F17" s="469">
        <f t="shared" si="7"/>
        <v>6276</v>
      </c>
      <c r="G17" s="522">
        <v>4</v>
      </c>
      <c r="H17" s="469">
        <f t="shared" si="7"/>
        <v>8369</v>
      </c>
      <c r="I17" s="522">
        <v>0</v>
      </c>
      <c r="J17" s="469">
        <f t="shared" ref="J17" si="78">ROUND(+I17*$D17,0)</f>
        <v>0</v>
      </c>
      <c r="K17" s="522">
        <v>0</v>
      </c>
      <c r="L17" s="469">
        <f t="shared" ref="L17" si="79">ROUND(+K17*$D17,0)</f>
        <v>0</v>
      </c>
      <c r="M17" s="522">
        <v>1</v>
      </c>
      <c r="N17" s="469">
        <f t="shared" ref="N17" si="80">ROUND(+M17*$D17,0)</f>
        <v>2092</v>
      </c>
      <c r="O17" s="522">
        <v>0</v>
      </c>
      <c r="P17" s="469">
        <f t="shared" ref="P17" si="81">ROUND(+O17*$D17,0)</f>
        <v>0</v>
      </c>
      <c r="Q17" s="522">
        <v>0</v>
      </c>
      <c r="R17" s="469">
        <f t="shared" si="12"/>
        <v>0</v>
      </c>
      <c r="S17" s="522">
        <v>0</v>
      </c>
      <c r="T17" s="469">
        <f t="shared" ref="T17" si="82">ROUND(+S17*$D17,0)</f>
        <v>0</v>
      </c>
      <c r="U17" s="522">
        <v>0</v>
      </c>
      <c r="V17" s="469">
        <f t="shared" ref="V17" si="83">ROUND(+U17*$D17,0)</f>
        <v>0</v>
      </c>
      <c r="W17" s="522">
        <v>0</v>
      </c>
      <c r="X17" s="469">
        <f t="shared" ref="X17" si="84">ROUND(+W17*$D17,0)</f>
        <v>0</v>
      </c>
      <c r="Y17" s="522">
        <v>1</v>
      </c>
      <c r="Z17" s="469">
        <f t="shared" ref="Z17" si="85">ROUND(+Y17*$D17,0)</f>
        <v>2092</v>
      </c>
      <c r="AA17" s="522">
        <v>0</v>
      </c>
      <c r="AB17" s="469">
        <f t="shared" ref="AB17" si="86">ROUND(+AA17*$D17,0)</f>
        <v>0</v>
      </c>
      <c r="AC17" s="522"/>
      <c r="AD17" s="469"/>
      <c r="AE17" s="522"/>
      <c r="AF17" s="469"/>
      <c r="AH17" s="75">
        <f t="shared" si="3"/>
        <v>9</v>
      </c>
      <c r="AI17" s="34">
        <v>11958.68327985074</v>
      </c>
      <c r="AJ17" s="34">
        <f t="shared" si="18"/>
        <v>107628.14951865666</v>
      </c>
      <c r="AK17" s="34">
        <f t="shared" si="4"/>
        <v>53814.07475932833</v>
      </c>
      <c r="AM17" s="78">
        <f t="shared" si="49"/>
        <v>53814.07475932833</v>
      </c>
      <c r="AP17" s="95">
        <v>124.94</v>
      </c>
      <c r="AQ17" s="95"/>
      <c r="AR17" s="95">
        <v>174.34435396950002</v>
      </c>
    </row>
    <row r="18" spans="1:44" x14ac:dyDescent="0.25">
      <c r="A18" s="103">
        <f t="shared" si="6"/>
        <v>11</v>
      </c>
      <c r="B18" s="10" t="s">
        <v>24</v>
      </c>
      <c r="C18" s="95">
        <f t="shared" si="1"/>
        <v>253.37856579749996</v>
      </c>
      <c r="D18" s="95">
        <f t="shared" si="59"/>
        <v>3040.5427895699995</v>
      </c>
      <c r="E18" s="522">
        <v>0</v>
      </c>
      <c r="F18" s="469">
        <f t="shared" si="7"/>
        <v>0</v>
      </c>
      <c r="G18" s="522">
        <v>2</v>
      </c>
      <c r="H18" s="469">
        <f t="shared" si="7"/>
        <v>6081</v>
      </c>
      <c r="I18" s="522">
        <v>0</v>
      </c>
      <c r="J18" s="469">
        <f t="shared" ref="J18" si="87">ROUND(+I18*$D18,0)</f>
        <v>0</v>
      </c>
      <c r="K18" s="522">
        <v>0</v>
      </c>
      <c r="L18" s="469">
        <f t="shared" ref="L18" si="88">ROUND(+K18*$D18,0)</f>
        <v>0</v>
      </c>
      <c r="M18" s="522">
        <v>0</v>
      </c>
      <c r="N18" s="469">
        <f t="shared" ref="N18" si="89">ROUND(+M18*$D18,0)</f>
        <v>0</v>
      </c>
      <c r="O18" s="522">
        <v>0</v>
      </c>
      <c r="P18" s="469">
        <f t="shared" ref="P18" si="90">ROUND(+O18*$D18,0)</f>
        <v>0</v>
      </c>
      <c r="Q18" s="522">
        <v>0</v>
      </c>
      <c r="R18" s="469">
        <f t="shared" si="12"/>
        <v>0</v>
      </c>
      <c r="S18" s="522">
        <v>0</v>
      </c>
      <c r="T18" s="469">
        <f t="shared" ref="T18" si="91">ROUND(+S18*$D18,0)</f>
        <v>0</v>
      </c>
      <c r="U18" s="522">
        <v>0</v>
      </c>
      <c r="V18" s="469">
        <f t="shared" ref="V18" si="92">ROUND(+U18*$D18,0)</f>
        <v>0</v>
      </c>
      <c r="W18" s="522">
        <v>1</v>
      </c>
      <c r="X18" s="469">
        <f t="shared" ref="X18" si="93">ROUND(+W18*$D18,0)</f>
        <v>3041</v>
      </c>
      <c r="Y18" s="522">
        <v>2</v>
      </c>
      <c r="Z18" s="469">
        <f t="shared" ref="Z18" si="94">ROUND(+Y18*$D18,0)</f>
        <v>6081</v>
      </c>
      <c r="AA18" s="522">
        <v>0</v>
      </c>
      <c r="AB18" s="469">
        <f t="shared" ref="AB18" si="95">ROUND(+AA18*$D18,0)</f>
        <v>0</v>
      </c>
      <c r="AC18" s="522"/>
      <c r="AD18" s="469"/>
      <c r="AE18" s="522"/>
      <c r="AF18" s="469"/>
      <c r="AH18" s="75">
        <f t="shared" si="3"/>
        <v>5</v>
      </c>
      <c r="AI18" s="34">
        <v>15738.54834090909</v>
      </c>
      <c r="AJ18" s="34">
        <f t="shared" si="18"/>
        <v>78692.741704545449</v>
      </c>
      <c r="AK18" s="34">
        <f t="shared" si="4"/>
        <v>39346.370852272725</v>
      </c>
      <c r="AM18" s="78">
        <f t="shared" si="49"/>
        <v>39346.370852272725</v>
      </c>
      <c r="AP18" s="95">
        <v>183.4</v>
      </c>
      <c r="AQ18" s="95"/>
      <c r="AR18" s="95">
        <v>253.37856579749996</v>
      </c>
    </row>
    <row r="19" spans="1:44" x14ac:dyDescent="0.25">
      <c r="A19" s="103">
        <f t="shared" si="6"/>
        <v>12</v>
      </c>
      <c r="B19" s="10" t="s">
        <v>25</v>
      </c>
      <c r="C19" s="95">
        <f t="shared" si="1"/>
        <v>328.36156352999996</v>
      </c>
      <c r="D19" s="95">
        <f t="shared" si="59"/>
        <v>3940.3387623599992</v>
      </c>
      <c r="E19" s="522">
        <v>12</v>
      </c>
      <c r="F19" s="469">
        <f t="shared" si="7"/>
        <v>47284</v>
      </c>
      <c r="G19" s="522">
        <v>2</v>
      </c>
      <c r="H19" s="469">
        <f t="shared" si="7"/>
        <v>7881</v>
      </c>
      <c r="I19" s="522">
        <v>0</v>
      </c>
      <c r="J19" s="469">
        <f t="shared" ref="J19" si="96">ROUND(+I19*$D19,0)</f>
        <v>0</v>
      </c>
      <c r="K19" s="522">
        <v>0</v>
      </c>
      <c r="L19" s="469">
        <f t="shared" ref="L19" si="97">ROUND(+K19*$D19,0)</f>
        <v>0</v>
      </c>
      <c r="M19" s="522">
        <v>0</v>
      </c>
      <c r="N19" s="469">
        <f t="shared" ref="N19" si="98">ROUND(+M19*$D19,0)</f>
        <v>0</v>
      </c>
      <c r="O19" s="522">
        <v>0</v>
      </c>
      <c r="P19" s="469">
        <f t="shared" ref="P19" si="99">ROUND(+O19*$D19,0)</f>
        <v>0</v>
      </c>
      <c r="Q19" s="522">
        <v>0</v>
      </c>
      <c r="R19" s="469">
        <f t="shared" si="12"/>
        <v>0</v>
      </c>
      <c r="S19" s="522">
        <v>0</v>
      </c>
      <c r="T19" s="469">
        <f t="shared" ref="T19" si="100">ROUND(+S19*$D19,0)</f>
        <v>0</v>
      </c>
      <c r="U19" s="522">
        <v>0</v>
      </c>
      <c r="V19" s="469">
        <f t="shared" ref="V19" si="101">ROUND(+U19*$D19,0)</f>
        <v>0</v>
      </c>
      <c r="W19" s="522">
        <v>0</v>
      </c>
      <c r="X19" s="469">
        <f t="shared" ref="X19" si="102">ROUND(+W19*$D19,0)</f>
        <v>0</v>
      </c>
      <c r="Y19" s="522">
        <v>4</v>
      </c>
      <c r="Z19" s="469">
        <f t="shared" ref="Z19" si="103">ROUND(+Y19*$D19,0)</f>
        <v>15761</v>
      </c>
      <c r="AA19" s="522">
        <v>0</v>
      </c>
      <c r="AB19" s="469">
        <f t="shared" ref="AB19" si="104">ROUND(+AA19*$D19,0)</f>
        <v>0</v>
      </c>
      <c r="AC19" s="522"/>
      <c r="AD19" s="469"/>
      <c r="AE19" s="522"/>
      <c r="AF19" s="469"/>
      <c r="AH19" s="75">
        <f t="shared" si="3"/>
        <v>18</v>
      </c>
      <c r="AI19" s="34">
        <v>21709.108892857141</v>
      </c>
      <c r="AJ19" s="34">
        <f t="shared" si="18"/>
        <v>390763.96007142856</v>
      </c>
      <c r="AK19" s="34">
        <f t="shared" si="4"/>
        <v>195381.98003571428</v>
      </c>
      <c r="AM19" s="78">
        <f t="shared" si="49"/>
        <v>195381.98003571428</v>
      </c>
      <c r="AP19" s="95">
        <v>231.11</v>
      </c>
      <c r="AQ19" s="95"/>
      <c r="AR19" s="95">
        <v>328.36156352999996</v>
      </c>
    </row>
    <row r="20" spans="1:44" x14ac:dyDescent="0.25">
      <c r="A20" s="103">
        <f t="shared" si="6"/>
        <v>13</v>
      </c>
      <c r="B20" s="10" t="s">
        <v>26</v>
      </c>
      <c r="C20" s="95">
        <f t="shared" si="1"/>
        <v>405.97429672799996</v>
      </c>
      <c r="D20" s="95">
        <f t="shared" si="59"/>
        <v>4871.6915607359997</v>
      </c>
      <c r="E20" s="522">
        <v>2</v>
      </c>
      <c r="F20" s="469">
        <f t="shared" si="7"/>
        <v>9743</v>
      </c>
      <c r="G20" s="522">
        <v>5</v>
      </c>
      <c r="H20" s="469">
        <f t="shared" si="7"/>
        <v>24358</v>
      </c>
      <c r="I20" s="522">
        <v>0</v>
      </c>
      <c r="J20" s="469">
        <f t="shared" ref="J20" si="105">ROUND(+I20*$D20,0)</f>
        <v>0</v>
      </c>
      <c r="K20" s="522">
        <v>0</v>
      </c>
      <c r="L20" s="469">
        <f t="shared" ref="L20" si="106">ROUND(+K20*$D20,0)</f>
        <v>0</v>
      </c>
      <c r="M20" s="522">
        <v>0</v>
      </c>
      <c r="N20" s="469">
        <f t="shared" ref="N20" si="107">ROUND(+M20*$D20,0)</f>
        <v>0</v>
      </c>
      <c r="O20" s="522">
        <v>0</v>
      </c>
      <c r="P20" s="469">
        <f t="shared" ref="P20" si="108">ROUND(+O20*$D20,0)</f>
        <v>0</v>
      </c>
      <c r="Q20" s="522">
        <v>0</v>
      </c>
      <c r="R20" s="469">
        <f t="shared" si="12"/>
        <v>0</v>
      </c>
      <c r="S20" s="522">
        <v>0</v>
      </c>
      <c r="T20" s="469">
        <f t="shared" ref="T20" si="109">ROUND(+S20*$D20,0)</f>
        <v>0</v>
      </c>
      <c r="U20" s="522">
        <v>0</v>
      </c>
      <c r="V20" s="469">
        <f t="shared" ref="V20" si="110">ROUND(+U20*$D20,0)</f>
        <v>0</v>
      </c>
      <c r="W20" s="522">
        <v>4</v>
      </c>
      <c r="X20" s="469">
        <f t="shared" ref="X20" si="111">ROUND(+W20*$D20,0)</f>
        <v>19487</v>
      </c>
      <c r="Y20" s="522">
        <v>2</v>
      </c>
      <c r="Z20" s="469">
        <f t="shared" ref="Z20" si="112">ROUND(+Y20*$D20,0)</f>
        <v>9743</v>
      </c>
      <c r="AA20" s="522">
        <v>1</v>
      </c>
      <c r="AB20" s="469">
        <f t="shared" ref="AB20" si="113">ROUND(+AA20*$D20,0)</f>
        <v>4872</v>
      </c>
      <c r="AC20" s="522"/>
      <c r="AD20" s="469"/>
      <c r="AE20" s="522"/>
      <c r="AF20" s="469"/>
      <c r="AH20" s="75">
        <f t="shared" si="3"/>
        <v>14</v>
      </c>
      <c r="AI20" s="34">
        <v>28085.187583333336</v>
      </c>
      <c r="AJ20" s="34">
        <f t="shared" si="18"/>
        <v>393192.62616666668</v>
      </c>
      <c r="AK20" s="34">
        <f t="shared" si="4"/>
        <v>196596.31308333334</v>
      </c>
      <c r="AM20" s="78">
        <f t="shared" si="49"/>
        <v>196596.31308333334</v>
      </c>
      <c r="AP20" s="95">
        <v>272.89</v>
      </c>
      <c r="AQ20" s="95"/>
      <c r="AR20" s="95">
        <v>405.97429672799996</v>
      </c>
    </row>
    <row r="21" spans="1:44" x14ac:dyDescent="0.25">
      <c r="A21" s="103">
        <f t="shared" si="6"/>
        <v>14</v>
      </c>
      <c r="B21" s="10" t="s">
        <v>32</v>
      </c>
      <c r="C21" s="95">
        <f t="shared" si="1"/>
        <v>455.70828029512495</v>
      </c>
      <c r="D21" s="95">
        <f t="shared" si="59"/>
        <v>5468.4993635414994</v>
      </c>
      <c r="E21" s="522">
        <v>5</v>
      </c>
      <c r="F21" s="469">
        <f t="shared" si="7"/>
        <v>27342</v>
      </c>
      <c r="G21" s="522">
        <v>1</v>
      </c>
      <c r="H21" s="469">
        <f t="shared" si="7"/>
        <v>5468</v>
      </c>
      <c r="I21" s="522">
        <v>0</v>
      </c>
      <c r="J21" s="469">
        <f t="shared" ref="J21" si="114">ROUND(+I21*$D21,0)</f>
        <v>0</v>
      </c>
      <c r="K21" s="522">
        <v>0</v>
      </c>
      <c r="L21" s="469">
        <f t="shared" ref="L21" si="115">ROUND(+K21*$D21,0)</f>
        <v>0</v>
      </c>
      <c r="M21" s="522">
        <v>0</v>
      </c>
      <c r="N21" s="469">
        <f t="shared" ref="N21" si="116">ROUND(+M21*$D21,0)</f>
        <v>0</v>
      </c>
      <c r="O21" s="522">
        <v>0</v>
      </c>
      <c r="P21" s="469">
        <f t="shared" ref="P21" si="117">ROUND(+O21*$D21,0)</f>
        <v>0</v>
      </c>
      <c r="Q21" s="522">
        <v>0</v>
      </c>
      <c r="R21" s="469">
        <f t="shared" si="12"/>
        <v>0</v>
      </c>
      <c r="S21" s="522">
        <v>0</v>
      </c>
      <c r="T21" s="469">
        <f t="shared" ref="T21" si="118">ROUND(+S21*$D21,0)</f>
        <v>0</v>
      </c>
      <c r="U21" s="522">
        <v>2</v>
      </c>
      <c r="V21" s="469">
        <f t="shared" ref="V21" si="119">ROUND(+U21*$D21,0)</f>
        <v>10937</v>
      </c>
      <c r="W21" s="522">
        <v>0</v>
      </c>
      <c r="X21" s="469">
        <f t="shared" ref="X21" si="120">ROUND(+W21*$D21,0)</f>
        <v>0</v>
      </c>
      <c r="Y21" s="522">
        <v>0</v>
      </c>
      <c r="Z21" s="469">
        <f t="shared" ref="Z21" si="121">ROUND(+Y21*$D21,0)</f>
        <v>0</v>
      </c>
      <c r="AA21" s="522">
        <v>0</v>
      </c>
      <c r="AB21" s="469">
        <f t="shared" ref="AB21" si="122">ROUND(+AA21*$D21,0)</f>
        <v>0</v>
      </c>
      <c r="AC21" s="522"/>
      <c r="AD21" s="469"/>
      <c r="AE21" s="522"/>
      <c r="AF21" s="469"/>
      <c r="AH21" s="75">
        <f t="shared" si="3"/>
        <v>8</v>
      </c>
      <c r="AI21" s="34">
        <f>+AI20</f>
        <v>28085.187583333336</v>
      </c>
      <c r="AJ21" s="34">
        <f t="shared" si="18"/>
        <v>224681.50066666669</v>
      </c>
      <c r="AK21" s="34">
        <f t="shared" si="4"/>
        <v>112340.75033333334</v>
      </c>
      <c r="AM21" s="78">
        <f t="shared" si="49"/>
        <v>112340.75033333334</v>
      </c>
      <c r="AP21" s="95">
        <v>413.94</v>
      </c>
      <c r="AQ21" s="95"/>
      <c r="AR21" s="95">
        <v>455.70828029512495</v>
      </c>
    </row>
    <row r="22" spans="1:44" x14ac:dyDescent="0.25">
      <c r="A22" s="103">
        <f t="shared" si="6"/>
        <v>15</v>
      </c>
      <c r="B22" s="10" t="s">
        <v>33</v>
      </c>
      <c r="C22" s="95">
        <f t="shared" si="1"/>
        <v>580.05212345437496</v>
      </c>
      <c r="D22" s="95">
        <f>+C22*12</f>
        <v>6960.6254814525</v>
      </c>
      <c r="E22" s="522">
        <v>14</v>
      </c>
      <c r="F22" s="469">
        <f t="shared" si="7"/>
        <v>97449</v>
      </c>
      <c r="G22" s="522">
        <v>16</v>
      </c>
      <c r="H22" s="469">
        <f t="shared" si="7"/>
        <v>111370</v>
      </c>
      <c r="I22" s="522">
        <v>0</v>
      </c>
      <c r="J22" s="469">
        <f t="shared" ref="J22" si="123">ROUND(+I22*$D22,0)</f>
        <v>0</v>
      </c>
      <c r="K22" s="522">
        <v>0</v>
      </c>
      <c r="L22" s="469">
        <f t="shared" ref="L22" si="124">ROUND(+K22*$D22,0)</f>
        <v>0</v>
      </c>
      <c r="M22" s="522">
        <v>0</v>
      </c>
      <c r="N22" s="469">
        <f t="shared" ref="N22" si="125">ROUND(+M22*$D22,0)</f>
        <v>0</v>
      </c>
      <c r="O22" s="522">
        <v>0</v>
      </c>
      <c r="P22" s="469">
        <f t="shared" ref="P22" si="126">ROUND(+O22*$D22,0)</f>
        <v>0</v>
      </c>
      <c r="Q22" s="522">
        <v>0</v>
      </c>
      <c r="R22" s="469">
        <f t="shared" si="12"/>
        <v>0</v>
      </c>
      <c r="S22" s="522">
        <v>0</v>
      </c>
      <c r="T22" s="469">
        <f t="shared" ref="T22" si="127">ROUND(+S22*$D22,0)</f>
        <v>0</v>
      </c>
      <c r="U22" s="522">
        <v>0</v>
      </c>
      <c r="V22" s="469">
        <f t="shared" ref="V22" si="128">ROUND(+U22*$D22,0)</f>
        <v>0</v>
      </c>
      <c r="W22" s="522">
        <v>0</v>
      </c>
      <c r="X22" s="469">
        <f t="shared" ref="X22" si="129">ROUND(+W22*$D22,0)</f>
        <v>0</v>
      </c>
      <c r="Y22" s="522">
        <v>0</v>
      </c>
      <c r="Z22" s="469">
        <f t="shared" ref="Z22" si="130">ROUND(+Y22*$D22,0)</f>
        <v>0</v>
      </c>
      <c r="AA22" s="522">
        <v>0</v>
      </c>
      <c r="AB22" s="469">
        <f t="shared" ref="AB22" si="131">ROUND(+AA22*$D22,0)</f>
        <v>0</v>
      </c>
      <c r="AC22" s="522"/>
      <c r="AD22" s="469"/>
      <c r="AE22" s="522"/>
      <c r="AF22" s="469"/>
      <c r="AH22" s="75">
        <f t="shared" si="3"/>
        <v>30</v>
      </c>
      <c r="AI22" s="34">
        <f t="shared" ref="AI22:AI23" si="132">+AI21</f>
        <v>28085.187583333336</v>
      </c>
      <c r="AJ22" s="34">
        <f t="shared" si="18"/>
        <v>842555.62750000006</v>
      </c>
      <c r="AK22" s="34">
        <f t="shared" si="4"/>
        <v>421277.81375000003</v>
      </c>
      <c r="AM22" s="78">
        <f t="shared" si="49"/>
        <v>421277.81375000003</v>
      </c>
      <c r="AP22" s="95">
        <v>426.77</v>
      </c>
      <c r="AQ22" s="95"/>
      <c r="AR22" s="95">
        <v>580.05212345437496</v>
      </c>
    </row>
    <row r="23" spans="1:44" x14ac:dyDescent="0.25">
      <c r="A23" s="103">
        <f t="shared" si="6"/>
        <v>16</v>
      </c>
      <c r="B23" s="11" t="s">
        <v>235</v>
      </c>
      <c r="C23" s="95">
        <f t="shared" si="1"/>
        <v>1160.1042469087499</v>
      </c>
      <c r="D23" s="95">
        <f>+C23*12</f>
        <v>13921.250962905</v>
      </c>
      <c r="E23" s="522">
        <v>0</v>
      </c>
      <c r="F23" s="469">
        <f t="shared" si="7"/>
        <v>0</v>
      </c>
      <c r="G23" s="522">
        <v>0</v>
      </c>
      <c r="H23" s="469">
        <f t="shared" si="7"/>
        <v>0</v>
      </c>
      <c r="I23" s="522">
        <v>0</v>
      </c>
      <c r="J23" s="469">
        <f t="shared" ref="J23" si="133">ROUND(+I23*$D23,0)</f>
        <v>0</v>
      </c>
      <c r="K23" s="522">
        <v>0</v>
      </c>
      <c r="L23" s="469">
        <f t="shared" ref="L23" si="134">ROUND(+K23*$D23,0)</f>
        <v>0</v>
      </c>
      <c r="M23" s="522">
        <v>0</v>
      </c>
      <c r="N23" s="469">
        <f t="shared" ref="N23" si="135">ROUND(+M23*$D23,0)</f>
        <v>0</v>
      </c>
      <c r="O23" s="522">
        <v>0</v>
      </c>
      <c r="P23" s="469">
        <f t="shared" ref="P23" si="136">ROUND(+O23*$D23,0)</f>
        <v>0</v>
      </c>
      <c r="Q23" s="522">
        <v>0</v>
      </c>
      <c r="R23" s="469">
        <f t="shared" si="12"/>
        <v>0</v>
      </c>
      <c r="S23" s="522">
        <v>0</v>
      </c>
      <c r="T23" s="469">
        <f t="shared" ref="T23" si="137">ROUND(+S23*$D23,0)</f>
        <v>0</v>
      </c>
      <c r="U23" s="522">
        <v>3</v>
      </c>
      <c r="V23" s="469">
        <f t="shared" ref="V23" si="138">ROUND(+U23*$D23,0)</f>
        <v>41764</v>
      </c>
      <c r="W23" s="522">
        <v>0</v>
      </c>
      <c r="X23" s="469">
        <f t="shared" ref="X23" si="139">ROUND(+W23*$D23,0)</f>
        <v>0</v>
      </c>
      <c r="Y23" s="522">
        <v>0</v>
      </c>
      <c r="Z23" s="469">
        <f t="shared" ref="Z23" si="140">ROUND(+Y23*$D23,0)</f>
        <v>0</v>
      </c>
      <c r="AA23" s="522">
        <v>0</v>
      </c>
      <c r="AB23" s="469">
        <f t="shared" ref="AB23" si="141">ROUND(+AA23*$D23,0)</f>
        <v>0</v>
      </c>
      <c r="AC23" s="522"/>
      <c r="AD23" s="469"/>
      <c r="AE23" s="522"/>
      <c r="AF23" s="469"/>
      <c r="AH23" s="75">
        <f t="shared" si="3"/>
        <v>3</v>
      </c>
      <c r="AI23" s="34">
        <f t="shared" si="132"/>
        <v>28085.187583333336</v>
      </c>
      <c r="AJ23" s="34">
        <f t="shared" si="18"/>
        <v>84255.562750000012</v>
      </c>
      <c r="AK23" s="34">
        <f t="shared" si="4"/>
        <v>42127.781375000006</v>
      </c>
      <c r="AM23" s="78">
        <f t="shared" si="49"/>
        <v>42127.781375000006</v>
      </c>
      <c r="AP23" s="95">
        <v>873.54</v>
      </c>
      <c r="AQ23" s="95"/>
      <c r="AR23" s="95">
        <v>1160.1042469087499</v>
      </c>
    </row>
    <row r="24" spans="1:44" x14ac:dyDescent="0.25">
      <c r="A24" s="103">
        <f t="shared" si="6"/>
        <v>17</v>
      </c>
      <c r="B24" s="10"/>
      <c r="C24" s="95"/>
      <c r="D24" s="95"/>
      <c r="E24" s="522"/>
      <c r="F24" s="469"/>
      <c r="G24" s="522"/>
      <c r="H24" s="469"/>
      <c r="I24" s="522"/>
      <c r="J24" s="469"/>
      <c r="K24" s="522"/>
      <c r="L24" s="469"/>
      <c r="M24" s="522"/>
      <c r="N24" s="469"/>
      <c r="O24" s="522"/>
      <c r="P24" s="469"/>
      <c r="Q24" s="522"/>
      <c r="R24" s="523"/>
      <c r="S24" s="522"/>
      <c r="T24" s="523"/>
      <c r="U24" s="522"/>
      <c r="V24" s="523"/>
      <c r="W24" s="522"/>
      <c r="X24" s="523"/>
      <c r="Y24" s="522"/>
      <c r="Z24" s="523"/>
      <c r="AA24" s="522"/>
      <c r="AB24" s="523"/>
      <c r="AC24" s="522"/>
      <c r="AD24" s="523"/>
      <c r="AE24" s="522"/>
      <c r="AF24" s="523"/>
      <c r="AJ24" s="34"/>
      <c r="AK24" s="34"/>
    </row>
    <row r="25" spans="1:44" x14ac:dyDescent="0.25">
      <c r="A25" s="103">
        <f t="shared" si="6"/>
        <v>18</v>
      </c>
      <c r="B25" s="57" t="s">
        <v>27</v>
      </c>
      <c r="C25" s="57"/>
      <c r="D25" s="49">
        <f>SUM(H25,F25,J25,L25,P25,N25,T25,V25,X25,Z25,AB25)</f>
        <v>484306</v>
      </c>
      <c r="E25" s="522">
        <f t="shared" ref="E25:AB25" si="142">SUM(E8:E24)</f>
        <v>39</v>
      </c>
      <c r="F25" s="469">
        <f t="shared" si="142"/>
        <v>192730</v>
      </c>
      <c r="G25" s="522">
        <f t="shared" si="142"/>
        <v>30</v>
      </c>
      <c r="H25" s="469">
        <f t="shared" si="142"/>
        <v>163527</v>
      </c>
      <c r="I25" s="522">
        <f t="shared" si="142"/>
        <v>0</v>
      </c>
      <c r="J25" s="469">
        <f t="shared" si="142"/>
        <v>0</v>
      </c>
      <c r="K25" s="522">
        <f t="shared" si="142"/>
        <v>0</v>
      </c>
      <c r="L25" s="469">
        <f t="shared" si="142"/>
        <v>0</v>
      </c>
      <c r="M25" s="522">
        <f t="shared" si="142"/>
        <v>5</v>
      </c>
      <c r="N25" s="469">
        <f t="shared" si="142"/>
        <v>4571</v>
      </c>
      <c r="O25" s="522">
        <f t="shared" si="142"/>
        <v>0</v>
      </c>
      <c r="P25" s="469">
        <f t="shared" si="142"/>
        <v>0</v>
      </c>
      <c r="Q25" s="522">
        <f t="shared" ref="Q25:R25" si="143">SUM(Q8:Q24)</f>
        <v>0</v>
      </c>
      <c r="R25" s="469">
        <f t="shared" si="143"/>
        <v>0</v>
      </c>
      <c r="S25" s="522">
        <f t="shared" si="142"/>
        <v>1</v>
      </c>
      <c r="T25" s="469">
        <f t="shared" si="142"/>
        <v>1545</v>
      </c>
      <c r="U25" s="522">
        <f t="shared" si="142"/>
        <v>5</v>
      </c>
      <c r="V25" s="469">
        <f t="shared" si="142"/>
        <v>52701</v>
      </c>
      <c r="W25" s="522">
        <f t="shared" si="142"/>
        <v>8</v>
      </c>
      <c r="X25" s="469">
        <f t="shared" si="142"/>
        <v>27225</v>
      </c>
      <c r="Y25" s="522">
        <f t="shared" si="142"/>
        <v>11</v>
      </c>
      <c r="Z25" s="469">
        <f t="shared" si="142"/>
        <v>36273</v>
      </c>
      <c r="AA25" s="522">
        <f t="shared" si="142"/>
        <v>4</v>
      </c>
      <c r="AB25" s="469">
        <f t="shared" si="142"/>
        <v>5734</v>
      </c>
      <c r="AC25" s="522"/>
      <c r="AD25" s="469"/>
      <c r="AE25" s="522"/>
      <c r="AF25" s="469"/>
      <c r="AH25" s="75">
        <f t="shared" si="3"/>
        <v>103</v>
      </c>
      <c r="AJ25" s="34">
        <f>SUM(AJ8:AJ24)</f>
        <v>2214860.3620433332</v>
      </c>
      <c r="AK25" s="34">
        <f>SUM(AK8:AK24)</f>
        <v>1107430.1810216666</v>
      </c>
      <c r="AL25" s="34">
        <f t="shared" ref="AL25:AM25" si="144">SUM(AL8:AL24)</f>
        <v>10330.938187799478</v>
      </c>
      <c r="AM25" s="34">
        <f t="shared" si="144"/>
        <v>1097099.242833867</v>
      </c>
    </row>
    <row r="26" spans="1:44" x14ac:dyDescent="0.25">
      <c r="A26" s="103">
        <f t="shared" si="6"/>
        <v>19</v>
      </c>
      <c r="B26" s="57"/>
      <c r="C26" s="57"/>
      <c r="D26" s="57"/>
      <c r="E26" s="484"/>
      <c r="F26" s="94"/>
      <c r="G26" s="484"/>
      <c r="H26" s="94"/>
      <c r="I26" s="484"/>
      <c r="J26" s="94"/>
      <c r="K26" s="484"/>
      <c r="L26" s="94"/>
      <c r="M26" s="484"/>
      <c r="N26" s="94"/>
      <c r="O26" s="484"/>
      <c r="P26" s="94"/>
      <c r="Q26" s="484"/>
      <c r="R26" s="94"/>
      <c r="S26" s="484"/>
      <c r="T26" s="94"/>
      <c r="U26" s="484"/>
      <c r="V26" s="94"/>
      <c r="W26" s="484"/>
      <c r="X26" s="94"/>
      <c r="Y26" s="484"/>
      <c r="Z26" s="94"/>
      <c r="AA26" s="484"/>
      <c r="AB26" s="94"/>
      <c r="AC26" s="484"/>
      <c r="AD26" s="94"/>
      <c r="AE26" s="484"/>
      <c r="AF26" s="94"/>
    </row>
    <row r="27" spans="1:44" x14ac:dyDescent="0.25">
      <c r="A27" s="103">
        <f t="shared" si="6"/>
        <v>20</v>
      </c>
      <c r="B27" s="86" t="s">
        <v>243</v>
      </c>
      <c r="C27" s="57"/>
      <c r="D27" s="73">
        <f>SUM(E27:AF27)</f>
        <v>629520</v>
      </c>
      <c r="E27" s="484"/>
      <c r="F27" s="453">
        <f>+'[2]Customer Demand'!$K$14</f>
        <v>273811</v>
      </c>
      <c r="G27" s="484"/>
      <c r="H27" s="453">
        <f>+'[2]Customer Demand'!$K$17</f>
        <v>193363</v>
      </c>
      <c r="I27" s="484"/>
      <c r="J27" s="453">
        <v>0</v>
      </c>
      <c r="K27" s="484"/>
      <c r="L27" s="453">
        <v>0</v>
      </c>
      <c r="M27" s="484"/>
      <c r="N27" s="453">
        <f>+'[2]Customer Demand'!$K$23</f>
        <v>3319</v>
      </c>
      <c r="O27" s="484"/>
      <c r="P27" s="453">
        <v>0</v>
      </c>
      <c r="Q27" s="484"/>
      <c r="R27" s="453">
        <v>0</v>
      </c>
      <c r="S27" s="484"/>
      <c r="T27" s="453">
        <f>+'[2]Customer Demand'!$K$21</f>
        <v>1040</v>
      </c>
      <c r="U27" s="484"/>
      <c r="V27" s="453">
        <f>+'[2]Customer Demand'!$K$12</f>
        <v>47677</v>
      </c>
      <c r="W27" s="484"/>
      <c r="X27" s="453">
        <f>+'[2]Customer Demand'!$K$20</f>
        <v>47824</v>
      </c>
      <c r="Y27" s="484"/>
      <c r="Z27" s="453">
        <f>+'[2]Customer Demand'!$K$9</f>
        <v>53929</v>
      </c>
      <c r="AA27" s="484"/>
      <c r="AB27" s="453">
        <f>+'[2]Customer Demand'!$K$10</f>
        <v>8557</v>
      </c>
      <c r="AC27" s="484"/>
      <c r="AD27" s="453"/>
      <c r="AE27" s="484"/>
      <c r="AF27" s="453"/>
    </row>
    <row r="28" spans="1:44" x14ac:dyDescent="0.25">
      <c r="A28" s="103">
        <f t="shared" si="6"/>
        <v>21</v>
      </c>
      <c r="B28" s="86" t="s">
        <v>183</v>
      </c>
      <c r="C28" s="57"/>
      <c r="D28" s="73">
        <f>SUM(E28:AF28)</f>
        <v>668417</v>
      </c>
      <c r="E28" s="484"/>
      <c r="F28" s="453">
        <f>+'[2]Customer Demand'!$K$15</f>
        <v>264056</v>
      </c>
      <c r="G28" s="484"/>
      <c r="H28" s="453">
        <f>+'[2]Customer Demand'!$K$18</f>
        <v>83914</v>
      </c>
      <c r="I28" s="484"/>
      <c r="J28" s="453">
        <f>+'[2]Customer Demand'!$K$16</f>
        <v>56070</v>
      </c>
      <c r="K28" s="484"/>
      <c r="L28" s="453">
        <f>+'[2]Customer Demand'!$K$19</f>
        <v>41376</v>
      </c>
      <c r="M28" s="484"/>
      <c r="N28" s="453">
        <f>+'[2]Customer Demand'!$K$24</f>
        <v>51915</v>
      </c>
      <c r="O28" s="484"/>
      <c r="P28" s="453">
        <f>+'[2]Customer Demand'!$K$8</f>
        <v>67312</v>
      </c>
      <c r="Q28" s="484"/>
      <c r="R28" s="453">
        <f>+'[2]Customer Demand'!$K$25</f>
        <v>11290</v>
      </c>
      <c r="S28" s="484"/>
      <c r="T28" s="453">
        <f>+'[2]Customer Demand'!$K$22</f>
        <v>50976</v>
      </c>
      <c r="U28" s="484"/>
      <c r="V28" s="453">
        <f>+'[2]Customer Demand'!$K$13</f>
        <v>22692</v>
      </c>
      <c r="W28" s="484"/>
      <c r="X28" s="453">
        <v>0</v>
      </c>
      <c r="Y28" s="484"/>
      <c r="Z28" s="453">
        <v>0</v>
      </c>
      <c r="AA28" s="484"/>
      <c r="AB28" s="453">
        <f>+'[2]Customer Demand'!$K$11</f>
        <v>18816</v>
      </c>
      <c r="AC28" s="484"/>
      <c r="AD28" s="453"/>
      <c r="AE28" s="484"/>
      <c r="AF28" s="453"/>
    </row>
    <row r="29" spans="1:44" x14ac:dyDescent="0.25">
      <c r="A29" s="103">
        <f t="shared" si="6"/>
        <v>22</v>
      </c>
      <c r="B29" s="57"/>
      <c r="C29" s="57"/>
      <c r="D29" s="57"/>
      <c r="E29" s="484"/>
      <c r="F29" s="453"/>
      <c r="G29" s="484"/>
      <c r="H29" s="453"/>
      <c r="I29" s="484"/>
      <c r="J29" s="453"/>
      <c r="K29" s="484"/>
      <c r="L29" s="453"/>
      <c r="M29" s="484"/>
      <c r="N29" s="453"/>
      <c r="O29" s="484"/>
      <c r="P29" s="453"/>
      <c r="Q29" s="484"/>
      <c r="R29" s="453"/>
      <c r="S29" s="484"/>
      <c r="T29" s="453"/>
      <c r="U29" s="484"/>
      <c r="V29" s="453"/>
      <c r="W29" s="484"/>
      <c r="X29" s="453"/>
      <c r="Y29" s="484"/>
      <c r="Z29" s="453"/>
      <c r="AA29" s="484"/>
      <c r="AB29" s="453"/>
      <c r="AC29" s="484"/>
      <c r="AD29" s="453"/>
      <c r="AE29" s="484"/>
      <c r="AF29" s="453"/>
    </row>
    <row r="30" spans="1:44" x14ac:dyDescent="0.25">
      <c r="A30" s="103">
        <f t="shared" si="6"/>
        <v>23</v>
      </c>
      <c r="B30" s="80" t="s">
        <v>28</v>
      </c>
      <c r="C30" s="57"/>
      <c r="D30" s="73">
        <f>SUM(D27:D29)</f>
        <v>1297937</v>
      </c>
      <c r="E30" s="484"/>
      <c r="F30" s="453">
        <f>SUM(F27:F29)</f>
        <v>537867</v>
      </c>
      <c r="G30" s="484"/>
      <c r="H30" s="453">
        <f>SUM(H27:H29)</f>
        <v>277277</v>
      </c>
      <c r="I30" s="484"/>
      <c r="J30" s="453">
        <f>SUM(J27:J29)</f>
        <v>56070</v>
      </c>
      <c r="K30" s="484"/>
      <c r="L30" s="453">
        <f>SUM(L27:L29)</f>
        <v>41376</v>
      </c>
      <c r="M30" s="484"/>
      <c r="N30" s="453">
        <f>SUM(N27:N29)</f>
        <v>55234</v>
      </c>
      <c r="O30" s="484"/>
      <c r="P30" s="453">
        <f>SUM(P27:P29)</f>
        <v>67312</v>
      </c>
      <c r="Q30" s="484"/>
      <c r="R30" s="453">
        <f>SUM(R27:R29)</f>
        <v>11290</v>
      </c>
      <c r="S30" s="484"/>
      <c r="T30" s="453">
        <f>SUM(T27:T29)</f>
        <v>52016</v>
      </c>
      <c r="U30" s="484"/>
      <c r="V30" s="453">
        <f>SUM(V27:V29)</f>
        <v>70369</v>
      </c>
      <c r="W30" s="484"/>
      <c r="X30" s="453">
        <f>SUM(X27:X29)</f>
        <v>47824</v>
      </c>
      <c r="Y30" s="484"/>
      <c r="Z30" s="453">
        <f>SUM(Z27:Z29)</f>
        <v>53929</v>
      </c>
      <c r="AA30" s="484"/>
      <c r="AB30" s="453">
        <f>SUM(AB27:AB29)</f>
        <v>27373</v>
      </c>
      <c r="AC30" s="484"/>
      <c r="AD30" s="453"/>
      <c r="AE30" s="484"/>
      <c r="AF30" s="453"/>
    </row>
    <row r="31" spans="1:44" x14ac:dyDescent="0.25">
      <c r="A31" s="103">
        <f t="shared" si="6"/>
        <v>24</v>
      </c>
      <c r="B31" s="57"/>
      <c r="C31" s="57"/>
      <c r="D31" s="57"/>
      <c r="E31" s="484"/>
      <c r="F31" s="94"/>
      <c r="G31" s="484"/>
      <c r="H31" s="94"/>
      <c r="I31" s="484"/>
      <c r="J31" s="94"/>
      <c r="K31" s="484"/>
      <c r="L31" s="94"/>
      <c r="M31" s="484"/>
      <c r="N31" s="94"/>
      <c r="O31" s="484"/>
      <c r="P31" s="94"/>
      <c r="Q31" s="484"/>
      <c r="R31" s="94"/>
      <c r="S31" s="484"/>
      <c r="T31" s="94"/>
      <c r="U31" s="484"/>
      <c r="V31" s="94"/>
      <c r="W31" s="484"/>
      <c r="X31" s="94"/>
      <c r="Y31" s="484"/>
      <c r="Z31" s="94"/>
      <c r="AA31" s="484"/>
      <c r="AB31" s="94"/>
      <c r="AC31" s="484"/>
      <c r="AD31" s="94"/>
      <c r="AE31" s="484"/>
      <c r="AF31" s="94"/>
    </row>
    <row r="32" spans="1:44" x14ac:dyDescent="0.25">
      <c r="A32" s="103">
        <f t="shared" si="6"/>
        <v>25</v>
      </c>
      <c r="B32" s="57" t="s">
        <v>29</v>
      </c>
      <c r="C32" s="57"/>
      <c r="D32" s="57"/>
      <c r="E32" s="484"/>
      <c r="F32" s="524">
        <f>ROUND(+'2016 Coincident Demand Fac'!C7,4)</f>
        <v>0.88980000000000004</v>
      </c>
      <c r="G32" s="484"/>
      <c r="H32" s="524">
        <f>ROUND('2016 Coincident Demand Fac'!C9,4)</f>
        <v>0.89859999999999995</v>
      </c>
      <c r="I32" s="484"/>
      <c r="J32" s="524">
        <f>ROUND('2016 Coincident Demand Fac'!C8,4)</f>
        <v>1</v>
      </c>
      <c r="K32" s="484"/>
      <c r="L32" s="524">
        <f>ROUND('2016 Coincident Demand Fac'!C5,4)</f>
        <v>1</v>
      </c>
      <c r="M32" s="484"/>
      <c r="N32" s="524">
        <f>ROUND('2016 Coincident Demand Fac'!C12,4)</f>
        <v>0.98680000000000001</v>
      </c>
      <c r="O32" s="484"/>
      <c r="P32" s="524">
        <f>ROUND('2016 Coincident Demand Fac'!C14,4)</f>
        <v>1</v>
      </c>
      <c r="Q32" s="484"/>
      <c r="R32" s="524">
        <f>ROUND('2016 Coincident Demand Fac'!C13,4)</f>
        <v>1</v>
      </c>
      <c r="S32" s="484"/>
      <c r="T32" s="524">
        <f>ROUND('2016 Coincident Demand Fac'!C11,4)</f>
        <v>0.99770000000000003</v>
      </c>
      <c r="U32" s="484"/>
      <c r="V32" s="524">
        <f>ROUND('2016 Coincident Demand Fac'!C6,4)</f>
        <v>0.91700000000000004</v>
      </c>
      <c r="W32" s="484"/>
      <c r="X32" s="524">
        <f>ROUND('2016 Coincident Demand Fac'!C10,4)</f>
        <v>0.95850000000000002</v>
      </c>
      <c r="Y32" s="484"/>
      <c r="Z32" s="524">
        <f>ROUND('2016 Coincident Demand Fac'!C3,4)</f>
        <v>0.94930000000000003</v>
      </c>
      <c r="AA32" s="484"/>
      <c r="AB32" s="524">
        <f>ROUND('2016 Coincident Demand Fac'!C4,4)</f>
        <v>0.97319999999999995</v>
      </c>
      <c r="AC32" s="484"/>
      <c r="AD32" s="524"/>
      <c r="AE32" s="484"/>
      <c r="AF32" s="524"/>
    </row>
    <row r="33" spans="1:32" x14ac:dyDescent="0.25">
      <c r="A33" s="103">
        <f t="shared" si="6"/>
        <v>26</v>
      </c>
      <c r="B33" s="57"/>
      <c r="C33" s="57"/>
      <c r="D33" s="57"/>
      <c r="E33" s="484"/>
      <c r="F33" s="94"/>
      <c r="G33" s="484"/>
      <c r="H33" s="94"/>
      <c r="I33" s="484"/>
      <c r="J33" s="94"/>
      <c r="K33" s="484"/>
      <c r="L33" s="94"/>
      <c r="M33" s="484"/>
      <c r="N33" s="94"/>
      <c r="O33" s="484"/>
      <c r="P33" s="94"/>
      <c r="Q33" s="484"/>
      <c r="R33" s="94"/>
      <c r="S33" s="484"/>
      <c r="T33" s="94"/>
      <c r="U33" s="484"/>
      <c r="V33" s="94"/>
      <c r="W33" s="484"/>
      <c r="X33" s="94"/>
      <c r="Y33" s="484"/>
      <c r="Z33" s="94"/>
      <c r="AA33" s="484"/>
      <c r="AB33" s="94"/>
      <c r="AC33" s="484"/>
      <c r="AD33" s="94"/>
      <c r="AE33" s="484"/>
      <c r="AF33" s="94"/>
    </row>
    <row r="34" spans="1:32" x14ac:dyDescent="0.25">
      <c r="A34" s="103">
        <f t="shared" si="6"/>
        <v>27</v>
      </c>
      <c r="B34" s="57" t="s">
        <v>30</v>
      </c>
      <c r="C34" s="57"/>
      <c r="D34" s="73">
        <f>SUM(E34:AF34)</f>
        <v>1198408</v>
      </c>
      <c r="E34" s="484"/>
      <c r="F34" s="453">
        <f>ROUND(SUM('[2]Customer Demand'!$D$14:$D$15),0)</f>
        <v>478594</v>
      </c>
      <c r="G34" s="484"/>
      <c r="H34" s="453">
        <f>ROUND(SUM('[2]Customer Demand'!$D$17:$D$18),0)</f>
        <v>249161</v>
      </c>
      <c r="I34" s="484"/>
      <c r="J34" s="453">
        <f>ROUND(SUM('[2]Customer Demand'!$D$16:$D$16),0)</f>
        <v>56070</v>
      </c>
      <c r="K34" s="484"/>
      <c r="L34" s="453">
        <f>ROUND(SUM('[2]Customer Demand'!$D$19:$D$19),0)</f>
        <v>41376</v>
      </c>
      <c r="M34" s="484"/>
      <c r="N34" s="453">
        <f>ROUND(SUM('[2]Customer Demand'!$D$23:$D$24),0)</f>
        <v>54505</v>
      </c>
      <c r="O34" s="484"/>
      <c r="P34" s="453">
        <f>ROUND(SUM('[2]Customer Demand'!$D$8:$D$8),0)</f>
        <v>67312</v>
      </c>
      <c r="Q34" s="484"/>
      <c r="R34" s="453">
        <f>ROUND(SUM('[2]Customer Demand'!$D$25),0)</f>
        <v>11290</v>
      </c>
      <c r="S34" s="484"/>
      <c r="T34" s="453">
        <f>ROUND(SUM('[2]Customer Demand'!$D$21:$D$22),0)</f>
        <v>51897</v>
      </c>
      <c r="U34" s="484"/>
      <c r="V34" s="453">
        <f>ROUND(SUM('[2]Customer Demand'!$D$12:$D$13),0)</f>
        <v>64529</v>
      </c>
      <c r="W34" s="484"/>
      <c r="X34" s="453">
        <f>ROUND(SUM('[2]Customer Demand'!$D$20:$D$20),0)</f>
        <v>45839</v>
      </c>
      <c r="Y34" s="484"/>
      <c r="Z34" s="453">
        <f>ROUND(SUM('[2]Customer Demand'!$D$9:$D$9),0)</f>
        <v>51195</v>
      </c>
      <c r="AA34" s="484"/>
      <c r="AB34" s="453">
        <f>ROUND(SUM('[2]Customer Demand'!$D$10:$D$11),0)</f>
        <v>26640</v>
      </c>
      <c r="AC34" s="484"/>
      <c r="AD34" s="453"/>
      <c r="AE34" s="484"/>
      <c r="AF34" s="453"/>
    </row>
    <row r="35" spans="1:32" x14ac:dyDescent="0.25">
      <c r="A35" s="103">
        <f t="shared" si="6"/>
        <v>28</v>
      </c>
      <c r="B35" s="57"/>
      <c r="C35" s="57"/>
      <c r="D35" s="57"/>
      <c r="E35" s="484"/>
      <c r="F35" s="94"/>
      <c r="G35" s="484"/>
      <c r="H35" s="94"/>
      <c r="I35" s="484"/>
      <c r="J35" s="94"/>
      <c r="K35" s="484"/>
      <c r="L35" s="94"/>
      <c r="M35" s="484"/>
      <c r="N35" s="94"/>
      <c r="O35" s="484"/>
      <c r="P35" s="94"/>
      <c r="Q35" s="484"/>
      <c r="R35" s="94"/>
      <c r="S35" s="484"/>
      <c r="T35" s="94"/>
      <c r="U35" s="484"/>
      <c r="V35" s="94"/>
      <c r="W35" s="484"/>
      <c r="X35" s="94"/>
      <c r="Y35" s="484"/>
      <c r="Z35" s="94"/>
      <c r="AA35" s="484"/>
      <c r="AB35" s="94"/>
      <c r="AC35" s="484"/>
      <c r="AD35" s="94"/>
      <c r="AE35" s="484"/>
      <c r="AF35" s="94"/>
    </row>
    <row r="36" spans="1:32" ht="13.8" thickBot="1" x14ac:dyDescent="0.3">
      <c r="A36" s="104">
        <f t="shared" si="6"/>
        <v>29</v>
      </c>
      <c r="B36" s="105" t="s">
        <v>370</v>
      </c>
      <c r="C36" s="96"/>
      <c r="D36" s="96"/>
      <c r="E36" s="494"/>
      <c r="F36" s="162">
        <f>IF(F30=0,0,ROUND(+F25/F34,2))</f>
        <v>0.4</v>
      </c>
      <c r="G36" s="494"/>
      <c r="H36" s="162">
        <f>IF(H30=0,0,ROUND(+H25/H34,2))</f>
        <v>0.66</v>
      </c>
      <c r="I36" s="494"/>
      <c r="J36" s="162">
        <f>IF(J30=0,0,ROUND(+J25/J34,2))</f>
        <v>0</v>
      </c>
      <c r="K36" s="494"/>
      <c r="L36" s="162">
        <f>IF(L30=0,0,ROUND(+L25/L34,2))</f>
        <v>0</v>
      </c>
      <c r="M36" s="494"/>
      <c r="N36" s="162">
        <f>IF(N30=0,0,ROUND(+N25/N34,2))</f>
        <v>0.08</v>
      </c>
      <c r="O36" s="494"/>
      <c r="P36" s="162">
        <f>IF(P30=0,0,ROUND(+P25/P34,2))</f>
        <v>0</v>
      </c>
      <c r="Q36" s="494"/>
      <c r="R36" s="162">
        <f>IF(R30=0,0,ROUND(+R25/R34,2))</f>
        <v>0</v>
      </c>
      <c r="S36" s="494"/>
      <c r="T36" s="162">
        <f>IF(T30=0,0,ROUND(+T25/T34,2))</f>
        <v>0.03</v>
      </c>
      <c r="U36" s="494"/>
      <c r="V36" s="162">
        <f>IF(V30=0,0,ROUND(+V25/V34,2))</f>
        <v>0.82</v>
      </c>
      <c r="W36" s="494"/>
      <c r="X36" s="162">
        <f>IF(X30=0,0,ROUND(+X25/X34,2))</f>
        <v>0.59</v>
      </c>
      <c r="Y36" s="494"/>
      <c r="Z36" s="162">
        <f>IF(Z30=0,0,ROUND(+Z25/Z34,2))</f>
        <v>0.71</v>
      </c>
      <c r="AA36" s="494"/>
      <c r="AB36" s="162">
        <f>IF(AB30=0,0,ROUND(+AB25/AB34,2))</f>
        <v>0.22</v>
      </c>
      <c r="AC36" s="494"/>
      <c r="AD36" s="162"/>
      <c r="AE36" s="494"/>
      <c r="AF36" s="162"/>
    </row>
    <row r="37" spans="1:32" x14ac:dyDescent="0.25">
      <c r="A37" s="397">
        <f t="shared" si="6"/>
        <v>30</v>
      </c>
    </row>
    <row r="38" spans="1:32" x14ac:dyDescent="0.25">
      <c r="A38" s="85">
        <f t="shared" si="6"/>
        <v>31</v>
      </c>
      <c r="D38" s="77">
        <f>+'Bill Determinants'!E30</f>
        <v>1198408</v>
      </c>
      <c r="F38" s="75">
        <f>ROUND(+F30*F32,0)-F34</f>
        <v>0</v>
      </c>
      <c r="H38" s="75">
        <f>ROUND(+H30*H32,0)-H34</f>
        <v>0</v>
      </c>
      <c r="J38" s="75">
        <f>ROUND(+J30*J32,0)-J34</f>
        <v>0</v>
      </c>
      <c r="L38" s="75">
        <f>ROUND(+L30*L32,0)-L34</f>
        <v>0</v>
      </c>
      <c r="N38" s="75">
        <f>ROUND(+N30*N32,0)-N34</f>
        <v>0</v>
      </c>
      <c r="P38" s="75">
        <f>ROUND(+P30*P32,0)-P34</f>
        <v>0</v>
      </c>
      <c r="Q38" s="75"/>
      <c r="R38" s="75"/>
      <c r="T38" s="75">
        <f>ROUND(+T30*T32,0)-T34</f>
        <v>-1</v>
      </c>
      <c r="V38" s="75">
        <f>ROUND(+V30*V32,0)-V34</f>
        <v>-1</v>
      </c>
      <c r="X38" s="75">
        <f>ROUND(+X30*X32,0)-X34</f>
        <v>0</v>
      </c>
      <c r="Z38" s="75">
        <f>ROUND(+Z30*Z32,0)-Z34</f>
        <v>0</v>
      </c>
      <c r="AB38" s="75">
        <f>ROUND(+AB30*AB32,0)-AB34</f>
        <v>-1</v>
      </c>
      <c r="AD38" s="75"/>
      <c r="AF38" s="75"/>
    </row>
    <row r="39" spans="1:32" x14ac:dyDescent="0.25">
      <c r="A39" s="211">
        <f t="shared" si="6"/>
        <v>32</v>
      </c>
      <c r="D39" s="77">
        <f>+D38-D34</f>
        <v>0</v>
      </c>
    </row>
    <row r="40" spans="1:32" x14ac:dyDescent="0.25">
      <c r="A40" s="211">
        <f t="shared" si="6"/>
        <v>33</v>
      </c>
      <c r="B40" s="68" t="s">
        <v>364</v>
      </c>
      <c r="D40" s="73">
        <f t="shared" ref="D40:D44" si="145">SUM(E40:AF40)</f>
        <v>570788</v>
      </c>
      <c r="F40" s="75">
        <f>ROUND(F27*F$32,0)</f>
        <v>243637</v>
      </c>
      <c r="H40" s="75">
        <f>ROUND(H27*H$32,0)</f>
        <v>173756</v>
      </c>
      <c r="J40" s="75">
        <f>ROUND(J27*J$32,0)</f>
        <v>0</v>
      </c>
      <c r="L40" s="75">
        <f>ROUND(L27*L$32,0)</f>
        <v>0</v>
      </c>
      <c r="N40" s="75">
        <f>ROUND(N27*N$32,0)</f>
        <v>3275</v>
      </c>
      <c r="P40" s="75">
        <f>ROUND(P27*P$32,0)</f>
        <v>0</v>
      </c>
      <c r="Q40" s="75"/>
      <c r="R40" s="75"/>
      <c r="T40" s="75">
        <f>ROUND(T27*T$32,0)</f>
        <v>1038</v>
      </c>
      <c r="V40" s="75">
        <f>ROUND(V27*V$32,0)</f>
        <v>43720</v>
      </c>
      <c r="X40" s="75">
        <f>ROUND(X27*X$32,0)</f>
        <v>45839</v>
      </c>
      <c r="Z40" s="75">
        <f>ROUND(Z27*Z$32,0)</f>
        <v>51195</v>
      </c>
      <c r="AB40" s="75">
        <f>ROUND(AB27*AB$32,0)</f>
        <v>8328</v>
      </c>
      <c r="AD40" s="75"/>
      <c r="AF40" s="75"/>
    </row>
    <row r="41" spans="1:32" x14ac:dyDescent="0.25">
      <c r="A41" s="211">
        <f t="shared" si="6"/>
        <v>34</v>
      </c>
      <c r="B41" s="68" t="s">
        <v>363</v>
      </c>
      <c r="D41" s="73">
        <f t="shared" si="145"/>
        <v>616330</v>
      </c>
      <c r="F41" s="75">
        <f>ROUND(F28*F$32,0)</f>
        <v>234957</v>
      </c>
      <c r="H41" s="75">
        <f>ROUND(H28*H$32,0)</f>
        <v>75405</v>
      </c>
      <c r="J41" s="75">
        <f>ROUND(J28*J$32,0)</f>
        <v>56070</v>
      </c>
      <c r="L41" s="75">
        <f>ROUND(L28*L$32,0)</f>
        <v>41376</v>
      </c>
      <c r="N41" s="75">
        <f>ROUND(N28*N$32,0)</f>
        <v>51230</v>
      </c>
      <c r="P41" s="75">
        <f>ROUND(P28*P$32,0)</f>
        <v>67312</v>
      </c>
      <c r="Q41" s="75"/>
      <c r="R41" s="75"/>
      <c r="T41" s="75">
        <f>ROUND(T28*T$32,0)</f>
        <v>50859</v>
      </c>
      <c r="V41" s="75">
        <f>ROUND(V28*V$32,0)</f>
        <v>20809</v>
      </c>
      <c r="X41" s="75">
        <f>ROUND(X28*X$32,0)</f>
        <v>0</v>
      </c>
      <c r="Z41" s="75">
        <f>ROUND(Z28*Z$32,0)</f>
        <v>0</v>
      </c>
      <c r="AB41" s="75">
        <f>ROUND(AB28*AB$32,0)</f>
        <v>18312</v>
      </c>
      <c r="AD41" s="75"/>
      <c r="AF41" s="75"/>
    </row>
    <row r="42" spans="1:32" x14ac:dyDescent="0.25">
      <c r="A42" s="211">
        <f t="shared" si="6"/>
        <v>35</v>
      </c>
      <c r="B42" s="26" t="s">
        <v>38</v>
      </c>
      <c r="D42" s="73">
        <f t="shared" si="145"/>
        <v>1187118</v>
      </c>
      <c r="F42" s="75">
        <f>SUM(F40:F41)</f>
        <v>478594</v>
      </c>
      <c r="H42" s="75">
        <f>SUM(H40:H41)</f>
        <v>249161</v>
      </c>
      <c r="J42" s="75">
        <f>SUM(J40:J41)</f>
        <v>56070</v>
      </c>
      <c r="L42" s="75">
        <f>SUM(L40:L41)</f>
        <v>41376</v>
      </c>
      <c r="N42" s="75">
        <f>SUM(N40:N41)</f>
        <v>54505</v>
      </c>
      <c r="P42" s="75">
        <f>SUM(P40:P41)</f>
        <v>67312</v>
      </c>
      <c r="Q42" s="75"/>
      <c r="R42" s="75"/>
      <c r="T42" s="75">
        <f>SUM(T40:T41)</f>
        <v>51897</v>
      </c>
      <c r="V42" s="75">
        <f>SUM(V40:V41)</f>
        <v>64529</v>
      </c>
      <c r="X42" s="75">
        <f>SUM(X40:X41)</f>
        <v>45839</v>
      </c>
      <c r="Z42" s="75">
        <f>SUM(Z40:Z41)</f>
        <v>51195</v>
      </c>
      <c r="AB42" s="75">
        <f>SUM(AB40:AB41)</f>
        <v>26640</v>
      </c>
      <c r="AD42" s="75"/>
      <c r="AF42" s="75"/>
    </row>
    <row r="43" spans="1:32" x14ac:dyDescent="0.25">
      <c r="A43" s="211">
        <f t="shared" si="6"/>
        <v>36</v>
      </c>
      <c r="D43" s="73">
        <f t="shared" si="145"/>
        <v>1187118</v>
      </c>
      <c r="F43" s="75">
        <f>+F34</f>
        <v>478594</v>
      </c>
      <c r="H43" s="75">
        <f>+H34</f>
        <v>249161</v>
      </c>
      <c r="J43" s="75">
        <f>+J34</f>
        <v>56070</v>
      </c>
      <c r="L43" s="75">
        <f>+L34</f>
        <v>41376</v>
      </c>
      <c r="N43" s="75">
        <f>+N34</f>
        <v>54505</v>
      </c>
      <c r="P43" s="75">
        <f>+P34</f>
        <v>67312</v>
      </c>
      <c r="Q43" s="75"/>
      <c r="R43" s="75"/>
      <c r="T43" s="75">
        <f>+T34</f>
        <v>51897</v>
      </c>
      <c r="V43" s="75">
        <f>+V34</f>
        <v>64529</v>
      </c>
      <c r="X43" s="75">
        <f>+X34</f>
        <v>45839</v>
      </c>
      <c r="Z43" s="75">
        <f>+Z34</f>
        <v>51195</v>
      </c>
      <c r="AB43" s="75">
        <f>+AB34</f>
        <v>26640</v>
      </c>
      <c r="AD43" s="75"/>
      <c r="AF43" s="75"/>
    </row>
    <row r="44" spans="1:32" x14ac:dyDescent="0.25">
      <c r="A44" s="211">
        <f t="shared" si="6"/>
        <v>37</v>
      </c>
      <c r="D44" s="73">
        <f t="shared" si="145"/>
        <v>0</v>
      </c>
      <c r="F44" s="75">
        <f>+F43-F42</f>
        <v>0</v>
      </c>
      <c r="H44" s="75">
        <f>+H43-H42</f>
        <v>0</v>
      </c>
      <c r="J44" s="75">
        <f>+J43-J42</f>
        <v>0</v>
      </c>
      <c r="L44" s="75">
        <f>+L43-L42</f>
        <v>0</v>
      </c>
      <c r="N44" s="75">
        <f>+N43-N42</f>
        <v>0</v>
      </c>
      <c r="P44" s="75">
        <f>+P43-P42</f>
        <v>0</v>
      </c>
      <c r="Q44" s="75"/>
      <c r="R44" s="75"/>
      <c r="T44" s="75">
        <f>+T43-T42</f>
        <v>0</v>
      </c>
      <c r="V44" s="75">
        <f>+V43-V42</f>
        <v>0</v>
      </c>
      <c r="X44" s="75">
        <f>+X43-X42</f>
        <v>0</v>
      </c>
      <c r="Z44" s="75">
        <f>+Z43-Z42</f>
        <v>0</v>
      </c>
      <c r="AB44" s="75">
        <f>+AB43-AB42</f>
        <v>0</v>
      </c>
      <c r="AD44" s="75"/>
      <c r="AF44" s="75"/>
    </row>
    <row r="45" spans="1:32" x14ac:dyDescent="0.25">
      <c r="A45" s="211">
        <f t="shared" si="6"/>
        <v>38</v>
      </c>
      <c r="F45" s="75"/>
    </row>
    <row r="46" spans="1:32" x14ac:dyDescent="0.25">
      <c r="A46" s="211">
        <f t="shared" si="6"/>
        <v>39</v>
      </c>
      <c r="B46" s="26" t="s">
        <v>371</v>
      </c>
      <c r="F46" s="108">
        <f>ROUND(+F25/F30,2)</f>
        <v>0.36</v>
      </c>
      <c r="H46" s="108">
        <f>ROUND(+H25/H30,2)</f>
        <v>0.59</v>
      </c>
      <c r="J46" s="108">
        <f>ROUND(+J25/J30,2)</f>
        <v>0</v>
      </c>
      <c r="L46" s="108">
        <f>ROUND(+L25/L30,2)</f>
        <v>0</v>
      </c>
      <c r="N46" s="108">
        <f>ROUND(+N25/N30,2)</f>
        <v>0.08</v>
      </c>
      <c r="P46" s="108">
        <f>ROUND(+P25/P30,2)</f>
        <v>0</v>
      </c>
      <c r="Q46" s="108"/>
      <c r="R46" s="108"/>
      <c r="T46" s="108">
        <f>ROUND(+T25/T30,2)</f>
        <v>0.03</v>
      </c>
      <c r="V46" s="108">
        <f>ROUND(+V25/V30,2)</f>
        <v>0.75</v>
      </c>
      <c r="X46" s="108">
        <f>ROUND(+X25/X30,2)</f>
        <v>0.56999999999999995</v>
      </c>
      <c r="Z46" s="108">
        <f>ROUND(+Z25/Z30,2)</f>
        <v>0.67</v>
      </c>
      <c r="AB46" s="108">
        <f>ROUND(+AB25/AB30,2)</f>
        <v>0.21</v>
      </c>
      <c r="AD46" s="108"/>
      <c r="AF46" s="108"/>
    </row>
    <row r="47" spans="1:32" x14ac:dyDescent="0.25">
      <c r="F47" s="75"/>
    </row>
  </sheetData>
  <mergeCells count="17">
    <mergeCell ref="A1:D1"/>
    <mergeCell ref="A2:D2"/>
    <mergeCell ref="A3:D3"/>
    <mergeCell ref="W6:X6"/>
    <mergeCell ref="S6:T6"/>
    <mergeCell ref="E6:F6"/>
    <mergeCell ref="I6:J6"/>
    <mergeCell ref="K6:L6"/>
    <mergeCell ref="O6:P6"/>
    <mergeCell ref="U6:V6"/>
    <mergeCell ref="M6:N6"/>
    <mergeCell ref="G6:H6"/>
    <mergeCell ref="Q6:R6"/>
    <mergeCell ref="AC6:AD6"/>
    <mergeCell ref="AE6:AF6"/>
    <mergeCell ref="AA6:AB6"/>
    <mergeCell ref="Y6:Z6"/>
  </mergeCells>
  <phoneticPr fontId="0" type="noConversion"/>
  <pageMargins left="0.5" right="0.5" top="1" bottom="1" header="0.5" footer="0.5"/>
  <pageSetup scale="60" fitToWidth="2" orientation="landscape" r:id="rId1"/>
  <headerFooter alignWithMargins="0">
    <oddHeader>&amp;RSchedule 40 Rate Design
Compliance Filing
Docket No. UE-170033
Page &amp;P of &amp;N</oddHeader>
    <oddFooter>&amp;L&amp;F,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B65"/>
  <sheetViews>
    <sheetView zoomScale="90" zoomScaleNormal="90" workbookViewId="0">
      <pane xSplit="2" ySplit="7" topLeftCell="DR8" activePane="bottomRight" state="frozen"/>
      <selection sqref="A1:F1"/>
      <selection pane="topRight" sqref="A1:F1"/>
      <selection pane="bottomLeft" sqref="A1:F1"/>
      <selection pane="bottomRight" activeCell="EI7" sqref="EI7"/>
    </sheetView>
  </sheetViews>
  <sheetFormatPr defaultColWidth="9.109375" defaultRowHeight="13.2" x14ac:dyDescent="0.25"/>
  <cols>
    <col min="1" max="1" width="4.44140625" style="26" bestFit="1" customWidth="1"/>
    <col min="2" max="2" width="40" style="26" bestFit="1" customWidth="1"/>
    <col min="3" max="4" width="12.44140625" style="26" bestFit="1" customWidth="1"/>
    <col min="5" max="7" width="11.88671875" style="26" bestFit="1" customWidth="1"/>
    <col min="8" max="9" width="11.88671875" style="26" customWidth="1"/>
    <col min="10" max="11" width="11.88671875" style="26" bestFit="1" customWidth="1"/>
    <col min="12" max="12" width="11" style="26" bestFit="1" customWidth="1"/>
    <col min="13" max="13" width="10.5546875" style="26" bestFit="1" customWidth="1"/>
    <col min="14" max="14" width="10.5546875" style="26" customWidth="1"/>
    <col min="15" max="16" width="10.5546875" style="26" bestFit="1" customWidth="1"/>
    <col min="17" max="17" width="12.5546875" style="26" bestFit="1" customWidth="1"/>
    <col min="18" max="19" width="11.44140625" style="26" customWidth="1"/>
    <col min="20" max="20" width="10.5546875" style="26" bestFit="1" customWidth="1"/>
    <col min="21" max="21" width="11.6640625" style="26" bestFit="1" customWidth="1"/>
    <col min="22" max="26" width="11.88671875" style="26" bestFit="1" customWidth="1"/>
    <col min="27" max="27" width="11.44140625" style="26" bestFit="1" customWidth="1"/>
    <col min="28" max="28" width="12.44140625" style="26" bestFit="1" customWidth="1"/>
    <col min="29" max="30" width="11.44140625" style="26" bestFit="1" customWidth="1"/>
    <col min="31" max="31" width="10.5546875" style="26" bestFit="1" customWidth="1"/>
    <col min="32" max="32" width="11.44140625" style="26" bestFit="1" customWidth="1"/>
    <col min="33" max="34" width="10.5546875" style="26" bestFit="1" customWidth="1"/>
    <col min="35" max="35" width="10.5546875" style="26" customWidth="1"/>
    <col min="36" max="36" width="11.44140625" style="26" bestFit="1" customWidth="1"/>
    <col min="37" max="38" width="10.5546875" style="26" customWidth="1"/>
    <col min="39" max="39" width="11.44140625" style="26" bestFit="1" customWidth="1"/>
    <col min="40" max="43" width="9.88671875" style="26" bestFit="1" customWidth="1"/>
    <col min="44" max="44" width="11.44140625" style="26" bestFit="1" customWidth="1"/>
    <col min="45" max="45" width="10.88671875" style="26" bestFit="1" customWidth="1"/>
    <col min="46" max="50" width="10.88671875" style="26" customWidth="1"/>
    <col min="51" max="51" width="11.5546875" style="26" bestFit="1" customWidth="1"/>
    <col min="52" max="54" width="11.5546875" style="26" customWidth="1"/>
    <col min="55" max="56" width="11.5546875" style="26" bestFit="1" customWidth="1"/>
    <col min="57" max="57" width="11.5546875" style="26" customWidth="1"/>
    <col min="58" max="58" width="11.5546875" style="26" bestFit="1" customWidth="1"/>
    <col min="59" max="59" width="11.5546875" style="26" customWidth="1"/>
    <col min="60" max="64" width="11.5546875" style="26" bestFit="1" customWidth="1"/>
    <col min="65" max="66" width="11.5546875" style="26" customWidth="1"/>
    <col min="67" max="69" width="11.5546875" style="26" bestFit="1" customWidth="1"/>
    <col min="70" max="74" width="9.88671875" style="26" bestFit="1" customWidth="1"/>
    <col min="75" max="78" width="9.88671875" style="26" customWidth="1"/>
    <col min="79" max="80" width="12.88671875" style="26" bestFit="1" customWidth="1"/>
    <col min="81" max="81" width="11.44140625" style="26" bestFit="1" customWidth="1"/>
    <col min="82" max="83" width="11.44140625" style="26" customWidth="1"/>
    <col min="84" max="90" width="9.88671875" style="26" customWidth="1"/>
    <col min="91" max="91" width="10.21875" style="26" bestFit="1" customWidth="1"/>
    <col min="92" max="96" width="10" style="26" bestFit="1" customWidth="1"/>
    <col min="97" max="97" width="11.44140625" style="26" bestFit="1" customWidth="1"/>
    <col min="98" max="111" width="9.88671875" style="26" bestFit="1" customWidth="1"/>
    <col min="112" max="112" width="9.88671875" style="26" customWidth="1"/>
    <col min="113" max="113" width="9.88671875" style="26" bestFit="1" customWidth="1"/>
    <col min="114" max="114" width="11.44140625" style="26" bestFit="1" customWidth="1"/>
    <col min="115" max="123" width="10" style="26" customWidth="1"/>
    <col min="124" max="124" width="10" style="26" bestFit="1" customWidth="1"/>
    <col min="125" max="125" width="11.44140625" style="26" bestFit="1" customWidth="1"/>
    <col min="126" max="130" width="9.88671875" style="26" bestFit="1" customWidth="1"/>
    <col min="131" max="131" width="11.21875" style="26" customWidth="1"/>
    <col min="132" max="136" width="9.88671875" style="26" bestFit="1" customWidth="1"/>
    <col min="137" max="138" width="9.88671875" style="26" customWidth="1"/>
    <col min="139" max="141" width="9.88671875" style="26" bestFit="1" customWidth="1"/>
    <col min="142" max="142" width="9.88671875" style="26" customWidth="1"/>
    <col min="143" max="144" width="9.88671875" style="26" bestFit="1" customWidth="1"/>
    <col min="145" max="145" width="11.44140625" style="26" bestFit="1" customWidth="1"/>
    <col min="146" max="146" width="11.44140625" style="26" customWidth="1"/>
    <col min="147" max="149" width="9.88671875" style="26" bestFit="1" customWidth="1"/>
    <col min="150" max="150" width="11.44140625" style="26" bestFit="1" customWidth="1"/>
    <col min="151" max="156" width="9.88671875" style="26" bestFit="1" customWidth="1"/>
    <col min="157" max="158" width="11.44140625" style="26" bestFit="1" customWidth="1"/>
    <col min="159" max="16384" width="9.109375" style="26"/>
  </cols>
  <sheetData>
    <row r="1" spans="1:158" x14ac:dyDescent="0.25">
      <c r="A1" s="592" t="s">
        <v>0</v>
      </c>
      <c r="B1" s="592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N1" s="76"/>
      <c r="CO1" s="76"/>
      <c r="CP1" s="76"/>
      <c r="CQ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</row>
    <row r="2" spans="1:158" x14ac:dyDescent="0.25">
      <c r="A2" s="592" t="s">
        <v>52</v>
      </c>
      <c r="B2" s="59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N2" s="76"/>
      <c r="CO2" s="76"/>
      <c r="CP2" s="76"/>
      <c r="CQ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</row>
    <row r="3" spans="1:158" x14ac:dyDescent="0.25">
      <c r="A3" s="592" t="s">
        <v>19</v>
      </c>
      <c r="B3" s="5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N3" s="76"/>
      <c r="CO3" s="76"/>
      <c r="CP3" s="76"/>
      <c r="CQ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</row>
    <row r="4" spans="1:158" x14ac:dyDescent="0.25">
      <c r="A4" s="593" t="s">
        <v>307</v>
      </c>
      <c r="B4" s="592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N4" s="76"/>
      <c r="CO4" s="76"/>
      <c r="CP4" s="76"/>
      <c r="CQ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</row>
    <row r="5" spans="1:158" ht="13.8" thickBot="1" x14ac:dyDescent="0.3"/>
    <row r="6" spans="1:158" s="84" customFormat="1" ht="38.25" customHeight="1" thickBot="1" x14ac:dyDescent="0.3">
      <c r="A6" s="81" t="s">
        <v>53</v>
      </c>
      <c r="B6" s="82" t="s">
        <v>54</v>
      </c>
      <c r="C6" s="83" t="s">
        <v>38</v>
      </c>
      <c r="D6" s="619" t="str">
        <f>+'Distribution Subs 2017'!D6:X6</f>
        <v>Customer 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1"/>
      <c r="AB6" s="628" t="str">
        <f>+'Distribution Subs 2017'!Y6</f>
        <v>Customer 2</v>
      </c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30"/>
      <c r="AN6" s="630"/>
      <c r="AO6" s="630"/>
      <c r="AP6" s="630"/>
      <c r="AQ6" s="631"/>
      <c r="AR6" s="564" t="str">
        <f>+'Distribution Subs 2017'!AI6</f>
        <v>Customer 3</v>
      </c>
      <c r="AS6" s="618" t="str">
        <f>+'Distribution Subs 2017'!AO6</f>
        <v>Customer 4</v>
      </c>
      <c r="AT6" s="632"/>
      <c r="AU6" s="632"/>
      <c r="AV6" s="632"/>
      <c r="AW6" s="632"/>
      <c r="AX6" s="615"/>
      <c r="AY6" s="618" t="str">
        <f>+'Distribution Subs 2017'!$AT$6</f>
        <v>Customer 5</v>
      </c>
      <c r="AZ6" s="632"/>
      <c r="BA6" s="632"/>
      <c r="BB6" s="632"/>
      <c r="BC6" s="632"/>
      <c r="BD6" s="632"/>
      <c r="BE6" s="632"/>
      <c r="BF6" s="632"/>
      <c r="BG6" s="632"/>
      <c r="BH6" s="632"/>
      <c r="BI6" s="632"/>
      <c r="BJ6" s="632"/>
      <c r="BK6" s="632"/>
      <c r="BL6" s="632"/>
      <c r="BM6" s="632"/>
      <c r="BN6" s="632"/>
      <c r="BO6" s="632"/>
      <c r="BP6" s="632"/>
      <c r="BQ6" s="615"/>
      <c r="BR6" s="619" t="str">
        <f>+'Distribution Subs 2017'!AY6</f>
        <v>Customer 6</v>
      </c>
      <c r="BS6" s="626"/>
      <c r="BT6" s="626"/>
      <c r="BU6" s="626"/>
      <c r="BV6" s="627"/>
      <c r="BW6" s="619" t="str">
        <f>+'Distribution Subs 2017'!CE6</f>
        <v>Customer 7</v>
      </c>
      <c r="BX6" s="626"/>
      <c r="BY6" s="626"/>
      <c r="BZ6" s="627"/>
      <c r="CA6" s="633" t="str">
        <f>+'Distribution Subs 2017'!BC6</f>
        <v>Customer 8</v>
      </c>
      <c r="CB6" s="634"/>
      <c r="CC6" s="619" t="str">
        <f>+'Distribution Subs 2017'!BG6</f>
        <v>Customer 9</v>
      </c>
      <c r="CD6" s="626"/>
      <c r="CE6" s="626"/>
      <c r="CF6" s="626"/>
      <c r="CG6" s="626"/>
      <c r="CH6" s="626"/>
      <c r="CI6" s="626"/>
      <c r="CJ6" s="626"/>
      <c r="CK6" s="626"/>
      <c r="CL6" s="626"/>
      <c r="CM6" s="627"/>
      <c r="CN6" s="619" t="str">
        <f>+'Distribution Subs 2017'!BM6</f>
        <v>Customer 10</v>
      </c>
      <c r="CO6" s="626"/>
      <c r="CP6" s="626"/>
      <c r="CQ6" s="626"/>
      <c r="CR6" s="627"/>
      <c r="CS6" s="619" t="str">
        <f>+'Distribution Subs 2017'!BP6</f>
        <v>Customer 11</v>
      </c>
      <c r="CT6" s="626"/>
      <c r="CU6" s="626"/>
      <c r="CV6" s="626"/>
      <c r="CW6" s="626"/>
      <c r="CX6" s="626"/>
      <c r="CY6" s="626"/>
      <c r="CZ6" s="626"/>
      <c r="DA6" s="626"/>
      <c r="DB6" s="626"/>
      <c r="DC6" s="626"/>
      <c r="DD6" s="626"/>
      <c r="DE6" s="626"/>
      <c r="DF6" s="626"/>
      <c r="DG6" s="626"/>
      <c r="DH6" s="626"/>
      <c r="DI6" s="627"/>
      <c r="DJ6" s="619" t="str">
        <f>+'Distribution Subs 2017'!BS6</f>
        <v>Customer 12</v>
      </c>
      <c r="DK6" s="626"/>
      <c r="DL6" s="626"/>
      <c r="DM6" s="626"/>
      <c r="DN6" s="626"/>
      <c r="DO6" s="626"/>
      <c r="DP6" s="626"/>
      <c r="DQ6" s="626"/>
      <c r="DR6" s="626"/>
      <c r="DS6" s="626"/>
      <c r="DT6" s="627"/>
      <c r="DU6" s="622"/>
      <c r="DV6" s="623"/>
      <c r="DW6" s="623"/>
      <c r="DX6" s="623"/>
      <c r="DY6" s="623"/>
      <c r="DZ6" s="623"/>
      <c r="EA6" s="623"/>
      <c r="EB6" s="623"/>
      <c r="EC6" s="623"/>
      <c r="ED6" s="623"/>
      <c r="EE6" s="623"/>
      <c r="EF6" s="623"/>
      <c r="EG6" s="623"/>
      <c r="EH6" s="623"/>
      <c r="EI6" s="623"/>
      <c r="EJ6" s="623"/>
      <c r="EK6" s="623"/>
      <c r="EL6" s="623"/>
      <c r="EM6" s="623"/>
      <c r="EN6" s="624"/>
      <c r="EO6" s="622"/>
      <c r="EP6" s="623"/>
      <c r="EQ6" s="623"/>
      <c r="ER6" s="623"/>
      <c r="ES6" s="623"/>
      <c r="ET6" s="623"/>
      <c r="EU6" s="623"/>
      <c r="EV6" s="623"/>
      <c r="EW6" s="623"/>
      <c r="EX6" s="623"/>
      <c r="EY6" s="623"/>
      <c r="EZ6" s="623"/>
      <c r="FA6" s="623"/>
      <c r="FB6" s="625"/>
    </row>
    <row r="7" spans="1:158" s="397" customFormat="1" ht="53.4" thickBot="1" x14ac:dyDescent="0.3">
      <c r="A7" s="397">
        <v>1</v>
      </c>
      <c r="B7" s="397" t="s">
        <v>34</v>
      </c>
      <c r="D7" s="529" t="str">
        <f>CONCATENATE('Distribution Subs 2017'!$D$7," 15")</f>
        <v>Sub 1 - Evergreen 15</v>
      </c>
      <c r="E7" s="527" t="str">
        <f>CONCATENATE('Distribution Subs 2017'!$D$7," 16")</f>
        <v>Sub 1 - Evergreen 16</v>
      </c>
      <c r="F7" s="527" t="str">
        <f>CONCATENATE('Distribution Subs 2017'!$D$7," 17")</f>
        <v>Sub 1 - Evergreen 17</v>
      </c>
      <c r="G7" s="527" t="str">
        <f>+F7</f>
        <v>Sub 1 - Evergreen 17</v>
      </c>
      <c r="H7" s="527" t="str">
        <f>CONCATENATE('Distribution Subs 2017'!$D$7," 22")</f>
        <v>Sub 1 - Evergreen 22</v>
      </c>
      <c r="I7" s="527" t="str">
        <f>CONCATENATE('Distribution Subs 2017'!$D$7," 22")</f>
        <v>Sub 1 - Evergreen 22</v>
      </c>
      <c r="J7" s="527" t="str">
        <f>CONCATENATE('Distribution Subs 2017'!$D$7," 25")</f>
        <v>Sub 1 - Evergreen 25</v>
      </c>
      <c r="K7" s="527" t="str">
        <f>CONCATENATE('Distribution Subs 2017'!$D$7," 26")</f>
        <v>Sub 1 - Evergreen 26</v>
      </c>
      <c r="L7" s="527" t="str">
        <f>CONCATENATE('Distribution Subs 2017'!$V$7," 11 (Old INT-23)")</f>
        <v>Sub 15 - Ardmore 11 (Old INT-23)</v>
      </c>
      <c r="M7" s="527" t="str">
        <f>CONCATENATE('Distribution Subs 2017'!$V$7," 11")</f>
        <v>Sub 15 - Ardmore 11</v>
      </c>
      <c r="N7" s="527" t="str">
        <f>CONCATENATE('Distribution Subs 2017'!$V$7," 12")</f>
        <v>Sub 15 - Ardmore 12</v>
      </c>
      <c r="O7" s="527" t="str">
        <f>CONCATENATE('Distribution Subs 2017'!$V$7," 43 (Old KWH-22)")</f>
        <v>Sub 15 - Ardmore 43 (Old KWH-22)</v>
      </c>
      <c r="P7" s="527" t="str">
        <f>CONCATENATE('Distribution Subs 2017'!$V$7," 43")</f>
        <v>Sub 15 - Ardmore 43</v>
      </c>
      <c r="Q7" s="527" t="str">
        <f>CONCATENATE('Distribution Subs 2017'!$V$7," 44 (Old KWH-26)")</f>
        <v>Sub 15 - Ardmore 44 (Old KWH-26)</v>
      </c>
      <c r="R7" s="527" t="str">
        <f>CONCATENATE('Distribution Subs 2017'!$V$7," 44")</f>
        <v>Sub 15 - Ardmore 44</v>
      </c>
      <c r="S7" s="527" t="str">
        <f>CONCATENATE('Distribution Subs 2017'!$V$7," 45")</f>
        <v>Sub 15 - Ardmore 45</v>
      </c>
      <c r="T7" s="527" t="str">
        <f>CONCATENATE('Distribution Subs 2017'!$V$7," 45")</f>
        <v>Sub 15 - Ardmore 45</v>
      </c>
      <c r="U7" s="527" t="str">
        <f>CONCATENATE('Distribution Subs 2017'!$S$7," 13")</f>
        <v>Sub 5 - Bridal Trails 13</v>
      </c>
      <c r="V7" s="527" t="str">
        <f>CONCATENATE('Distribution Subs 2017'!$H$7," 24")</f>
        <v>Sub 2 - Kenilworth 24</v>
      </c>
      <c r="W7" s="527" t="str">
        <f>+V7</f>
        <v>Sub 2 - Kenilworth 24</v>
      </c>
      <c r="X7" s="527" t="str">
        <f>+W7</f>
        <v>Sub 2 - Kenilworth 24</v>
      </c>
      <c r="Y7" s="527" t="str">
        <f>CONCATENATE('Distribution Subs 2017'!$H$7," 26")</f>
        <v>Sub 2 - Kenilworth 26</v>
      </c>
      <c r="Z7" s="527" t="str">
        <f>+Y7</f>
        <v>Sub 2 - Kenilworth 26</v>
      </c>
      <c r="AA7" s="528" t="str">
        <f>CONCATENATE('Distribution Subs 2017'!$M$7," 16")</f>
        <v>Sub 3 - Spiritbrook 16</v>
      </c>
      <c r="AB7" s="529" t="str">
        <f>CONCATENATE('Distribution Subs 2017'!$AC$7," 11")</f>
        <v>Sub 5 - Bridal Trails 11</v>
      </c>
      <c r="AC7" s="527" t="str">
        <f>CONCATENATE('Distribution Subs 2017'!$AC$7," 12")</f>
        <v>Sub 5 - Bridal Trails 12</v>
      </c>
      <c r="AD7" s="527" t="str">
        <f>CONCATENATE('Distribution Subs 2017'!$AC$7," 14")</f>
        <v>Sub 5 - Bridal Trails 14</v>
      </c>
      <c r="AE7" s="527" t="str">
        <f>+AD7</f>
        <v>Sub 5 - Bridal Trails 14</v>
      </c>
      <c r="AF7" s="527" t="str">
        <f>CONCATENATE('Distribution Subs 2017'!$AC$7," 23")</f>
        <v>Sub 5 - Bridal Trails 23</v>
      </c>
      <c r="AG7" s="527" t="str">
        <f>CONCATENATE('Distribution Subs 2017'!$AC$7," 23")</f>
        <v>Sub 5 - Bridal Trails 23</v>
      </c>
      <c r="AH7" s="527" t="str">
        <f>+AF7</f>
        <v>Sub 5 - Bridal Trails 23</v>
      </c>
      <c r="AI7" s="527" t="str">
        <f>CONCATENATE('Distribution Subs 2017'!$V$7," 12")</f>
        <v>Sub 15 - Ardmore 12</v>
      </c>
      <c r="AJ7" s="527" t="str">
        <f>CONCATENATE('Distribution Subs 2017'!$V$7," 13")</f>
        <v>Sub 15 - Ardmore 13</v>
      </c>
      <c r="AK7" s="527" t="str">
        <f>CONCATENATE('Distribution Subs 2017'!$V$7," 13 (Old INT-15")</f>
        <v>Sub 15 - Ardmore 13 (Old INT-15</v>
      </c>
      <c r="AL7" s="527" t="str">
        <f>CONCATENATE('Distribution Subs 2017'!$V$7," 13 (Old INT-15")</f>
        <v>Sub 15 - Ardmore 13 (Old INT-15</v>
      </c>
      <c r="AM7" s="527" t="str">
        <f>CONCATENATE('Distribution Subs 2017'!$D$7," 13")</f>
        <v>Sub 1 - Evergreen 13</v>
      </c>
      <c r="AN7" s="527" t="str">
        <f>+AM7</f>
        <v>Sub 1 - Evergreen 13</v>
      </c>
      <c r="AO7" s="527" t="str">
        <f>+AN7</f>
        <v>Sub 1 - Evergreen 13</v>
      </c>
      <c r="AP7" s="527" t="str">
        <f>CONCATENATE('Distribution Subs 2017'!$D$7," 17")</f>
        <v>Sub 1 - Evergreen 17</v>
      </c>
      <c r="AQ7" s="528" t="str">
        <f>+AP7</f>
        <v>Sub 1 - Evergreen 17</v>
      </c>
      <c r="AR7" s="530" t="str">
        <f>CONCATENATE('Distribution Subs 2017'!$M$7," 17")</f>
        <v>Sub 3 - Spiritbrook 17</v>
      </c>
      <c r="AS7" s="529" t="str">
        <f>CONCATENATE('Distribution Subs 2017'!$AO$7," 35")</f>
        <v>Sub 6 - Kent 35</v>
      </c>
      <c r="AT7" s="527" t="str">
        <f>CONCATENATE('Distribution Subs 2017'!$AO$7," 35")</f>
        <v>Sub 6 - Kent 35</v>
      </c>
      <c r="AU7" s="527" t="str">
        <f>CONCATENATE('Distribution Subs 2017'!$AO$7," 35")</f>
        <v>Sub 6 - Kent 35</v>
      </c>
      <c r="AV7" s="527" t="str">
        <f>CONCATENATE('Distribution Subs 2017'!$AO$7," 35")</f>
        <v>Sub 6 - Kent 35</v>
      </c>
      <c r="AW7" s="527" t="str">
        <f>CONCATENATE('Distribution Subs 2017'!$AO$7," 35")</f>
        <v>Sub 6 - Kent 35</v>
      </c>
      <c r="AX7" s="531" t="str">
        <f>CONCATENATE('Distribution Subs 2017'!$AO$7," 35")</f>
        <v>Sub 6 - Kent 35</v>
      </c>
      <c r="AY7" s="529" t="str">
        <f>CONCATENATE('Distribution Subs 2017'!$AT$7," 16")</f>
        <v>Sub 7 - Victoria Park 16</v>
      </c>
      <c r="AZ7" s="527" t="str">
        <f>CONCATENATE('Distribution Subs 2017'!$AT$7," 16")</f>
        <v>Sub 7 - Victoria Park 16</v>
      </c>
      <c r="BA7" s="527" t="str">
        <f>CONCATENATE('Distribution Subs 2017'!$AT$7," 16")</f>
        <v>Sub 7 - Victoria Park 16</v>
      </c>
      <c r="BB7" s="527" t="str">
        <f>CONCATENATE('Distribution Subs 2017'!$AT$7," 16")</f>
        <v>Sub 7 - Victoria Park 16</v>
      </c>
      <c r="BC7" s="527" t="str">
        <f>CONCATENATE('Distribution Subs 2017'!$AT$7," 16")</f>
        <v>Sub 7 - Victoria Park 16</v>
      </c>
      <c r="BD7" s="527" t="str">
        <f>CONCATENATE('Distribution Subs 2017'!$AT$7," 16")</f>
        <v>Sub 7 - Victoria Park 16</v>
      </c>
      <c r="BE7" s="527" t="str">
        <f>CONCATENATE('Distribution Subs 2017'!$AT$7," 16")</f>
        <v>Sub 7 - Victoria Park 16</v>
      </c>
      <c r="BF7" s="527" t="str">
        <f>CONCATENATE('Distribution Subs 2017'!$AT$7," 16")</f>
        <v>Sub 7 - Victoria Park 16</v>
      </c>
      <c r="BG7" s="527" t="str">
        <f>CONCATENATE('Distribution Subs 2017'!$AT$7," 17")</f>
        <v>Sub 7 - Victoria Park 17</v>
      </c>
      <c r="BH7" s="527" t="str">
        <f>CONCATENATE('Distribution Subs 2017'!$AT$7," 17")</f>
        <v>Sub 7 - Victoria Park 17</v>
      </c>
      <c r="BI7" s="527" t="str">
        <f>CONCATENATE('Distribution Subs 2017'!$AT$7," 17")</f>
        <v>Sub 7 - Victoria Park 17</v>
      </c>
      <c r="BJ7" s="527" t="str">
        <f>CONCATENATE('Distribution Subs 2017'!$AT$7," 17")</f>
        <v>Sub 7 - Victoria Park 17</v>
      </c>
      <c r="BK7" s="527" t="str">
        <f>CONCATENATE('Distribution Subs 2017'!$AT$7," 17")</f>
        <v>Sub 7 - Victoria Park 17</v>
      </c>
      <c r="BL7" s="527" t="str">
        <f>CONCATENATE('Distribution Subs 2017'!$AT$7," 17")</f>
        <v>Sub 7 - Victoria Park 17</v>
      </c>
      <c r="BM7" s="527" t="str">
        <f>CONCATENATE('Distribution Subs 2017'!$AT$7," 17")</f>
        <v>Sub 7 - Victoria Park 17</v>
      </c>
      <c r="BN7" s="527" t="str">
        <f>CONCATENATE('Distribution Subs 2017'!$AT$7," 17")</f>
        <v>Sub 7 - Victoria Park 17</v>
      </c>
      <c r="BO7" s="527" t="str">
        <f>CONCATENATE('Distribution Subs 2017'!$AT$7," 18")</f>
        <v>Sub 7 - Victoria Park 18</v>
      </c>
      <c r="BP7" s="527" t="str">
        <f>CONCATENATE('Distribution Subs 2017'!$AT$7," 18")</f>
        <v>Sub 7 - Victoria Park 18</v>
      </c>
      <c r="BQ7" s="531" t="str">
        <f>+BP7</f>
        <v>Sub 7 - Victoria Park 18</v>
      </c>
      <c r="BR7" s="529" t="str">
        <f>CONCATENATE('Distribution Subs 2017'!$AY$7," 25")</f>
        <v>Sub 8 - Airport 25</v>
      </c>
      <c r="BS7" s="527" t="str">
        <f>+BR7</f>
        <v>Sub 8 - Airport 25</v>
      </c>
      <c r="BT7" s="527" t="str">
        <f>+BS7</f>
        <v>Sub 8 - Airport 25</v>
      </c>
      <c r="BU7" s="527" t="str">
        <f>+BT7</f>
        <v>Sub 8 - Airport 25</v>
      </c>
      <c r="BV7" s="528" t="str">
        <f>+BT7</f>
        <v>Sub 8 - Airport 25</v>
      </c>
      <c r="BW7" s="529" t="str">
        <f>CONCATENATE('Distribution Subs 2017'!$CE$7," 14")</f>
        <v>Sub 9 - Falcon 14</v>
      </c>
      <c r="BX7" s="527" t="str">
        <f>+BW7</f>
        <v>Sub 9 - Falcon 14</v>
      </c>
      <c r="BY7" s="527" t="str">
        <f>+BX7</f>
        <v>Sub 9 - Falcon 14</v>
      </c>
      <c r="BZ7" s="528" t="str">
        <f>+BY7</f>
        <v>Sub 9 - Falcon 14</v>
      </c>
      <c r="CA7" s="529" t="str">
        <f>CONCATENATE('Distribution Subs 2017'!$BC$7," 11")</f>
        <v>Sub 10 - North Bellevue 11</v>
      </c>
      <c r="CB7" s="528" t="str">
        <f>CONCATENATE('Distribution Subs 2017'!$BC$7," 11")</f>
        <v>Sub 10 - North Bellevue 11</v>
      </c>
      <c r="CC7" s="529" t="str">
        <f>CONCATENATE('Distribution Subs 2017'!$BG$7," 11")</f>
        <v>Sub 11 - Center 11</v>
      </c>
      <c r="CD7" s="527" t="str">
        <f>CONCATENATE('Distribution Subs 2017'!$BG$7," 11")</f>
        <v>Sub 11 - Center 11</v>
      </c>
      <c r="CE7" s="527" t="str">
        <f>CONCATENATE('Distribution Subs 2017'!$BG$7," 11")</f>
        <v>Sub 11 - Center 11</v>
      </c>
      <c r="CF7" s="527" t="str">
        <f>CONCATENATE('Distribution Subs 2017'!$BG$7," 13")</f>
        <v>Sub 11 - Center 13</v>
      </c>
      <c r="CG7" s="527" t="str">
        <f>CONCATENATE('Distribution Subs 2017'!$BG$7," 13")</f>
        <v>Sub 11 - Center 13</v>
      </c>
      <c r="CH7" s="527" t="str">
        <f>CONCATENATE('Distribution Subs 2017'!$BG$7," 13")</f>
        <v>Sub 11 - Center 13</v>
      </c>
      <c r="CI7" s="527" t="str">
        <f>CONCATENATE('Distribution Subs 2017'!$BG$7," 13")</f>
        <v>Sub 11 - Center 13</v>
      </c>
      <c r="CJ7" s="527" t="str">
        <f>CONCATENATE('Distribution Subs 2017'!$BJ$7," 21")</f>
        <v>Sub 10 - North Bellevue 21</v>
      </c>
      <c r="CK7" s="527" t="str">
        <f>+CJ7</f>
        <v>Sub 10 - North Bellevue 21</v>
      </c>
      <c r="CL7" s="527" t="str">
        <f>+CK7</f>
        <v>Sub 10 - North Bellevue 21</v>
      </c>
      <c r="CM7" s="528" t="str">
        <f>+CK7</f>
        <v>Sub 10 - North Bellevue 21</v>
      </c>
      <c r="CN7" s="529" t="str">
        <f>CONCATENATE('Distribution Subs 2017'!$BM$7," 27")</f>
        <v>Sub 12 - M Street 27</v>
      </c>
      <c r="CO7" s="527" t="str">
        <f>CONCATENATE('Distribution Subs 2017'!$BM$7," 27")</f>
        <v>Sub 12 - M Street 27</v>
      </c>
      <c r="CP7" s="527" t="str">
        <f>CONCATENATE('Distribution Subs 2017'!$BM$7," 27")</f>
        <v>Sub 12 - M Street 27</v>
      </c>
      <c r="CQ7" s="527" t="str">
        <f>CONCATENATE('Distribution Subs 2017'!$BM$7," 27")</f>
        <v>Sub 12 - M Street 27</v>
      </c>
      <c r="CR7" s="528" t="str">
        <f>CONCATENATE('Distribution Subs 2017'!$BM$7," 27")</f>
        <v>Sub 12 - M Street 27</v>
      </c>
      <c r="CS7" s="529" t="str">
        <f>CONCATENATE('Distribution Subs 2017'!$BP$7," 15")</f>
        <v>Sub 13 - Goodes Corner 15</v>
      </c>
      <c r="CT7" s="527" t="str">
        <f>CONCATENATE('Distribution Subs 2017'!$BP$7," 15")</f>
        <v>Sub 13 - Goodes Corner 15</v>
      </c>
      <c r="CU7" s="527" t="str">
        <f>CONCATENATE('Distribution Subs 2017'!$BP$7," 15")</f>
        <v>Sub 13 - Goodes Corner 15</v>
      </c>
      <c r="CV7" s="527" t="str">
        <f>CONCATENATE('Distribution Subs 2017'!$BP$7," 15")</f>
        <v>Sub 13 - Goodes Corner 15</v>
      </c>
      <c r="CW7" s="527" t="str">
        <f>CONCATENATE('Distribution Subs 2017'!$BP$7," 15")</f>
        <v>Sub 13 - Goodes Corner 15</v>
      </c>
      <c r="CX7" s="527" t="str">
        <f>CONCATENATE('Distribution Subs 2017'!$BP$7," 15")</f>
        <v>Sub 13 - Goodes Corner 15</v>
      </c>
      <c r="CY7" s="527" t="str">
        <f>CONCATENATE('Distribution Subs 2017'!$BP$7," 15")</f>
        <v>Sub 13 - Goodes Corner 15</v>
      </c>
      <c r="CZ7" s="527" t="str">
        <f>CONCATENATE('Distribution Subs 2017'!$BP$7," 15")</f>
        <v>Sub 13 - Goodes Corner 15</v>
      </c>
      <c r="DA7" s="527" t="str">
        <f>CONCATENATE('Distribution Subs 2017'!$BP$7," 16")</f>
        <v>Sub 13 - Goodes Corner 16</v>
      </c>
      <c r="DB7" s="527" t="str">
        <f>CONCATENATE('Distribution Subs 2017'!$BP$7," 16")</f>
        <v>Sub 13 - Goodes Corner 16</v>
      </c>
      <c r="DC7" s="527" t="str">
        <f>CONCATENATE('Distribution Subs 2017'!$BP$7," 16")</f>
        <v>Sub 13 - Goodes Corner 16</v>
      </c>
      <c r="DD7" s="527" t="str">
        <f>CONCATENATE('Distribution Subs 2017'!$BP$7," 16")</f>
        <v>Sub 13 - Goodes Corner 16</v>
      </c>
      <c r="DE7" s="527" t="str">
        <f>CONCATENATE('Distribution Subs 2017'!$BP$7," 16")</f>
        <v>Sub 13 - Goodes Corner 16</v>
      </c>
      <c r="DF7" s="527" t="str">
        <f>CONCATENATE('Distribution Subs 2017'!$BP$7," 16")</f>
        <v>Sub 13 - Goodes Corner 16</v>
      </c>
      <c r="DG7" s="527" t="str">
        <f>CONCATENATE('Distribution Subs 2017'!$BP$7," 16")</f>
        <v>Sub 13 - Goodes Corner 16</v>
      </c>
      <c r="DH7" s="527" t="str">
        <f>CONCATENATE('Distribution Subs 2017'!$BP$7," 16")</f>
        <v>Sub 13 - Goodes Corner 16</v>
      </c>
      <c r="DI7" s="528" t="str">
        <f>CONCATENATE('Distribution Subs 2017'!$BP$7," 16")</f>
        <v>Sub 13 - Goodes Corner 16</v>
      </c>
      <c r="DJ7" s="529" t="str">
        <f>CONCATENATE('Distribution Subs 2017'!$BS$7," 16")</f>
        <v>Sub 14 - Cedarhurst 16</v>
      </c>
      <c r="DK7" s="527" t="str">
        <f>CONCATENATE('Distribution Subs 2017'!$BS$7," 16")</f>
        <v>Sub 14 - Cedarhurst 16</v>
      </c>
      <c r="DL7" s="527" t="str">
        <f>+DJ7</f>
        <v>Sub 14 - Cedarhurst 16</v>
      </c>
      <c r="DM7" s="527" t="str">
        <f t="shared" ref="DM7:DP7" si="0">+DL7</f>
        <v>Sub 14 - Cedarhurst 16</v>
      </c>
      <c r="DN7" s="527" t="str">
        <f t="shared" si="0"/>
        <v>Sub 14 - Cedarhurst 16</v>
      </c>
      <c r="DO7" s="527" t="str">
        <f>+DM7</f>
        <v>Sub 14 - Cedarhurst 16</v>
      </c>
      <c r="DP7" s="527" t="str">
        <f t="shared" si="0"/>
        <v>Sub 14 - Cedarhurst 16</v>
      </c>
      <c r="DQ7" s="527" t="str">
        <f>CONCATENATE('Distribution Subs 2017'!$BS$7," 17")</f>
        <v>Sub 14 - Cedarhurst 17</v>
      </c>
      <c r="DR7" s="527" t="str">
        <f>CONCATENATE('Distribution Subs 2017'!$BS$7," 17")</f>
        <v>Sub 14 - Cedarhurst 17</v>
      </c>
      <c r="DS7" s="527" t="str">
        <f>CONCATENATE('Distribution Subs 2017'!$BS$7," 17")</f>
        <v>Sub 14 - Cedarhurst 17</v>
      </c>
      <c r="DT7" s="528" t="str">
        <f>+DR7</f>
        <v>Sub 14 - Cedarhurst 17</v>
      </c>
      <c r="DU7" s="529"/>
      <c r="DV7" s="527"/>
      <c r="DW7" s="527"/>
      <c r="DX7" s="527"/>
      <c r="DY7" s="527"/>
      <c r="DZ7" s="527"/>
      <c r="EA7" s="527"/>
      <c r="EB7" s="527"/>
      <c r="EC7" s="527"/>
      <c r="ED7" s="527"/>
      <c r="EE7" s="527"/>
      <c r="EF7" s="527"/>
      <c r="EG7" s="527"/>
      <c r="EH7" s="527"/>
      <c r="EI7" s="527"/>
      <c r="EJ7" s="527"/>
      <c r="EK7" s="527"/>
      <c r="EL7" s="527"/>
      <c r="EM7" s="527"/>
      <c r="EN7" s="528"/>
      <c r="EO7" s="529"/>
      <c r="EP7" s="527"/>
      <c r="EQ7" s="527"/>
      <c r="ER7" s="527"/>
      <c r="ES7" s="527"/>
      <c r="ET7" s="527"/>
      <c r="EU7" s="527"/>
      <c r="EV7" s="527"/>
      <c r="EW7" s="527"/>
      <c r="EX7" s="527"/>
      <c r="EY7" s="527"/>
      <c r="EZ7" s="527"/>
      <c r="FA7" s="527"/>
      <c r="FB7" s="532"/>
    </row>
    <row r="8" spans="1:158" x14ac:dyDescent="0.25">
      <c r="A8" s="397">
        <f>+A7+1</f>
        <v>2</v>
      </c>
      <c r="B8" s="86" t="s">
        <v>55</v>
      </c>
      <c r="D8" s="48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94"/>
      <c r="AB8" s="484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94"/>
      <c r="AR8" s="533"/>
      <c r="AS8" s="484"/>
      <c r="AT8" s="57"/>
      <c r="AU8" s="57"/>
      <c r="AV8" s="57"/>
      <c r="AW8" s="57"/>
      <c r="AX8" s="121"/>
      <c r="AY8" s="16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21"/>
      <c r="BR8" s="484"/>
      <c r="BS8" s="57"/>
      <c r="BT8" s="57"/>
      <c r="BU8" s="57"/>
      <c r="BV8" s="94"/>
      <c r="BW8" s="484"/>
      <c r="BX8" s="57"/>
      <c r="BY8" s="57"/>
      <c r="BZ8" s="94"/>
      <c r="CA8" s="484"/>
      <c r="CB8" s="94"/>
      <c r="CC8" s="484"/>
      <c r="CD8" s="57"/>
      <c r="CE8" s="57"/>
      <c r="CF8" s="57"/>
      <c r="CG8" s="57"/>
      <c r="CH8" s="57"/>
      <c r="CI8" s="57"/>
      <c r="CJ8" s="57"/>
      <c r="CK8" s="57"/>
      <c r="CL8" s="57"/>
      <c r="CM8" s="94"/>
      <c r="CN8" s="484"/>
      <c r="CO8" s="57"/>
      <c r="CP8" s="57"/>
      <c r="CQ8" s="57"/>
      <c r="CR8" s="94"/>
      <c r="CS8" s="484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94"/>
      <c r="DJ8" s="484"/>
      <c r="DK8" s="57"/>
      <c r="DL8" s="57"/>
      <c r="DM8" s="57"/>
      <c r="DN8" s="57"/>
      <c r="DO8" s="57"/>
      <c r="DP8" s="57"/>
      <c r="DQ8" s="57"/>
      <c r="DR8" s="57"/>
      <c r="DS8" s="57"/>
      <c r="DT8" s="94"/>
      <c r="DU8" s="484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94"/>
      <c r="EO8" s="484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485"/>
    </row>
    <row r="9" spans="1:158" x14ac:dyDescent="0.25">
      <c r="A9" s="397">
        <f t="shared" ref="A9:A65" si="1">+A8+1</f>
        <v>3</v>
      </c>
      <c r="B9" s="90" t="s">
        <v>35</v>
      </c>
      <c r="D9" s="464">
        <f>+'2017 Sub &amp; Feeder NCP %'!$E$30</f>
        <v>1</v>
      </c>
      <c r="E9" s="60">
        <f>+'2017 Sub &amp; Feeder NCP %'!$E$31</f>
        <v>0.78107684939133637</v>
      </c>
      <c r="F9" s="60">
        <f>+'2017 Sub &amp; Feeder NCP %'!$E$32</f>
        <v>0.79305214800039225</v>
      </c>
      <c r="G9" s="60">
        <f>+F9</f>
        <v>0.79305214800039225</v>
      </c>
      <c r="H9" s="60">
        <f>+'2017 Sub &amp; Feeder NCP %'!$E$33</f>
        <v>0.42992740518217387</v>
      </c>
      <c r="I9" s="60">
        <f>+H9</f>
        <v>0.42992740518217387</v>
      </c>
      <c r="J9" s="60">
        <f>+'2017 Sub &amp; Feeder NCP %'!$E$34</f>
        <v>0.99537702607470058</v>
      </c>
      <c r="K9" s="60">
        <f>+'2017 Sub &amp; Feeder NCP %'!$E$35</f>
        <v>1</v>
      </c>
      <c r="L9" s="60">
        <f>+'2017 Sub &amp; Feeder NCP %'!$E$24</f>
        <v>0.66005430371666052</v>
      </c>
      <c r="M9" s="60">
        <f>+L9</f>
        <v>0.66005430371666052</v>
      </c>
      <c r="N9" s="60">
        <f>+'2017 Sub &amp; Feeder NCP %'!$E$25</f>
        <v>0.13196279062720745</v>
      </c>
      <c r="O9" s="60">
        <f>+'2017 Sub &amp; Feeder NCP %'!$E$26</f>
        <v>0.99054853406780097</v>
      </c>
      <c r="P9" s="60">
        <f>+O9</f>
        <v>0.99054853406780097</v>
      </c>
      <c r="Q9" s="60">
        <f>+P9</f>
        <v>0.99054853406780097</v>
      </c>
      <c r="R9" s="60">
        <f>+'2017 Sub &amp; Feeder NCP %'!$E$27</f>
        <v>7.7733994133376921E-2</v>
      </c>
      <c r="S9" s="60">
        <f>+'2017 Sub &amp; Feeder NCP %'!$E$28</f>
        <v>1</v>
      </c>
      <c r="T9" s="60">
        <f>+S9</f>
        <v>1</v>
      </c>
      <c r="U9" s="60">
        <f>+'2017 Sub &amp; Feeder NCP %'!$E$29</f>
        <v>0</v>
      </c>
      <c r="V9" s="60">
        <f>+'2017 Sub &amp; Feeder NCP %'!$E$36</f>
        <v>1</v>
      </c>
      <c r="W9" s="60">
        <f>+V9</f>
        <v>1</v>
      </c>
      <c r="X9" s="60">
        <f>+W9</f>
        <v>1</v>
      </c>
      <c r="Y9" s="60">
        <f>+'2017 Sub &amp; Feeder NCP %'!$E$37</f>
        <v>0.91106875046786551</v>
      </c>
      <c r="Z9" s="60">
        <f>+Y9</f>
        <v>0.91106875046786551</v>
      </c>
      <c r="AA9" s="465">
        <f>+'2017 Sub &amp; Feeder NCP %'!$E$38</f>
        <v>0.64852186988158844</v>
      </c>
      <c r="AB9" s="464">
        <f>+'2017 Sub &amp; Feeder NCP %'!$E$40</f>
        <v>1</v>
      </c>
      <c r="AC9" s="60">
        <f>+'2017 Sub &amp; Feeder NCP %'!$E$41</f>
        <v>0.99656811962135583</v>
      </c>
      <c r="AD9" s="60">
        <v>0</v>
      </c>
      <c r="AE9" s="60">
        <f>+AD9</f>
        <v>0</v>
      </c>
      <c r="AF9" s="60">
        <f>+'2017 Sub &amp; Feeder NCP %'!$E$42</f>
        <v>0.79027401087494609</v>
      </c>
      <c r="AG9" s="60">
        <f>+AF9</f>
        <v>0.79027401087494609</v>
      </c>
      <c r="AH9" s="60">
        <f>+AG9</f>
        <v>0.79027401087494609</v>
      </c>
      <c r="AI9" s="60">
        <v>0</v>
      </c>
      <c r="AJ9" s="60">
        <f>+'2017 Sub &amp; Feeder NCP %'!$E$39</f>
        <v>0.39170102775332477</v>
      </c>
      <c r="AK9" s="60">
        <f>+AJ9</f>
        <v>0.39170102775332477</v>
      </c>
      <c r="AL9" s="60">
        <f>+AK9</f>
        <v>0.39170102775332477</v>
      </c>
      <c r="AM9" s="60">
        <f>+'2017 Sub &amp; Feeder NCP %'!$E$43</f>
        <v>0.91951627556800708</v>
      </c>
      <c r="AN9" s="60">
        <f>+AM9</f>
        <v>0.91951627556800708</v>
      </c>
      <c r="AO9" s="60">
        <f>+AN9</f>
        <v>0.91951627556800708</v>
      </c>
      <c r="AP9" s="60">
        <f>+'2017 Sub &amp; Feeder NCP %'!$E$44</f>
        <v>0.20694785199960786</v>
      </c>
      <c r="AQ9" s="465">
        <f>+AP9</f>
        <v>0.20694785199960786</v>
      </c>
      <c r="AR9" s="534">
        <f>+'2017 Sub &amp; Feeder NCP %'!$E$23</f>
        <v>0.90540586649682109</v>
      </c>
      <c r="AS9" s="464">
        <f>+'2017 Sub &amp; Feeder NCP %'!$E$12</f>
        <v>0.81071155725354804</v>
      </c>
      <c r="AT9" s="60">
        <f>+AS9</f>
        <v>0.81071155725354804</v>
      </c>
      <c r="AU9" s="60">
        <f>+AT9</f>
        <v>0.81071155725354804</v>
      </c>
      <c r="AV9" s="60">
        <f>+AU9</f>
        <v>0.81071155725354804</v>
      </c>
      <c r="AW9" s="60">
        <f>+AV9</f>
        <v>0.81071155725354804</v>
      </c>
      <c r="AX9" s="465">
        <f>+AV9</f>
        <v>0.81071155725354804</v>
      </c>
      <c r="AY9" s="464">
        <f>+'2017 Sub &amp; Feeder NCP %'!$E$17</f>
        <v>1.1971383880910406E-2</v>
      </c>
      <c r="AZ9" s="60">
        <f>+AY9</f>
        <v>1.1971383880910406E-2</v>
      </c>
      <c r="BA9" s="60">
        <f>+AZ9</f>
        <v>1.1971383880910406E-2</v>
      </c>
      <c r="BB9" s="60">
        <f t="shared" ref="BB9" si="2">+BA9</f>
        <v>1.1971383880910406E-2</v>
      </c>
      <c r="BC9" s="60">
        <f>+AY9</f>
        <v>1.1971383880910406E-2</v>
      </c>
      <c r="BD9" s="60">
        <f>+AY9</f>
        <v>1.1971383880910406E-2</v>
      </c>
      <c r="BE9" s="60">
        <f>+AZ9</f>
        <v>1.1971383880910406E-2</v>
      </c>
      <c r="BF9" s="60">
        <v>1</v>
      </c>
      <c r="BG9" s="60">
        <f>+'2017 Sub &amp; Feeder NCP %'!$E$18</f>
        <v>3.4704090677141863E-2</v>
      </c>
      <c r="BH9" s="60">
        <f>+BG9</f>
        <v>3.4704090677141863E-2</v>
      </c>
      <c r="BI9" s="60">
        <f>+BH9</f>
        <v>3.4704090677141863E-2</v>
      </c>
      <c r="BJ9" s="60">
        <f>+BI9</f>
        <v>3.4704090677141863E-2</v>
      </c>
      <c r="BK9" s="60">
        <v>1</v>
      </c>
      <c r="BL9" s="60">
        <f>+BJ9</f>
        <v>3.4704090677141863E-2</v>
      </c>
      <c r="BM9" s="60">
        <f t="shared" ref="BM9:BN9" si="3">+BH9</f>
        <v>3.4704090677141863E-2</v>
      </c>
      <c r="BN9" s="60">
        <f t="shared" si="3"/>
        <v>3.4704090677141863E-2</v>
      </c>
      <c r="BO9" s="60">
        <f>+'2017 Sub &amp; Feeder NCP %'!$E$19</f>
        <v>1</v>
      </c>
      <c r="BP9" s="60">
        <f>+BO9</f>
        <v>1</v>
      </c>
      <c r="BQ9" s="465">
        <f>+BP9</f>
        <v>1</v>
      </c>
      <c r="BR9" s="464">
        <f>+'2017 Sub &amp; Feeder NCP %'!$E$4</f>
        <v>0.74899413528799641</v>
      </c>
      <c r="BS9" s="60">
        <f>+BR9</f>
        <v>0.74899413528799641</v>
      </c>
      <c r="BT9" s="60">
        <f>+BR9</f>
        <v>0.74899413528799641</v>
      </c>
      <c r="BU9" s="60">
        <f>+BR9</f>
        <v>0.74899413528799641</v>
      </c>
      <c r="BV9" s="465">
        <f>+BR9</f>
        <v>0.74899413528799641</v>
      </c>
      <c r="BW9" s="464">
        <f>+'2017 Sub &amp; Feeder NCP %'!$E$45</f>
        <v>0.38600289761971107</v>
      </c>
      <c r="BX9" s="60">
        <f>+BW9</f>
        <v>0.38600289761971107</v>
      </c>
      <c r="BY9" s="60">
        <f>+BW9</f>
        <v>0.38600289761971107</v>
      </c>
      <c r="BZ9" s="465">
        <f>+BW9</f>
        <v>0.38600289761971107</v>
      </c>
      <c r="CA9" s="464">
        <f>+'2017 Sub &amp; Feeder NCP %'!$E$14</f>
        <v>0.71878590773037188</v>
      </c>
      <c r="CB9" s="465">
        <f>+CA9</f>
        <v>0.71878590773037188</v>
      </c>
      <c r="CC9" s="464">
        <f>+'2017 Sub &amp; Feeder NCP %'!$E$20</f>
        <v>0.61907456143251716</v>
      </c>
      <c r="CD9" s="60">
        <f>+CC9</f>
        <v>0.61907456143251716</v>
      </c>
      <c r="CE9" s="60">
        <f>+CD9</f>
        <v>0.61907456143251716</v>
      </c>
      <c r="CF9" s="60">
        <f>+'2017 Sub &amp; Feeder NCP %'!$E$21</f>
        <v>1</v>
      </c>
      <c r="CG9" s="60">
        <f>+CF9</f>
        <v>1</v>
      </c>
      <c r="CH9" s="60">
        <f t="shared" ref="CH9:CI9" si="4">+CG9</f>
        <v>1</v>
      </c>
      <c r="CI9" s="60">
        <f t="shared" si="4"/>
        <v>1</v>
      </c>
      <c r="CJ9" s="60">
        <f>+'2017 Sub &amp; Feeder NCP %'!$E$22</f>
        <v>0.40171477592504601</v>
      </c>
      <c r="CK9" s="60">
        <f>+CJ9</f>
        <v>0.40171477592504601</v>
      </c>
      <c r="CL9" s="60">
        <f>+CK9</f>
        <v>0.40171477592504601</v>
      </c>
      <c r="CM9" s="465">
        <f>+CJ9</f>
        <v>0.40171477592504601</v>
      </c>
      <c r="CN9" s="464">
        <f>+'2017 Sub &amp; Feeder NCP %'!$E$13</f>
        <v>0.59916444069424935</v>
      </c>
      <c r="CO9" s="60">
        <f>+CN9</f>
        <v>0.59916444069424935</v>
      </c>
      <c r="CP9" s="60">
        <f>+CN9</f>
        <v>0.59916444069424935</v>
      </c>
      <c r="CQ9" s="60">
        <f>+CN9</f>
        <v>0.59916444069424935</v>
      </c>
      <c r="CR9" s="465">
        <f>+CN9</f>
        <v>0.59916444069424935</v>
      </c>
      <c r="CS9" s="464">
        <f>+'2017 Sub &amp; Feeder NCP %'!$E$5</f>
        <v>0.81902227776476</v>
      </c>
      <c r="CT9" s="60">
        <f>+CS9</f>
        <v>0.81902227776476</v>
      </c>
      <c r="CU9" s="60">
        <f>+CS9</f>
        <v>0.81902227776476</v>
      </c>
      <c r="CV9" s="60">
        <f>+CS9</f>
        <v>0.81902227776476</v>
      </c>
      <c r="CW9" s="60">
        <f>+CS9</f>
        <v>0.81902227776476</v>
      </c>
      <c r="CX9" s="60">
        <f>+CS9</f>
        <v>0.81902227776476</v>
      </c>
      <c r="CY9" s="60">
        <f>+CS9</f>
        <v>0.81902227776476</v>
      </c>
      <c r="CZ9" s="60">
        <f>+CS9</f>
        <v>0.81902227776476</v>
      </c>
      <c r="DA9" s="60">
        <f>+'2017 Sub &amp; Feeder NCP %'!$E$6</f>
        <v>0.14932038378209841</v>
      </c>
      <c r="DB9" s="60">
        <f>+DA9</f>
        <v>0.14932038378209841</v>
      </c>
      <c r="DC9" s="60">
        <f>+DA9</f>
        <v>0.14932038378209841</v>
      </c>
      <c r="DD9" s="60">
        <f>+DA9</f>
        <v>0.14932038378209841</v>
      </c>
      <c r="DE9" s="60">
        <f>+DA9</f>
        <v>0.14932038378209841</v>
      </c>
      <c r="DF9" s="60">
        <f>+DA9</f>
        <v>0.14932038378209841</v>
      </c>
      <c r="DG9" s="60">
        <f>+DA9</f>
        <v>0.14932038378209841</v>
      </c>
      <c r="DH9" s="60">
        <f>+DB9</f>
        <v>0.14932038378209841</v>
      </c>
      <c r="DI9" s="465">
        <f>+DA9</f>
        <v>0.14932038378209841</v>
      </c>
      <c r="DJ9" s="464">
        <f>+'2017 Sub &amp; Feeder NCP %'!$E$10</f>
        <v>0.14732141036083013</v>
      </c>
      <c r="DK9" s="60">
        <f>+DJ9</f>
        <v>0.14732141036083013</v>
      </c>
      <c r="DL9" s="60">
        <f t="shared" ref="DL9:DP9" si="5">+DK9</f>
        <v>0.14732141036083013</v>
      </c>
      <c r="DM9" s="60">
        <v>1</v>
      </c>
      <c r="DN9" s="60">
        <f>+DJ9</f>
        <v>0.14732141036083013</v>
      </c>
      <c r="DO9" s="60">
        <f t="shared" si="5"/>
        <v>0.14732141036083013</v>
      </c>
      <c r="DP9" s="60">
        <f t="shared" si="5"/>
        <v>0.14732141036083013</v>
      </c>
      <c r="DQ9" s="60">
        <f>+'2017 Sub &amp; Feeder NCP %'!$E$11</f>
        <v>0.32132558456859223</v>
      </c>
      <c r="DR9" s="60">
        <v>1</v>
      </c>
      <c r="DS9" s="60">
        <f>+DQ9</f>
        <v>0.32132558456859223</v>
      </c>
      <c r="DT9" s="465">
        <f>+DS9</f>
        <v>0.32132558456859223</v>
      </c>
      <c r="DU9" s="464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465"/>
      <c r="EO9" s="464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466"/>
    </row>
    <row r="10" spans="1:158" x14ac:dyDescent="0.25">
      <c r="A10" s="397">
        <f t="shared" si="1"/>
        <v>4</v>
      </c>
      <c r="B10" s="87" t="s">
        <v>262</v>
      </c>
      <c r="D10" s="484">
        <v>2016</v>
      </c>
      <c r="E10" s="57">
        <f>+$D$10</f>
        <v>2016</v>
      </c>
      <c r="F10" s="57">
        <f t="shared" ref="F10:BT10" si="6">+$D$10</f>
        <v>2016</v>
      </c>
      <c r="G10" s="57">
        <f t="shared" si="6"/>
        <v>2016</v>
      </c>
      <c r="H10" s="57">
        <f t="shared" si="6"/>
        <v>2016</v>
      </c>
      <c r="I10" s="57">
        <f t="shared" si="6"/>
        <v>2016</v>
      </c>
      <c r="J10" s="57">
        <f t="shared" si="6"/>
        <v>2016</v>
      </c>
      <c r="K10" s="57">
        <f t="shared" si="6"/>
        <v>2016</v>
      </c>
      <c r="L10" s="57">
        <f t="shared" si="6"/>
        <v>2016</v>
      </c>
      <c r="M10" s="57">
        <f t="shared" si="6"/>
        <v>2016</v>
      </c>
      <c r="N10" s="57">
        <f t="shared" si="6"/>
        <v>2016</v>
      </c>
      <c r="O10" s="57">
        <f t="shared" si="6"/>
        <v>2016</v>
      </c>
      <c r="P10" s="57">
        <f t="shared" si="6"/>
        <v>2016</v>
      </c>
      <c r="Q10" s="57">
        <f t="shared" si="6"/>
        <v>2016</v>
      </c>
      <c r="R10" s="57">
        <f t="shared" si="6"/>
        <v>2016</v>
      </c>
      <c r="S10" s="57">
        <f t="shared" si="6"/>
        <v>2016</v>
      </c>
      <c r="T10" s="57">
        <f t="shared" si="6"/>
        <v>2016</v>
      </c>
      <c r="U10" s="57">
        <f t="shared" si="6"/>
        <v>2016</v>
      </c>
      <c r="V10" s="57">
        <f t="shared" si="6"/>
        <v>2016</v>
      </c>
      <c r="W10" s="57">
        <f t="shared" si="6"/>
        <v>2016</v>
      </c>
      <c r="X10" s="57">
        <f t="shared" si="6"/>
        <v>2016</v>
      </c>
      <c r="Y10" s="57">
        <f t="shared" si="6"/>
        <v>2016</v>
      </c>
      <c r="Z10" s="57">
        <f t="shared" si="6"/>
        <v>2016</v>
      </c>
      <c r="AA10" s="94">
        <f t="shared" si="6"/>
        <v>2016</v>
      </c>
      <c r="AB10" s="484">
        <f t="shared" si="6"/>
        <v>2016</v>
      </c>
      <c r="AC10" s="57">
        <f t="shared" si="6"/>
        <v>2016</v>
      </c>
      <c r="AD10" s="57">
        <f t="shared" si="6"/>
        <v>2016</v>
      </c>
      <c r="AE10" s="57">
        <f t="shared" si="6"/>
        <v>2016</v>
      </c>
      <c r="AF10" s="57">
        <f t="shared" si="6"/>
        <v>2016</v>
      </c>
      <c r="AG10" s="57">
        <f t="shared" si="6"/>
        <v>2016</v>
      </c>
      <c r="AH10" s="57">
        <f t="shared" si="6"/>
        <v>2016</v>
      </c>
      <c r="AI10" s="57">
        <f t="shared" si="6"/>
        <v>2016</v>
      </c>
      <c r="AJ10" s="57">
        <f t="shared" si="6"/>
        <v>2016</v>
      </c>
      <c r="AK10" s="57">
        <f t="shared" si="6"/>
        <v>2016</v>
      </c>
      <c r="AL10" s="57">
        <f t="shared" si="6"/>
        <v>2016</v>
      </c>
      <c r="AM10" s="57">
        <f t="shared" si="6"/>
        <v>2016</v>
      </c>
      <c r="AN10" s="57">
        <f t="shared" si="6"/>
        <v>2016</v>
      </c>
      <c r="AO10" s="57">
        <f t="shared" si="6"/>
        <v>2016</v>
      </c>
      <c r="AP10" s="57">
        <f t="shared" si="6"/>
        <v>2016</v>
      </c>
      <c r="AQ10" s="94">
        <f t="shared" si="6"/>
        <v>2016</v>
      </c>
      <c r="AR10" s="533">
        <f t="shared" si="6"/>
        <v>2016</v>
      </c>
      <c r="AS10" s="484">
        <f t="shared" si="6"/>
        <v>2016</v>
      </c>
      <c r="AT10" s="57">
        <f t="shared" si="6"/>
        <v>2016</v>
      </c>
      <c r="AU10" s="57">
        <f t="shared" si="6"/>
        <v>2016</v>
      </c>
      <c r="AV10" s="57">
        <f t="shared" si="6"/>
        <v>2016</v>
      </c>
      <c r="AW10" s="57">
        <f t="shared" si="6"/>
        <v>2016</v>
      </c>
      <c r="AX10" s="94">
        <f t="shared" si="6"/>
        <v>2016</v>
      </c>
      <c r="AY10" s="484">
        <f t="shared" si="6"/>
        <v>2016</v>
      </c>
      <c r="AZ10" s="57">
        <f t="shared" si="6"/>
        <v>2016</v>
      </c>
      <c r="BA10" s="57">
        <f t="shared" si="6"/>
        <v>2016</v>
      </c>
      <c r="BB10" s="57">
        <f t="shared" si="6"/>
        <v>2016</v>
      </c>
      <c r="BC10" s="57">
        <f t="shared" si="6"/>
        <v>2016</v>
      </c>
      <c r="BD10" s="57">
        <f t="shared" si="6"/>
        <v>2016</v>
      </c>
      <c r="BE10" s="57">
        <f t="shared" si="6"/>
        <v>2016</v>
      </c>
      <c r="BF10" s="57">
        <f t="shared" si="6"/>
        <v>2016</v>
      </c>
      <c r="BG10" s="57">
        <f t="shared" si="6"/>
        <v>2016</v>
      </c>
      <c r="BH10" s="57">
        <f t="shared" si="6"/>
        <v>2016</v>
      </c>
      <c r="BI10" s="57">
        <f t="shared" si="6"/>
        <v>2016</v>
      </c>
      <c r="BJ10" s="57">
        <f t="shared" si="6"/>
        <v>2016</v>
      </c>
      <c r="BK10" s="57">
        <f t="shared" si="6"/>
        <v>2016</v>
      </c>
      <c r="BL10" s="57">
        <f t="shared" si="6"/>
        <v>2016</v>
      </c>
      <c r="BM10" s="57">
        <f t="shared" si="6"/>
        <v>2016</v>
      </c>
      <c r="BN10" s="57">
        <f t="shared" si="6"/>
        <v>2016</v>
      </c>
      <c r="BO10" s="57">
        <f t="shared" si="6"/>
        <v>2016</v>
      </c>
      <c r="BP10" s="57">
        <f t="shared" si="6"/>
        <v>2016</v>
      </c>
      <c r="BQ10" s="94">
        <f t="shared" si="6"/>
        <v>2016</v>
      </c>
      <c r="BR10" s="484">
        <f t="shared" si="6"/>
        <v>2016</v>
      </c>
      <c r="BS10" s="57">
        <f t="shared" si="6"/>
        <v>2016</v>
      </c>
      <c r="BT10" s="57">
        <f t="shared" si="6"/>
        <v>2016</v>
      </c>
      <c r="BU10" s="57">
        <f t="shared" ref="BU10:DT10" si="7">+$D$10</f>
        <v>2016</v>
      </c>
      <c r="BV10" s="94">
        <f t="shared" si="7"/>
        <v>2016</v>
      </c>
      <c r="BW10" s="484">
        <v>2016</v>
      </c>
      <c r="BX10" s="57">
        <f>+BW10</f>
        <v>2016</v>
      </c>
      <c r="BY10" s="57">
        <f>+BX10</f>
        <v>2016</v>
      </c>
      <c r="BZ10" s="94">
        <f>+BY10</f>
        <v>2016</v>
      </c>
      <c r="CA10" s="484">
        <f t="shared" si="7"/>
        <v>2016</v>
      </c>
      <c r="CB10" s="94">
        <f t="shared" si="7"/>
        <v>2016</v>
      </c>
      <c r="CC10" s="484">
        <f t="shared" si="7"/>
        <v>2016</v>
      </c>
      <c r="CD10" s="57">
        <f t="shared" si="7"/>
        <v>2016</v>
      </c>
      <c r="CE10" s="57">
        <f t="shared" si="7"/>
        <v>2016</v>
      </c>
      <c r="CF10" s="57">
        <f t="shared" si="7"/>
        <v>2016</v>
      </c>
      <c r="CG10" s="57">
        <f t="shared" si="7"/>
        <v>2016</v>
      </c>
      <c r="CH10" s="57">
        <f t="shared" si="7"/>
        <v>2016</v>
      </c>
      <c r="CI10" s="57">
        <f t="shared" si="7"/>
        <v>2016</v>
      </c>
      <c r="CJ10" s="57">
        <f t="shared" si="7"/>
        <v>2016</v>
      </c>
      <c r="CK10" s="57">
        <f t="shared" si="7"/>
        <v>2016</v>
      </c>
      <c r="CL10" s="57">
        <f t="shared" si="7"/>
        <v>2016</v>
      </c>
      <c r="CM10" s="94">
        <f t="shared" si="7"/>
        <v>2016</v>
      </c>
      <c r="CN10" s="484">
        <f t="shared" si="7"/>
        <v>2016</v>
      </c>
      <c r="CO10" s="57">
        <f t="shared" si="7"/>
        <v>2016</v>
      </c>
      <c r="CP10" s="57">
        <f t="shared" si="7"/>
        <v>2016</v>
      </c>
      <c r="CQ10" s="57">
        <f t="shared" si="7"/>
        <v>2016</v>
      </c>
      <c r="CR10" s="94">
        <f t="shared" si="7"/>
        <v>2016</v>
      </c>
      <c r="CS10" s="484">
        <f t="shared" si="7"/>
        <v>2016</v>
      </c>
      <c r="CT10" s="57">
        <f t="shared" si="7"/>
        <v>2016</v>
      </c>
      <c r="CU10" s="57">
        <f t="shared" si="7"/>
        <v>2016</v>
      </c>
      <c r="CV10" s="57">
        <f t="shared" si="7"/>
        <v>2016</v>
      </c>
      <c r="CW10" s="57">
        <f t="shared" si="7"/>
        <v>2016</v>
      </c>
      <c r="CX10" s="57">
        <f t="shared" si="7"/>
        <v>2016</v>
      </c>
      <c r="CY10" s="57">
        <f t="shared" si="7"/>
        <v>2016</v>
      </c>
      <c r="CZ10" s="57">
        <f t="shared" si="7"/>
        <v>2016</v>
      </c>
      <c r="DA10" s="57">
        <f t="shared" si="7"/>
        <v>2016</v>
      </c>
      <c r="DB10" s="57">
        <f t="shared" si="7"/>
        <v>2016</v>
      </c>
      <c r="DC10" s="57">
        <f t="shared" si="7"/>
        <v>2016</v>
      </c>
      <c r="DD10" s="57">
        <f t="shared" si="7"/>
        <v>2016</v>
      </c>
      <c r="DE10" s="57">
        <f t="shared" si="7"/>
        <v>2016</v>
      </c>
      <c r="DF10" s="57">
        <f t="shared" si="7"/>
        <v>2016</v>
      </c>
      <c r="DG10" s="57">
        <f t="shared" si="7"/>
        <v>2016</v>
      </c>
      <c r="DH10" s="57">
        <f t="shared" si="7"/>
        <v>2016</v>
      </c>
      <c r="DI10" s="94">
        <f t="shared" si="7"/>
        <v>2016</v>
      </c>
      <c r="DJ10" s="484">
        <f t="shared" si="7"/>
        <v>2016</v>
      </c>
      <c r="DK10" s="57">
        <f t="shared" si="7"/>
        <v>2016</v>
      </c>
      <c r="DL10" s="57">
        <f t="shared" si="7"/>
        <v>2016</v>
      </c>
      <c r="DM10" s="57">
        <f t="shared" si="7"/>
        <v>2016</v>
      </c>
      <c r="DN10" s="57">
        <f t="shared" si="7"/>
        <v>2016</v>
      </c>
      <c r="DO10" s="57">
        <f t="shared" si="7"/>
        <v>2016</v>
      </c>
      <c r="DP10" s="57">
        <f t="shared" si="7"/>
        <v>2016</v>
      </c>
      <c r="DQ10" s="57">
        <f t="shared" si="7"/>
        <v>2016</v>
      </c>
      <c r="DR10" s="57">
        <f t="shared" si="7"/>
        <v>2016</v>
      </c>
      <c r="DS10" s="57">
        <f t="shared" si="7"/>
        <v>2016</v>
      </c>
      <c r="DT10" s="94">
        <f t="shared" si="7"/>
        <v>2016</v>
      </c>
      <c r="DU10" s="484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94"/>
      <c r="EO10" s="484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485"/>
    </row>
    <row r="11" spans="1:158" x14ac:dyDescent="0.25">
      <c r="A11" s="397">
        <f t="shared" si="1"/>
        <v>5</v>
      </c>
      <c r="B11" s="90" t="s">
        <v>56</v>
      </c>
      <c r="D11" s="484">
        <v>1994</v>
      </c>
      <c r="E11" s="57">
        <v>1994</v>
      </c>
      <c r="F11" s="57">
        <v>1994</v>
      </c>
      <c r="G11" s="57">
        <v>2008</v>
      </c>
      <c r="H11" s="57">
        <v>2001</v>
      </c>
      <c r="I11" s="57">
        <v>2008</v>
      </c>
      <c r="J11" s="57">
        <v>1994</v>
      </c>
      <c r="K11" s="57">
        <v>1994</v>
      </c>
      <c r="L11" s="57">
        <v>1994</v>
      </c>
      <c r="M11" s="57">
        <v>2012</v>
      </c>
      <c r="N11" s="57">
        <f>+M11</f>
        <v>2012</v>
      </c>
      <c r="O11" s="57">
        <v>1994</v>
      </c>
      <c r="P11" s="57">
        <v>2012</v>
      </c>
      <c r="Q11" s="57">
        <v>2005</v>
      </c>
      <c r="R11" s="57">
        <v>2012</v>
      </c>
      <c r="S11" s="57">
        <v>2012</v>
      </c>
      <c r="T11" s="57">
        <v>2012</v>
      </c>
      <c r="U11" s="57">
        <v>2014</v>
      </c>
      <c r="V11" s="57">
        <v>1994</v>
      </c>
      <c r="W11" s="57">
        <v>2007</v>
      </c>
      <c r="X11" s="57">
        <v>2008</v>
      </c>
      <c r="Y11" s="57">
        <v>1994</v>
      </c>
      <c r="Z11" s="57">
        <v>2007</v>
      </c>
      <c r="AA11" s="94">
        <v>2001</v>
      </c>
      <c r="AB11" s="484">
        <v>2008</v>
      </c>
      <c r="AC11" s="57">
        <v>2008</v>
      </c>
      <c r="AD11" s="57">
        <v>1998</v>
      </c>
      <c r="AE11" s="57">
        <v>2008</v>
      </c>
      <c r="AF11" s="57">
        <v>1998</v>
      </c>
      <c r="AG11" s="57">
        <v>2008</v>
      </c>
      <c r="AH11" s="57">
        <v>2009</v>
      </c>
      <c r="AI11" s="57">
        <v>2012</v>
      </c>
      <c r="AJ11" s="57">
        <v>2012</v>
      </c>
      <c r="AK11" s="57">
        <v>1994</v>
      </c>
      <c r="AL11" s="57">
        <v>1998</v>
      </c>
      <c r="AM11" s="57">
        <v>1994</v>
      </c>
      <c r="AN11" s="57">
        <v>1994</v>
      </c>
      <c r="AO11" s="57">
        <v>2008</v>
      </c>
      <c r="AP11" s="57">
        <v>1994</v>
      </c>
      <c r="AQ11" s="94">
        <v>2008</v>
      </c>
      <c r="AR11" s="533">
        <v>1999</v>
      </c>
      <c r="AS11" s="484">
        <v>1966</v>
      </c>
      <c r="AT11" s="57">
        <v>1979</v>
      </c>
      <c r="AU11" s="57">
        <v>1995</v>
      </c>
      <c r="AV11" s="57">
        <v>1998</v>
      </c>
      <c r="AW11" s="57">
        <v>2003</v>
      </c>
      <c r="AX11" s="94">
        <v>2012</v>
      </c>
      <c r="AY11" s="484">
        <v>1973</v>
      </c>
      <c r="AZ11" s="57">
        <v>1974</v>
      </c>
      <c r="BA11" s="57">
        <v>1977</v>
      </c>
      <c r="BB11" s="57">
        <v>1979</v>
      </c>
      <c r="BC11" s="57">
        <v>1986</v>
      </c>
      <c r="BD11" s="57">
        <v>1989</v>
      </c>
      <c r="BE11" s="57">
        <v>1990</v>
      </c>
      <c r="BF11" s="57">
        <v>1991</v>
      </c>
      <c r="BG11" s="57">
        <v>1979</v>
      </c>
      <c r="BH11" s="57">
        <v>1984</v>
      </c>
      <c r="BI11" s="57">
        <v>1986</v>
      </c>
      <c r="BJ11" s="57">
        <v>1989</v>
      </c>
      <c r="BK11" s="57">
        <v>2002</v>
      </c>
      <c r="BL11" s="57">
        <v>2010</v>
      </c>
      <c r="BM11" s="57">
        <v>2012</v>
      </c>
      <c r="BN11" s="57">
        <v>2015</v>
      </c>
      <c r="BO11" s="57">
        <v>1976</v>
      </c>
      <c r="BP11" s="57">
        <v>1991</v>
      </c>
      <c r="BQ11" s="94">
        <v>2009</v>
      </c>
      <c r="BR11" s="484">
        <v>1974</v>
      </c>
      <c r="BS11" s="57">
        <v>1975</v>
      </c>
      <c r="BT11" s="57">
        <v>1978</v>
      </c>
      <c r="BU11" s="57">
        <v>1994</v>
      </c>
      <c r="BV11" s="94">
        <v>2004</v>
      </c>
      <c r="BW11" s="484">
        <v>1990</v>
      </c>
      <c r="BX11" s="57">
        <v>1991</v>
      </c>
      <c r="BY11" s="57">
        <v>1992</v>
      </c>
      <c r="BZ11" s="94">
        <v>2000</v>
      </c>
      <c r="CA11" s="484">
        <v>1985</v>
      </c>
      <c r="CB11" s="94">
        <v>2012</v>
      </c>
      <c r="CC11" s="484">
        <v>2002</v>
      </c>
      <c r="CD11" s="57">
        <v>2008</v>
      </c>
      <c r="CE11" s="57">
        <v>2012</v>
      </c>
      <c r="CF11" s="57">
        <v>2002</v>
      </c>
      <c r="CG11" s="57">
        <v>2003</v>
      </c>
      <c r="CH11" s="57">
        <v>2008</v>
      </c>
      <c r="CI11" s="57">
        <v>2009</v>
      </c>
      <c r="CJ11" s="57">
        <v>1984</v>
      </c>
      <c r="CK11" s="57">
        <v>2008</v>
      </c>
      <c r="CL11" s="57">
        <v>2009</v>
      </c>
      <c r="CM11" s="94">
        <v>2012</v>
      </c>
      <c r="CN11" s="484">
        <v>1966</v>
      </c>
      <c r="CO11" s="57">
        <v>1984</v>
      </c>
      <c r="CP11" s="57">
        <v>1988</v>
      </c>
      <c r="CQ11" s="57">
        <v>1990</v>
      </c>
      <c r="CR11" s="94">
        <v>2014</v>
      </c>
      <c r="CS11" s="484">
        <v>1977</v>
      </c>
      <c r="CT11" s="57">
        <v>1982</v>
      </c>
      <c r="CU11" s="57">
        <v>1989</v>
      </c>
      <c r="CV11" s="57">
        <v>1990</v>
      </c>
      <c r="CW11" s="57">
        <v>1992</v>
      </c>
      <c r="CX11" s="57">
        <v>1993</v>
      </c>
      <c r="CY11" s="57">
        <v>2002</v>
      </c>
      <c r="CZ11" s="57">
        <v>2014</v>
      </c>
      <c r="DA11" s="57">
        <v>1982</v>
      </c>
      <c r="DB11" s="57">
        <v>1983</v>
      </c>
      <c r="DC11" s="57">
        <v>1984</v>
      </c>
      <c r="DD11" s="57">
        <v>1990</v>
      </c>
      <c r="DE11" s="57">
        <v>1994</v>
      </c>
      <c r="DF11" s="57">
        <v>1999</v>
      </c>
      <c r="DG11" s="57">
        <v>2003</v>
      </c>
      <c r="DH11" s="57">
        <v>2006</v>
      </c>
      <c r="DI11" s="94">
        <v>2012</v>
      </c>
      <c r="DJ11" s="484">
        <v>1971</v>
      </c>
      <c r="DK11" s="57">
        <v>1974</v>
      </c>
      <c r="DL11" s="57">
        <v>1987</v>
      </c>
      <c r="DM11" s="57">
        <v>1990</v>
      </c>
      <c r="DN11" s="57">
        <v>1990</v>
      </c>
      <c r="DO11" s="57">
        <v>2003</v>
      </c>
      <c r="DP11" s="57">
        <v>2015</v>
      </c>
      <c r="DQ11" s="57">
        <v>1987</v>
      </c>
      <c r="DR11" s="57">
        <v>1994</v>
      </c>
      <c r="DS11" s="57">
        <v>1994</v>
      </c>
      <c r="DT11" s="94">
        <v>2012</v>
      </c>
      <c r="DU11" s="484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94"/>
      <c r="EO11" s="484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485"/>
    </row>
    <row r="12" spans="1:158" x14ac:dyDescent="0.25">
      <c r="A12" s="397">
        <f t="shared" si="1"/>
        <v>6</v>
      </c>
      <c r="B12" s="90" t="s">
        <v>57</v>
      </c>
      <c r="D12" s="484">
        <f t="shared" ref="D12:BO12" si="8">+D10-D11</f>
        <v>22</v>
      </c>
      <c r="E12" s="57">
        <f t="shared" si="8"/>
        <v>22</v>
      </c>
      <c r="F12" s="57">
        <f>+F10-F11</f>
        <v>22</v>
      </c>
      <c r="G12" s="57">
        <f>+G10-G11</f>
        <v>8</v>
      </c>
      <c r="H12" s="57">
        <f>+H10-H11</f>
        <v>15</v>
      </c>
      <c r="I12" s="57">
        <f>+I10-I11</f>
        <v>8</v>
      </c>
      <c r="J12" s="57">
        <f t="shared" si="8"/>
        <v>22</v>
      </c>
      <c r="K12" s="57">
        <f t="shared" si="8"/>
        <v>22</v>
      </c>
      <c r="L12" s="57">
        <f t="shared" si="8"/>
        <v>22</v>
      </c>
      <c r="M12" s="57">
        <f t="shared" ref="M12:O12" si="9">+M10-M11</f>
        <v>4</v>
      </c>
      <c r="N12" s="57">
        <f t="shared" ref="N12" si="10">+N10-N11</f>
        <v>4</v>
      </c>
      <c r="O12" s="57">
        <f t="shared" si="9"/>
        <v>22</v>
      </c>
      <c r="P12" s="57">
        <f t="shared" ref="P12:T12" si="11">+P10-P11</f>
        <v>4</v>
      </c>
      <c r="Q12" s="57">
        <f t="shared" si="11"/>
        <v>11</v>
      </c>
      <c r="R12" s="57">
        <f t="shared" ref="R12:S12" si="12">+R10-R11</f>
        <v>4</v>
      </c>
      <c r="S12" s="57">
        <f t="shared" si="12"/>
        <v>4</v>
      </c>
      <c r="T12" s="57">
        <f t="shared" si="11"/>
        <v>4</v>
      </c>
      <c r="U12" s="57">
        <f t="shared" ref="U12" si="13">+U10-U11</f>
        <v>2</v>
      </c>
      <c r="V12" s="57">
        <f t="shared" si="8"/>
        <v>22</v>
      </c>
      <c r="W12" s="57">
        <f>+W10-W11</f>
        <v>9</v>
      </c>
      <c r="X12" s="57">
        <f>+X10-X11</f>
        <v>8</v>
      </c>
      <c r="Y12" s="57">
        <f t="shared" si="8"/>
        <v>22</v>
      </c>
      <c r="Z12" s="57">
        <f t="shared" si="8"/>
        <v>9</v>
      </c>
      <c r="AA12" s="94">
        <f t="shared" si="8"/>
        <v>15</v>
      </c>
      <c r="AB12" s="484">
        <f t="shared" ref="AB12:AQ12" si="14">+AB10-AB11</f>
        <v>8</v>
      </c>
      <c r="AC12" s="57">
        <f t="shared" si="14"/>
        <v>8</v>
      </c>
      <c r="AD12" s="57">
        <f t="shared" si="14"/>
        <v>18</v>
      </c>
      <c r="AE12" s="57">
        <f t="shared" si="14"/>
        <v>8</v>
      </c>
      <c r="AF12" s="57">
        <f t="shared" ref="AF12:AL12" si="15">+AF10-AF11</f>
        <v>18</v>
      </c>
      <c r="AG12" s="57">
        <f t="shared" si="15"/>
        <v>8</v>
      </c>
      <c r="AH12" s="57">
        <f t="shared" si="15"/>
        <v>7</v>
      </c>
      <c r="AI12" s="57">
        <f t="shared" si="15"/>
        <v>4</v>
      </c>
      <c r="AJ12" s="57">
        <f t="shared" si="15"/>
        <v>4</v>
      </c>
      <c r="AK12" s="57">
        <f t="shared" si="15"/>
        <v>22</v>
      </c>
      <c r="AL12" s="57">
        <f t="shared" si="15"/>
        <v>18</v>
      </c>
      <c r="AM12" s="57">
        <f t="shared" si="14"/>
        <v>22</v>
      </c>
      <c r="AN12" s="57">
        <f t="shared" si="14"/>
        <v>22</v>
      </c>
      <c r="AO12" s="57">
        <f t="shared" si="14"/>
        <v>8</v>
      </c>
      <c r="AP12" s="57">
        <f t="shared" si="14"/>
        <v>22</v>
      </c>
      <c r="AQ12" s="94">
        <f t="shared" si="14"/>
        <v>8</v>
      </c>
      <c r="AR12" s="533">
        <f t="shared" si="8"/>
        <v>17</v>
      </c>
      <c r="AS12" s="484">
        <f t="shared" si="8"/>
        <v>50</v>
      </c>
      <c r="AT12" s="57">
        <f t="shared" ref="AT12:AX12" si="16">+AT10-AT11</f>
        <v>37</v>
      </c>
      <c r="AU12" s="57">
        <f t="shared" si="16"/>
        <v>21</v>
      </c>
      <c r="AV12" s="57">
        <f t="shared" ref="AV12:AW12" si="17">+AV10-AV11</f>
        <v>18</v>
      </c>
      <c r="AW12" s="57">
        <f t="shared" si="17"/>
        <v>13</v>
      </c>
      <c r="AX12" s="94">
        <f t="shared" si="16"/>
        <v>4</v>
      </c>
      <c r="AY12" s="484">
        <f t="shared" si="8"/>
        <v>43</v>
      </c>
      <c r="AZ12" s="57">
        <f t="shared" ref="AZ12:BA12" si="18">+AZ10-AZ11</f>
        <v>42</v>
      </c>
      <c r="BA12" s="57">
        <f t="shared" si="18"/>
        <v>39</v>
      </c>
      <c r="BB12" s="57">
        <f t="shared" ref="BB12" si="19">+BB10-BB11</f>
        <v>37</v>
      </c>
      <c r="BC12" s="57">
        <f t="shared" si="8"/>
        <v>30</v>
      </c>
      <c r="BD12" s="57">
        <f t="shared" si="8"/>
        <v>27</v>
      </c>
      <c r="BE12" s="57">
        <f t="shared" ref="BE12" si="20">+BE10-BE11</f>
        <v>26</v>
      </c>
      <c r="BF12" s="57">
        <f t="shared" si="8"/>
        <v>25</v>
      </c>
      <c r="BG12" s="57">
        <f t="shared" ref="BG12" si="21">+BG10-BG11</f>
        <v>37</v>
      </c>
      <c r="BH12" s="57">
        <f t="shared" si="8"/>
        <v>32</v>
      </c>
      <c r="BI12" s="57">
        <f t="shared" si="8"/>
        <v>30</v>
      </c>
      <c r="BJ12" s="57">
        <f t="shared" si="8"/>
        <v>27</v>
      </c>
      <c r="BK12" s="57">
        <f t="shared" si="8"/>
        <v>14</v>
      </c>
      <c r="BL12" s="57">
        <f t="shared" si="8"/>
        <v>6</v>
      </c>
      <c r="BM12" s="57">
        <f t="shared" ref="BM12:BN12" si="22">+BM10-BM11</f>
        <v>4</v>
      </c>
      <c r="BN12" s="57">
        <f t="shared" si="22"/>
        <v>1</v>
      </c>
      <c r="BO12" s="57">
        <f t="shared" si="8"/>
        <v>40</v>
      </c>
      <c r="BP12" s="57">
        <f t="shared" ref="BP12:BV12" si="23">+BP10-BP11</f>
        <v>25</v>
      </c>
      <c r="BQ12" s="94">
        <f t="shared" si="23"/>
        <v>7</v>
      </c>
      <c r="BR12" s="484">
        <f t="shared" si="23"/>
        <v>42</v>
      </c>
      <c r="BS12" s="57">
        <f t="shared" si="23"/>
        <v>41</v>
      </c>
      <c r="BT12" s="57">
        <f t="shared" si="23"/>
        <v>38</v>
      </c>
      <c r="BU12" s="57">
        <f t="shared" si="23"/>
        <v>22</v>
      </c>
      <c r="BV12" s="94">
        <f t="shared" si="23"/>
        <v>12</v>
      </c>
      <c r="BW12" s="484">
        <f t="shared" ref="BW12:BZ12" si="24">+BW10-BW11</f>
        <v>26</v>
      </c>
      <c r="BX12" s="57">
        <f t="shared" si="24"/>
        <v>25</v>
      </c>
      <c r="BY12" s="57">
        <f t="shared" si="24"/>
        <v>24</v>
      </c>
      <c r="BZ12" s="94">
        <f t="shared" si="24"/>
        <v>16</v>
      </c>
      <c r="CA12" s="484">
        <f t="shared" ref="CA12:CO12" si="25">+CA10-CA11</f>
        <v>31</v>
      </c>
      <c r="CB12" s="94">
        <f t="shared" ref="CB12" si="26">+CB10-CB11</f>
        <v>4</v>
      </c>
      <c r="CC12" s="484">
        <f t="shared" si="25"/>
        <v>14</v>
      </c>
      <c r="CD12" s="57">
        <f t="shared" si="25"/>
        <v>8</v>
      </c>
      <c r="CE12" s="57">
        <f t="shared" si="25"/>
        <v>4</v>
      </c>
      <c r="CF12" s="57">
        <f t="shared" ref="CF12:CK12" si="27">+CF10-CF11</f>
        <v>14</v>
      </c>
      <c r="CG12" s="57">
        <f t="shared" ref="CG12:CI12" si="28">+CG10-CG11</f>
        <v>13</v>
      </c>
      <c r="CH12" s="57">
        <f t="shared" si="28"/>
        <v>8</v>
      </c>
      <c r="CI12" s="57">
        <f t="shared" si="28"/>
        <v>7</v>
      </c>
      <c r="CJ12" s="57">
        <f t="shared" si="27"/>
        <v>32</v>
      </c>
      <c r="CK12" s="57">
        <f t="shared" si="27"/>
        <v>8</v>
      </c>
      <c r="CL12" s="57">
        <f t="shared" ref="CL12" si="29">+CL10-CL11</f>
        <v>7</v>
      </c>
      <c r="CM12" s="94">
        <f t="shared" si="25"/>
        <v>4</v>
      </c>
      <c r="CN12" s="484">
        <f t="shared" si="25"/>
        <v>50</v>
      </c>
      <c r="CO12" s="57">
        <f t="shared" si="25"/>
        <v>32</v>
      </c>
      <c r="CP12" s="57">
        <f t="shared" ref="CP12:DT12" si="30">+CP10-CP11</f>
        <v>28</v>
      </c>
      <c r="CQ12" s="57">
        <f t="shared" si="30"/>
        <v>26</v>
      </c>
      <c r="CR12" s="94">
        <f t="shared" si="30"/>
        <v>2</v>
      </c>
      <c r="CS12" s="484">
        <f t="shared" si="30"/>
        <v>39</v>
      </c>
      <c r="CT12" s="57">
        <f t="shared" ref="CT12:CZ12" si="31">+CT10-CT11</f>
        <v>34</v>
      </c>
      <c r="CU12" s="57">
        <f t="shared" si="31"/>
        <v>27</v>
      </c>
      <c r="CV12" s="57">
        <f t="shared" si="31"/>
        <v>26</v>
      </c>
      <c r="CW12" s="57">
        <f t="shared" si="31"/>
        <v>24</v>
      </c>
      <c r="CX12" s="57">
        <f t="shared" si="31"/>
        <v>23</v>
      </c>
      <c r="CY12" s="57">
        <f t="shared" ref="CY12" si="32">+CY10-CY11</f>
        <v>14</v>
      </c>
      <c r="CZ12" s="57">
        <f t="shared" si="31"/>
        <v>2</v>
      </c>
      <c r="DA12" s="57">
        <f t="shared" ref="DA12:DF12" si="33">+DA10-DA11</f>
        <v>34</v>
      </c>
      <c r="DB12" s="57">
        <f t="shared" si="33"/>
        <v>33</v>
      </c>
      <c r="DC12" s="57">
        <f t="shared" si="33"/>
        <v>32</v>
      </c>
      <c r="DD12" s="57">
        <f t="shared" si="33"/>
        <v>26</v>
      </c>
      <c r="DE12" s="57">
        <f t="shared" si="33"/>
        <v>22</v>
      </c>
      <c r="DF12" s="57">
        <f t="shared" si="33"/>
        <v>17</v>
      </c>
      <c r="DG12" s="57">
        <f t="shared" ref="DG12:DH12" si="34">+DG10-DG11</f>
        <v>13</v>
      </c>
      <c r="DH12" s="57">
        <f t="shared" si="34"/>
        <v>10</v>
      </c>
      <c r="DI12" s="94">
        <f t="shared" si="30"/>
        <v>4</v>
      </c>
      <c r="DJ12" s="484">
        <f t="shared" si="30"/>
        <v>45</v>
      </c>
      <c r="DK12" s="57">
        <f t="shared" ref="DK12" si="35">+DK10-DK11</f>
        <v>42</v>
      </c>
      <c r="DL12" s="57">
        <f t="shared" ref="DL12:DO12" si="36">+DL10-DL11</f>
        <v>29</v>
      </c>
      <c r="DM12" s="57">
        <f t="shared" si="36"/>
        <v>26</v>
      </c>
      <c r="DN12" s="57">
        <f t="shared" ref="DN12" si="37">+DN10-DN11</f>
        <v>26</v>
      </c>
      <c r="DO12" s="57">
        <f t="shared" si="36"/>
        <v>13</v>
      </c>
      <c r="DP12" s="57">
        <f t="shared" ref="DP12:DR12" si="38">+DP10-DP11</f>
        <v>1</v>
      </c>
      <c r="DQ12" s="57">
        <f t="shared" si="38"/>
        <v>29</v>
      </c>
      <c r="DR12" s="57">
        <f t="shared" si="38"/>
        <v>22</v>
      </c>
      <c r="DS12" s="57">
        <f t="shared" ref="DS12" si="39">+DS10-DS11</f>
        <v>22</v>
      </c>
      <c r="DT12" s="94">
        <f t="shared" si="30"/>
        <v>4</v>
      </c>
      <c r="DU12" s="484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94"/>
      <c r="EO12" s="484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485"/>
    </row>
    <row r="13" spans="1:158" x14ac:dyDescent="0.25">
      <c r="A13" s="397">
        <f t="shared" si="1"/>
        <v>7</v>
      </c>
      <c r="B13" s="90" t="s">
        <v>58</v>
      </c>
      <c r="D13" s="484">
        <v>34</v>
      </c>
      <c r="E13" s="57">
        <f>+$D$13</f>
        <v>34</v>
      </c>
      <c r="F13" s="57">
        <f t="shared" ref="F13:BR13" si="40">+$D$13</f>
        <v>34</v>
      </c>
      <c r="G13" s="57">
        <f t="shared" si="40"/>
        <v>34</v>
      </c>
      <c r="H13" s="57">
        <f t="shared" si="40"/>
        <v>34</v>
      </c>
      <c r="I13" s="57">
        <f t="shared" si="40"/>
        <v>34</v>
      </c>
      <c r="J13" s="57">
        <f t="shared" si="40"/>
        <v>34</v>
      </c>
      <c r="K13" s="57">
        <f t="shared" si="40"/>
        <v>34</v>
      </c>
      <c r="L13" s="57">
        <f t="shared" si="40"/>
        <v>34</v>
      </c>
      <c r="M13" s="57">
        <f t="shared" si="40"/>
        <v>34</v>
      </c>
      <c r="N13" s="57">
        <f t="shared" si="40"/>
        <v>34</v>
      </c>
      <c r="O13" s="57">
        <f t="shared" si="40"/>
        <v>34</v>
      </c>
      <c r="P13" s="57">
        <f t="shared" si="40"/>
        <v>34</v>
      </c>
      <c r="Q13" s="57">
        <f t="shared" si="40"/>
        <v>34</v>
      </c>
      <c r="R13" s="57">
        <f t="shared" si="40"/>
        <v>34</v>
      </c>
      <c r="S13" s="57">
        <f t="shared" si="40"/>
        <v>34</v>
      </c>
      <c r="T13" s="57">
        <f t="shared" si="40"/>
        <v>34</v>
      </c>
      <c r="U13" s="57">
        <f t="shared" si="40"/>
        <v>34</v>
      </c>
      <c r="V13" s="57">
        <f t="shared" si="40"/>
        <v>34</v>
      </c>
      <c r="W13" s="57">
        <f t="shared" si="40"/>
        <v>34</v>
      </c>
      <c r="X13" s="57">
        <f t="shared" si="40"/>
        <v>34</v>
      </c>
      <c r="Y13" s="57">
        <f t="shared" si="40"/>
        <v>34</v>
      </c>
      <c r="Z13" s="57">
        <f t="shared" si="40"/>
        <v>34</v>
      </c>
      <c r="AA13" s="94">
        <f t="shared" si="40"/>
        <v>34</v>
      </c>
      <c r="AB13" s="484">
        <f t="shared" si="40"/>
        <v>34</v>
      </c>
      <c r="AC13" s="57">
        <f t="shared" si="40"/>
        <v>34</v>
      </c>
      <c r="AD13" s="57">
        <f t="shared" si="40"/>
        <v>34</v>
      </c>
      <c r="AE13" s="57">
        <f t="shared" si="40"/>
        <v>34</v>
      </c>
      <c r="AF13" s="57">
        <f t="shared" si="40"/>
        <v>34</v>
      </c>
      <c r="AG13" s="57">
        <f t="shared" si="40"/>
        <v>34</v>
      </c>
      <c r="AH13" s="57">
        <f t="shared" si="40"/>
        <v>34</v>
      </c>
      <c r="AI13" s="57">
        <f t="shared" si="40"/>
        <v>34</v>
      </c>
      <c r="AJ13" s="57">
        <f t="shared" si="40"/>
        <v>34</v>
      </c>
      <c r="AK13" s="57">
        <f t="shared" si="40"/>
        <v>34</v>
      </c>
      <c r="AL13" s="57">
        <f t="shared" si="40"/>
        <v>34</v>
      </c>
      <c r="AM13" s="57">
        <f t="shared" si="40"/>
        <v>34</v>
      </c>
      <c r="AN13" s="57">
        <f t="shared" si="40"/>
        <v>34</v>
      </c>
      <c r="AO13" s="57">
        <f t="shared" si="40"/>
        <v>34</v>
      </c>
      <c r="AP13" s="57">
        <f t="shared" si="40"/>
        <v>34</v>
      </c>
      <c r="AQ13" s="94">
        <f t="shared" si="40"/>
        <v>34</v>
      </c>
      <c r="AR13" s="533">
        <f t="shared" si="40"/>
        <v>34</v>
      </c>
      <c r="AS13" s="484">
        <f t="shared" si="40"/>
        <v>34</v>
      </c>
      <c r="AT13" s="57">
        <f t="shared" si="40"/>
        <v>34</v>
      </c>
      <c r="AU13" s="57">
        <f t="shared" si="40"/>
        <v>34</v>
      </c>
      <c r="AV13" s="57">
        <f t="shared" si="40"/>
        <v>34</v>
      </c>
      <c r="AW13" s="57">
        <f t="shared" si="40"/>
        <v>34</v>
      </c>
      <c r="AX13" s="94">
        <f t="shared" si="40"/>
        <v>34</v>
      </c>
      <c r="AY13" s="484">
        <f t="shared" si="40"/>
        <v>34</v>
      </c>
      <c r="AZ13" s="57">
        <f t="shared" si="40"/>
        <v>34</v>
      </c>
      <c r="BA13" s="57">
        <f t="shared" si="40"/>
        <v>34</v>
      </c>
      <c r="BB13" s="57">
        <f t="shared" si="40"/>
        <v>34</v>
      </c>
      <c r="BC13" s="57">
        <f t="shared" si="40"/>
        <v>34</v>
      </c>
      <c r="BD13" s="57">
        <f t="shared" si="40"/>
        <v>34</v>
      </c>
      <c r="BE13" s="57">
        <f t="shared" si="40"/>
        <v>34</v>
      </c>
      <c r="BF13" s="57">
        <f t="shared" si="40"/>
        <v>34</v>
      </c>
      <c r="BG13" s="57">
        <f t="shared" si="40"/>
        <v>34</v>
      </c>
      <c r="BH13" s="57">
        <f t="shared" si="40"/>
        <v>34</v>
      </c>
      <c r="BI13" s="57">
        <f t="shared" si="40"/>
        <v>34</v>
      </c>
      <c r="BJ13" s="57">
        <f t="shared" si="40"/>
        <v>34</v>
      </c>
      <c r="BK13" s="57">
        <f t="shared" si="40"/>
        <v>34</v>
      </c>
      <c r="BL13" s="57">
        <f t="shared" si="40"/>
        <v>34</v>
      </c>
      <c r="BM13" s="57">
        <f t="shared" si="40"/>
        <v>34</v>
      </c>
      <c r="BN13" s="57">
        <f t="shared" si="40"/>
        <v>34</v>
      </c>
      <c r="BO13" s="57">
        <f t="shared" si="40"/>
        <v>34</v>
      </c>
      <c r="BP13" s="57">
        <f t="shared" si="40"/>
        <v>34</v>
      </c>
      <c r="BQ13" s="94">
        <f t="shared" si="40"/>
        <v>34</v>
      </c>
      <c r="BR13" s="484">
        <f t="shared" si="40"/>
        <v>34</v>
      </c>
      <c r="BS13" s="57">
        <f t="shared" ref="BS13:DT13" si="41">+$D$13</f>
        <v>34</v>
      </c>
      <c r="BT13" s="57">
        <f t="shared" si="41"/>
        <v>34</v>
      </c>
      <c r="BU13" s="57">
        <f t="shared" si="41"/>
        <v>34</v>
      </c>
      <c r="BV13" s="94">
        <f t="shared" si="41"/>
        <v>34</v>
      </c>
      <c r="BW13" s="484">
        <f t="shared" si="41"/>
        <v>34</v>
      </c>
      <c r="BX13" s="57">
        <f t="shared" si="41"/>
        <v>34</v>
      </c>
      <c r="BY13" s="57">
        <f t="shared" si="41"/>
        <v>34</v>
      </c>
      <c r="BZ13" s="94">
        <f t="shared" si="41"/>
        <v>34</v>
      </c>
      <c r="CA13" s="484">
        <f t="shared" si="41"/>
        <v>34</v>
      </c>
      <c r="CB13" s="94">
        <f t="shared" si="41"/>
        <v>34</v>
      </c>
      <c r="CC13" s="484">
        <f t="shared" si="41"/>
        <v>34</v>
      </c>
      <c r="CD13" s="57">
        <f t="shared" si="41"/>
        <v>34</v>
      </c>
      <c r="CE13" s="57">
        <f t="shared" si="41"/>
        <v>34</v>
      </c>
      <c r="CF13" s="57">
        <f t="shared" si="41"/>
        <v>34</v>
      </c>
      <c r="CG13" s="57">
        <f t="shared" si="41"/>
        <v>34</v>
      </c>
      <c r="CH13" s="57">
        <f t="shared" si="41"/>
        <v>34</v>
      </c>
      <c r="CI13" s="57">
        <f t="shared" si="41"/>
        <v>34</v>
      </c>
      <c r="CJ13" s="57">
        <f t="shared" si="41"/>
        <v>34</v>
      </c>
      <c r="CK13" s="57">
        <f t="shared" si="41"/>
        <v>34</v>
      </c>
      <c r="CL13" s="57">
        <f t="shared" si="41"/>
        <v>34</v>
      </c>
      <c r="CM13" s="94">
        <f t="shared" si="41"/>
        <v>34</v>
      </c>
      <c r="CN13" s="484">
        <f t="shared" si="41"/>
        <v>34</v>
      </c>
      <c r="CO13" s="57">
        <f t="shared" si="41"/>
        <v>34</v>
      </c>
      <c r="CP13" s="57">
        <f t="shared" si="41"/>
        <v>34</v>
      </c>
      <c r="CQ13" s="57">
        <f t="shared" si="41"/>
        <v>34</v>
      </c>
      <c r="CR13" s="94">
        <f t="shared" si="41"/>
        <v>34</v>
      </c>
      <c r="CS13" s="484">
        <f t="shared" si="41"/>
        <v>34</v>
      </c>
      <c r="CT13" s="57">
        <f t="shared" si="41"/>
        <v>34</v>
      </c>
      <c r="CU13" s="57">
        <f t="shared" si="41"/>
        <v>34</v>
      </c>
      <c r="CV13" s="57">
        <f t="shared" si="41"/>
        <v>34</v>
      </c>
      <c r="CW13" s="57">
        <f t="shared" si="41"/>
        <v>34</v>
      </c>
      <c r="CX13" s="57">
        <f t="shared" si="41"/>
        <v>34</v>
      </c>
      <c r="CY13" s="57">
        <f t="shared" si="41"/>
        <v>34</v>
      </c>
      <c r="CZ13" s="57">
        <f t="shared" si="41"/>
        <v>34</v>
      </c>
      <c r="DA13" s="57">
        <f t="shared" si="41"/>
        <v>34</v>
      </c>
      <c r="DB13" s="57">
        <f t="shared" si="41"/>
        <v>34</v>
      </c>
      <c r="DC13" s="57">
        <f t="shared" si="41"/>
        <v>34</v>
      </c>
      <c r="DD13" s="57">
        <f t="shared" si="41"/>
        <v>34</v>
      </c>
      <c r="DE13" s="57">
        <f t="shared" si="41"/>
        <v>34</v>
      </c>
      <c r="DF13" s="57">
        <f t="shared" si="41"/>
        <v>34</v>
      </c>
      <c r="DG13" s="57">
        <f t="shared" si="41"/>
        <v>34</v>
      </c>
      <c r="DH13" s="57">
        <f t="shared" si="41"/>
        <v>34</v>
      </c>
      <c r="DI13" s="94">
        <f t="shared" si="41"/>
        <v>34</v>
      </c>
      <c r="DJ13" s="484">
        <f t="shared" si="41"/>
        <v>34</v>
      </c>
      <c r="DK13" s="57">
        <f t="shared" si="41"/>
        <v>34</v>
      </c>
      <c r="DL13" s="57">
        <f t="shared" si="41"/>
        <v>34</v>
      </c>
      <c r="DM13" s="57">
        <f t="shared" si="41"/>
        <v>34</v>
      </c>
      <c r="DN13" s="57">
        <f t="shared" si="41"/>
        <v>34</v>
      </c>
      <c r="DO13" s="57">
        <f t="shared" si="41"/>
        <v>34</v>
      </c>
      <c r="DP13" s="57">
        <f t="shared" si="41"/>
        <v>34</v>
      </c>
      <c r="DQ13" s="57">
        <f t="shared" si="41"/>
        <v>34</v>
      </c>
      <c r="DR13" s="57">
        <f t="shared" si="41"/>
        <v>34</v>
      </c>
      <c r="DS13" s="57">
        <f t="shared" si="41"/>
        <v>34</v>
      </c>
      <c r="DT13" s="94">
        <f t="shared" si="41"/>
        <v>34</v>
      </c>
      <c r="DU13" s="484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94"/>
      <c r="EO13" s="484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485"/>
    </row>
    <row r="14" spans="1:158" x14ac:dyDescent="0.25">
      <c r="A14" s="397">
        <f t="shared" si="1"/>
        <v>8</v>
      </c>
      <c r="B14" s="90" t="s">
        <v>59</v>
      </c>
      <c r="D14" s="484">
        <f>IF(+D13-D12&gt;0,D13-D12,0)</f>
        <v>12</v>
      </c>
      <c r="E14" s="57">
        <f t="shared" ref="E14:BQ14" si="42">IF(+E13-E12&gt;0,E13-E12,0)</f>
        <v>12</v>
      </c>
      <c r="F14" s="57">
        <f t="shared" si="42"/>
        <v>12</v>
      </c>
      <c r="G14" s="57">
        <f t="shared" si="42"/>
        <v>26</v>
      </c>
      <c r="H14" s="57">
        <f t="shared" si="42"/>
        <v>19</v>
      </c>
      <c r="I14" s="57">
        <f t="shared" si="42"/>
        <v>26</v>
      </c>
      <c r="J14" s="57">
        <f t="shared" si="42"/>
        <v>12</v>
      </c>
      <c r="K14" s="57">
        <f t="shared" si="42"/>
        <v>12</v>
      </c>
      <c r="L14" s="57">
        <f t="shared" si="42"/>
        <v>12</v>
      </c>
      <c r="M14" s="57">
        <f t="shared" si="42"/>
        <v>30</v>
      </c>
      <c r="N14" s="57">
        <f t="shared" ref="N14" si="43">IF(+N13-N12&gt;0,N13-N12,0)</f>
        <v>30</v>
      </c>
      <c r="O14" s="57">
        <f t="shared" si="42"/>
        <v>12</v>
      </c>
      <c r="P14" s="57">
        <f t="shared" si="42"/>
        <v>30</v>
      </c>
      <c r="Q14" s="57">
        <f t="shared" si="42"/>
        <v>23</v>
      </c>
      <c r="R14" s="57">
        <f t="shared" si="42"/>
        <v>30</v>
      </c>
      <c r="S14" s="57">
        <f t="shared" si="42"/>
        <v>30</v>
      </c>
      <c r="T14" s="57">
        <f t="shared" si="42"/>
        <v>30</v>
      </c>
      <c r="U14" s="57">
        <f t="shared" si="42"/>
        <v>32</v>
      </c>
      <c r="V14" s="57">
        <f t="shared" si="42"/>
        <v>12</v>
      </c>
      <c r="W14" s="57">
        <f t="shared" si="42"/>
        <v>25</v>
      </c>
      <c r="X14" s="57">
        <f t="shared" si="42"/>
        <v>26</v>
      </c>
      <c r="Y14" s="57">
        <f t="shared" si="42"/>
        <v>12</v>
      </c>
      <c r="Z14" s="57">
        <f t="shared" si="42"/>
        <v>25</v>
      </c>
      <c r="AA14" s="94">
        <f t="shared" si="42"/>
        <v>19</v>
      </c>
      <c r="AB14" s="484">
        <f t="shared" si="42"/>
        <v>26</v>
      </c>
      <c r="AC14" s="57">
        <f t="shared" si="42"/>
        <v>26</v>
      </c>
      <c r="AD14" s="57">
        <f t="shared" si="42"/>
        <v>16</v>
      </c>
      <c r="AE14" s="57">
        <f t="shared" si="42"/>
        <v>26</v>
      </c>
      <c r="AF14" s="57">
        <f t="shared" si="42"/>
        <v>16</v>
      </c>
      <c r="AG14" s="57">
        <f t="shared" si="42"/>
        <v>26</v>
      </c>
      <c r="AH14" s="57">
        <f t="shared" si="42"/>
        <v>27</v>
      </c>
      <c r="AI14" s="57">
        <f t="shared" si="42"/>
        <v>30</v>
      </c>
      <c r="AJ14" s="57">
        <f t="shared" si="42"/>
        <v>30</v>
      </c>
      <c r="AK14" s="57">
        <f t="shared" si="42"/>
        <v>12</v>
      </c>
      <c r="AL14" s="57">
        <f t="shared" si="42"/>
        <v>16</v>
      </c>
      <c r="AM14" s="57">
        <f t="shared" si="42"/>
        <v>12</v>
      </c>
      <c r="AN14" s="57">
        <f t="shared" si="42"/>
        <v>12</v>
      </c>
      <c r="AO14" s="57">
        <f t="shared" si="42"/>
        <v>26</v>
      </c>
      <c r="AP14" s="57">
        <f t="shared" si="42"/>
        <v>12</v>
      </c>
      <c r="AQ14" s="94">
        <f t="shared" si="42"/>
        <v>26</v>
      </c>
      <c r="AR14" s="533">
        <f t="shared" si="42"/>
        <v>17</v>
      </c>
      <c r="AS14" s="484">
        <f t="shared" si="42"/>
        <v>0</v>
      </c>
      <c r="AT14" s="57">
        <f t="shared" si="42"/>
        <v>0</v>
      </c>
      <c r="AU14" s="57">
        <f t="shared" si="42"/>
        <v>13</v>
      </c>
      <c r="AV14" s="57">
        <f t="shared" si="42"/>
        <v>16</v>
      </c>
      <c r="AW14" s="57">
        <f t="shared" si="42"/>
        <v>21</v>
      </c>
      <c r="AX14" s="94">
        <f t="shared" si="42"/>
        <v>30</v>
      </c>
      <c r="AY14" s="484">
        <f t="shared" si="42"/>
        <v>0</v>
      </c>
      <c r="AZ14" s="57">
        <f t="shared" si="42"/>
        <v>0</v>
      </c>
      <c r="BA14" s="57">
        <f t="shared" si="42"/>
        <v>0</v>
      </c>
      <c r="BB14" s="57">
        <f t="shared" si="42"/>
        <v>0</v>
      </c>
      <c r="BC14" s="57">
        <f t="shared" si="42"/>
        <v>4</v>
      </c>
      <c r="BD14" s="57">
        <f t="shared" si="42"/>
        <v>7</v>
      </c>
      <c r="BE14" s="57">
        <f t="shared" si="42"/>
        <v>8</v>
      </c>
      <c r="BF14" s="57">
        <f t="shared" si="42"/>
        <v>9</v>
      </c>
      <c r="BG14" s="57">
        <f t="shared" si="42"/>
        <v>0</v>
      </c>
      <c r="BH14" s="57">
        <f t="shared" si="42"/>
        <v>2</v>
      </c>
      <c r="BI14" s="57">
        <f t="shared" si="42"/>
        <v>4</v>
      </c>
      <c r="BJ14" s="57">
        <f t="shared" si="42"/>
        <v>7</v>
      </c>
      <c r="BK14" s="57">
        <f t="shared" si="42"/>
        <v>20</v>
      </c>
      <c r="BL14" s="57">
        <f t="shared" si="42"/>
        <v>28</v>
      </c>
      <c r="BM14" s="57">
        <f t="shared" si="42"/>
        <v>30</v>
      </c>
      <c r="BN14" s="57">
        <f t="shared" si="42"/>
        <v>33</v>
      </c>
      <c r="BO14" s="57">
        <f t="shared" si="42"/>
        <v>0</v>
      </c>
      <c r="BP14" s="57">
        <f t="shared" si="42"/>
        <v>9</v>
      </c>
      <c r="BQ14" s="94">
        <f t="shared" si="42"/>
        <v>27</v>
      </c>
      <c r="BR14" s="484">
        <f t="shared" ref="BR14:DT14" si="44">IF(+BR13-BR12&gt;0,BR13-BR12,0)</f>
        <v>0</v>
      </c>
      <c r="BS14" s="57">
        <f t="shared" si="44"/>
        <v>0</v>
      </c>
      <c r="BT14" s="57">
        <f t="shared" si="44"/>
        <v>0</v>
      </c>
      <c r="BU14" s="57">
        <f t="shared" si="44"/>
        <v>12</v>
      </c>
      <c r="BV14" s="94">
        <f t="shared" si="44"/>
        <v>22</v>
      </c>
      <c r="BW14" s="484">
        <f t="shared" ref="BW14:BZ14" si="45">IF(+BW13-BW12&gt;0,BW13-BW12,0)</f>
        <v>8</v>
      </c>
      <c r="BX14" s="57">
        <f t="shared" si="45"/>
        <v>9</v>
      </c>
      <c r="BY14" s="57">
        <f t="shared" si="45"/>
        <v>10</v>
      </c>
      <c r="BZ14" s="94">
        <f t="shared" si="45"/>
        <v>18</v>
      </c>
      <c r="CA14" s="484">
        <f t="shared" si="44"/>
        <v>3</v>
      </c>
      <c r="CB14" s="94">
        <f t="shared" si="44"/>
        <v>30</v>
      </c>
      <c r="CC14" s="484">
        <f t="shared" si="44"/>
        <v>20</v>
      </c>
      <c r="CD14" s="57">
        <f t="shared" si="44"/>
        <v>26</v>
      </c>
      <c r="CE14" s="57">
        <f t="shared" si="44"/>
        <v>30</v>
      </c>
      <c r="CF14" s="57">
        <f t="shared" si="44"/>
        <v>20</v>
      </c>
      <c r="CG14" s="57">
        <f t="shared" si="44"/>
        <v>21</v>
      </c>
      <c r="CH14" s="57">
        <f t="shared" si="44"/>
        <v>26</v>
      </c>
      <c r="CI14" s="57">
        <f t="shared" si="44"/>
        <v>27</v>
      </c>
      <c r="CJ14" s="57">
        <f t="shared" si="44"/>
        <v>2</v>
      </c>
      <c r="CK14" s="57">
        <f t="shared" si="44"/>
        <v>26</v>
      </c>
      <c r="CL14" s="57">
        <f t="shared" si="44"/>
        <v>27</v>
      </c>
      <c r="CM14" s="94">
        <f t="shared" si="44"/>
        <v>30</v>
      </c>
      <c r="CN14" s="484">
        <f t="shared" si="44"/>
        <v>0</v>
      </c>
      <c r="CO14" s="57">
        <f t="shared" si="44"/>
        <v>2</v>
      </c>
      <c r="CP14" s="57">
        <f t="shared" si="44"/>
        <v>6</v>
      </c>
      <c r="CQ14" s="57">
        <f t="shared" si="44"/>
        <v>8</v>
      </c>
      <c r="CR14" s="94">
        <f t="shared" si="44"/>
        <v>32</v>
      </c>
      <c r="CS14" s="484">
        <f t="shared" si="44"/>
        <v>0</v>
      </c>
      <c r="CT14" s="57">
        <f t="shared" si="44"/>
        <v>0</v>
      </c>
      <c r="CU14" s="57">
        <f t="shared" si="44"/>
        <v>7</v>
      </c>
      <c r="CV14" s="57">
        <f t="shared" si="44"/>
        <v>8</v>
      </c>
      <c r="CW14" s="57">
        <f t="shared" si="44"/>
        <v>10</v>
      </c>
      <c r="CX14" s="57">
        <f t="shared" si="44"/>
        <v>11</v>
      </c>
      <c r="CY14" s="57">
        <f t="shared" si="44"/>
        <v>20</v>
      </c>
      <c r="CZ14" s="57">
        <f t="shared" si="44"/>
        <v>32</v>
      </c>
      <c r="DA14" s="57">
        <f t="shared" si="44"/>
        <v>0</v>
      </c>
      <c r="DB14" s="57">
        <f t="shared" si="44"/>
        <v>1</v>
      </c>
      <c r="DC14" s="57">
        <f t="shared" si="44"/>
        <v>2</v>
      </c>
      <c r="DD14" s="57">
        <f t="shared" si="44"/>
        <v>8</v>
      </c>
      <c r="DE14" s="57">
        <f t="shared" si="44"/>
        <v>12</v>
      </c>
      <c r="DF14" s="57">
        <f t="shared" si="44"/>
        <v>17</v>
      </c>
      <c r="DG14" s="57">
        <f t="shared" si="44"/>
        <v>21</v>
      </c>
      <c r="DH14" s="57">
        <f t="shared" si="44"/>
        <v>24</v>
      </c>
      <c r="DI14" s="94">
        <f t="shared" si="44"/>
        <v>30</v>
      </c>
      <c r="DJ14" s="484">
        <f t="shared" si="44"/>
        <v>0</v>
      </c>
      <c r="DK14" s="57">
        <f t="shared" si="44"/>
        <v>0</v>
      </c>
      <c r="DL14" s="57">
        <f t="shared" si="44"/>
        <v>5</v>
      </c>
      <c r="DM14" s="57">
        <f t="shared" si="44"/>
        <v>8</v>
      </c>
      <c r="DN14" s="57">
        <f t="shared" si="44"/>
        <v>8</v>
      </c>
      <c r="DO14" s="57">
        <f t="shared" si="44"/>
        <v>21</v>
      </c>
      <c r="DP14" s="57">
        <f t="shared" si="44"/>
        <v>33</v>
      </c>
      <c r="DQ14" s="57">
        <f t="shared" si="44"/>
        <v>5</v>
      </c>
      <c r="DR14" s="57">
        <f t="shared" si="44"/>
        <v>12</v>
      </c>
      <c r="DS14" s="57">
        <f t="shared" si="44"/>
        <v>12</v>
      </c>
      <c r="DT14" s="94">
        <f t="shared" si="44"/>
        <v>30</v>
      </c>
      <c r="DU14" s="484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94"/>
      <c r="EO14" s="484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485"/>
    </row>
    <row r="15" spans="1:158" x14ac:dyDescent="0.25">
      <c r="A15" s="397">
        <f t="shared" si="1"/>
        <v>9</v>
      </c>
      <c r="B15" s="87" t="s">
        <v>60</v>
      </c>
      <c r="D15" s="464">
        <f t="shared" ref="D15:BO15" si="46">+D14/D13</f>
        <v>0.35294117647058826</v>
      </c>
      <c r="E15" s="60">
        <f t="shared" si="46"/>
        <v>0.35294117647058826</v>
      </c>
      <c r="F15" s="60">
        <f>+F14/F13</f>
        <v>0.35294117647058826</v>
      </c>
      <c r="G15" s="60">
        <f>+G14/G13</f>
        <v>0.76470588235294112</v>
      </c>
      <c r="H15" s="60">
        <f>+H14/H13</f>
        <v>0.55882352941176472</v>
      </c>
      <c r="I15" s="60">
        <f>+I14/I13</f>
        <v>0.76470588235294112</v>
      </c>
      <c r="J15" s="60">
        <f t="shared" si="46"/>
        <v>0.35294117647058826</v>
      </c>
      <c r="K15" s="60">
        <f t="shared" si="46"/>
        <v>0.35294117647058826</v>
      </c>
      <c r="L15" s="60">
        <f t="shared" si="46"/>
        <v>0.35294117647058826</v>
      </c>
      <c r="M15" s="60">
        <f t="shared" ref="M15:O15" si="47">+M14/M13</f>
        <v>0.88235294117647056</v>
      </c>
      <c r="N15" s="60">
        <f t="shared" ref="N15" si="48">+N14/N13</f>
        <v>0.88235294117647056</v>
      </c>
      <c r="O15" s="60">
        <f t="shared" si="47"/>
        <v>0.35294117647058826</v>
      </c>
      <c r="P15" s="60">
        <f t="shared" ref="P15:T15" si="49">+P14/P13</f>
        <v>0.88235294117647056</v>
      </c>
      <c r="Q15" s="60">
        <f t="shared" si="49"/>
        <v>0.67647058823529416</v>
      </c>
      <c r="R15" s="60">
        <f t="shared" ref="R15:S15" si="50">+R14/R13</f>
        <v>0.88235294117647056</v>
      </c>
      <c r="S15" s="60">
        <f t="shared" si="50"/>
        <v>0.88235294117647056</v>
      </c>
      <c r="T15" s="60">
        <f t="shared" si="49"/>
        <v>0.88235294117647056</v>
      </c>
      <c r="U15" s="60">
        <f t="shared" ref="U15" si="51">+U14/U13</f>
        <v>0.94117647058823528</v>
      </c>
      <c r="V15" s="60">
        <f t="shared" si="46"/>
        <v>0.35294117647058826</v>
      </c>
      <c r="W15" s="60">
        <f>+W14/W13</f>
        <v>0.73529411764705888</v>
      </c>
      <c r="X15" s="60">
        <f>+X14/X13</f>
        <v>0.76470588235294112</v>
      </c>
      <c r="Y15" s="60">
        <f t="shared" si="46"/>
        <v>0.35294117647058826</v>
      </c>
      <c r="Z15" s="60">
        <f t="shared" si="46"/>
        <v>0.73529411764705888</v>
      </c>
      <c r="AA15" s="465">
        <f t="shared" si="46"/>
        <v>0.55882352941176472</v>
      </c>
      <c r="AB15" s="464">
        <f t="shared" ref="AB15:AQ15" si="52">+AB14/AB13</f>
        <v>0.76470588235294112</v>
      </c>
      <c r="AC15" s="60">
        <f t="shared" si="52"/>
        <v>0.76470588235294112</v>
      </c>
      <c r="AD15" s="60">
        <f t="shared" si="52"/>
        <v>0.47058823529411764</v>
      </c>
      <c r="AE15" s="60">
        <f t="shared" si="52"/>
        <v>0.76470588235294112</v>
      </c>
      <c r="AF15" s="60">
        <f t="shared" ref="AF15:AL15" si="53">+AF14/AF13</f>
        <v>0.47058823529411764</v>
      </c>
      <c r="AG15" s="60">
        <f t="shared" si="53"/>
        <v>0.76470588235294112</v>
      </c>
      <c r="AH15" s="60">
        <f t="shared" si="53"/>
        <v>0.79411764705882348</v>
      </c>
      <c r="AI15" s="60">
        <f t="shared" si="53"/>
        <v>0.88235294117647056</v>
      </c>
      <c r="AJ15" s="60">
        <f t="shared" si="53"/>
        <v>0.88235294117647056</v>
      </c>
      <c r="AK15" s="60">
        <f t="shared" si="53"/>
        <v>0.35294117647058826</v>
      </c>
      <c r="AL15" s="60">
        <f t="shared" si="53"/>
        <v>0.47058823529411764</v>
      </c>
      <c r="AM15" s="60">
        <f t="shared" si="52"/>
        <v>0.35294117647058826</v>
      </c>
      <c r="AN15" s="60">
        <f t="shared" si="52"/>
        <v>0.35294117647058826</v>
      </c>
      <c r="AO15" s="60">
        <f t="shared" si="52"/>
        <v>0.76470588235294112</v>
      </c>
      <c r="AP15" s="60">
        <f t="shared" si="52"/>
        <v>0.35294117647058826</v>
      </c>
      <c r="AQ15" s="465">
        <f t="shared" si="52"/>
        <v>0.76470588235294112</v>
      </c>
      <c r="AR15" s="534">
        <f t="shared" si="46"/>
        <v>0.5</v>
      </c>
      <c r="AS15" s="464">
        <f t="shared" si="46"/>
        <v>0</v>
      </c>
      <c r="AT15" s="60">
        <f t="shared" ref="AT15:AX15" si="54">+AT14/AT13</f>
        <v>0</v>
      </c>
      <c r="AU15" s="60">
        <f t="shared" si="54"/>
        <v>0.38235294117647056</v>
      </c>
      <c r="AV15" s="60">
        <f t="shared" ref="AV15:AW15" si="55">+AV14/AV13</f>
        <v>0.47058823529411764</v>
      </c>
      <c r="AW15" s="60">
        <f t="shared" si="55"/>
        <v>0.61764705882352944</v>
      </c>
      <c r="AX15" s="465">
        <f t="shared" si="54"/>
        <v>0.88235294117647056</v>
      </c>
      <c r="AY15" s="464">
        <f t="shared" si="46"/>
        <v>0</v>
      </c>
      <c r="AZ15" s="60">
        <f t="shared" ref="AZ15:BA15" si="56">+AZ14/AZ13</f>
        <v>0</v>
      </c>
      <c r="BA15" s="60">
        <f t="shared" si="56"/>
        <v>0</v>
      </c>
      <c r="BB15" s="60">
        <f t="shared" ref="BB15" si="57">+BB14/BB13</f>
        <v>0</v>
      </c>
      <c r="BC15" s="60">
        <f t="shared" si="46"/>
        <v>0.11764705882352941</v>
      </c>
      <c r="BD15" s="60">
        <f t="shared" si="46"/>
        <v>0.20588235294117646</v>
      </c>
      <c r="BE15" s="60">
        <f t="shared" ref="BE15" si="58">+BE14/BE13</f>
        <v>0.23529411764705882</v>
      </c>
      <c r="BF15" s="60">
        <f t="shared" si="46"/>
        <v>0.26470588235294118</v>
      </c>
      <c r="BG15" s="60">
        <f t="shared" ref="BG15" si="59">+BG14/BG13</f>
        <v>0</v>
      </c>
      <c r="BH15" s="60">
        <f t="shared" si="46"/>
        <v>5.8823529411764705E-2</v>
      </c>
      <c r="BI15" s="60">
        <f t="shared" si="46"/>
        <v>0.11764705882352941</v>
      </c>
      <c r="BJ15" s="60">
        <f t="shared" si="46"/>
        <v>0.20588235294117646</v>
      </c>
      <c r="BK15" s="60">
        <f t="shared" si="46"/>
        <v>0.58823529411764708</v>
      </c>
      <c r="BL15" s="60">
        <f t="shared" si="46"/>
        <v>0.82352941176470584</v>
      </c>
      <c r="BM15" s="60">
        <f t="shared" ref="BM15:BN15" si="60">+BM14/BM13</f>
        <v>0.88235294117647056</v>
      </c>
      <c r="BN15" s="60">
        <f t="shared" si="60"/>
        <v>0.97058823529411764</v>
      </c>
      <c r="BO15" s="60">
        <f t="shared" si="46"/>
        <v>0</v>
      </c>
      <c r="BP15" s="60">
        <f t="shared" ref="BP15:BV15" si="61">+BP14/BP13</f>
        <v>0.26470588235294118</v>
      </c>
      <c r="BQ15" s="465">
        <f t="shared" si="61"/>
        <v>0.79411764705882348</v>
      </c>
      <c r="BR15" s="464">
        <f t="shared" si="61"/>
        <v>0</v>
      </c>
      <c r="BS15" s="60">
        <f t="shared" si="61"/>
        <v>0</v>
      </c>
      <c r="BT15" s="60">
        <f t="shared" si="61"/>
        <v>0</v>
      </c>
      <c r="BU15" s="60">
        <f t="shared" si="61"/>
        <v>0.35294117647058826</v>
      </c>
      <c r="BV15" s="465">
        <f t="shared" si="61"/>
        <v>0.6470588235294118</v>
      </c>
      <c r="BW15" s="464">
        <f t="shared" ref="BW15:BZ15" si="62">+BW14/BW13</f>
        <v>0.23529411764705882</v>
      </c>
      <c r="BX15" s="60">
        <f t="shared" si="62"/>
        <v>0.26470588235294118</v>
      </c>
      <c r="BY15" s="60">
        <f t="shared" si="62"/>
        <v>0.29411764705882354</v>
      </c>
      <c r="BZ15" s="465">
        <f t="shared" si="62"/>
        <v>0.52941176470588236</v>
      </c>
      <c r="CA15" s="464">
        <f t="shared" ref="CA15:CO15" si="63">+CA14/CA13</f>
        <v>8.8235294117647065E-2</v>
      </c>
      <c r="CB15" s="465">
        <f t="shared" ref="CB15" si="64">+CB14/CB13</f>
        <v>0.88235294117647056</v>
      </c>
      <c r="CC15" s="464">
        <f t="shared" si="63"/>
        <v>0.58823529411764708</v>
      </c>
      <c r="CD15" s="60">
        <f t="shared" si="63"/>
        <v>0.76470588235294112</v>
      </c>
      <c r="CE15" s="60">
        <f t="shared" si="63"/>
        <v>0.88235294117647056</v>
      </c>
      <c r="CF15" s="60">
        <f t="shared" ref="CF15:CK15" si="65">+CF14/CF13</f>
        <v>0.58823529411764708</v>
      </c>
      <c r="CG15" s="60">
        <f t="shared" ref="CG15:CI15" si="66">+CG14/CG13</f>
        <v>0.61764705882352944</v>
      </c>
      <c r="CH15" s="60">
        <f t="shared" si="66"/>
        <v>0.76470588235294112</v>
      </c>
      <c r="CI15" s="60">
        <f t="shared" si="66"/>
        <v>0.79411764705882348</v>
      </c>
      <c r="CJ15" s="60">
        <f t="shared" si="65"/>
        <v>5.8823529411764705E-2</v>
      </c>
      <c r="CK15" s="60">
        <f t="shared" si="65"/>
        <v>0.76470588235294112</v>
      </c>
      <c r="CL15" s="60">
        <f t="shared" ref="CL15" si="67">+CL14/CL13</f>
        <v>0.79411764705882348</v>
      </c>
      <c r="CM15" s="465">
        <f t="shared" si="63"/>
        <v>0.88235294117647056</v>
      </c>
      <c r="CN15" s="464">
        <f t="shared" si="63"/>
        <v>0</v>
      </c>
      <c r="CO15" s="60">
        <f t="shared" si="63"/>
        <v>5.8823529411764705E-2</v>
      </c>
      <c r="CP15" s="60">
        <f t="shared" ref="CP15:DT15" si="68">+CP14/CP13</f>
        <v>0.17647058823529413</v>
      </c>
      <c r="CQ15" s="60">
        <f t="shared" si="68"/>
        <v>0.23529411764705882</v>
      </c>
      <c r="CR15" s="465">
        <f t="shared" si="68"/>
        <v>0.94117647058823528</v>
      </c>
      <c r="CS15" s="464">
        <f t="shared" si="68"/>
        <v>0</v>
      </c>
      <c r="CT15" s="60">
        <f t="shared" ref="CT15:CZ15" si="69">+CT14/CT13</f>
        <v>0</v>
      </c>
      <c r="CU15" s="60">
        <f t="shared" si="69"/>
        <v>0.20588235294117646</v>
      </c>
      <c r="CV15" s="60">
        <f t="shared" si="69"/>
        <v>0.23529411764705882</v>
      </c>
      <c r="CW15" s="60">
        <f t="shared" si="69"/>
        <v>0.29411764705882354</v>
      </c>
      <c r="CX15" s="60">
        <f t="shared" si="69"/>
        <v>0.3235294117647059</v>
      </c>
      <c r="CY15" s="60">
        <f t="shared" ref="CY15" si="70">+CY14/CY13</f>
        <v>0.58823529411764708</v>
      </c>
      <c r="CZ15" s="60">
        <f t="shared" si="69"/>
        <v>0.94117647058823528</v>
      </c>
      <c r="DA15" s="60">
        <f t="shared" ref="DA15:DF15" si="71">+DA14/DA13</f>
        <v>0</v>
      </c>
      <c r="DB15" s="60">
        <f t="shared" si="71"/>
        <v>2.9411764705882353E-2</v>
      </c>
      <c r="DC15" s="60">
        <f t="shared" si="71"/>
        <v>5.8823529411764705E-2</v>
      </c>
      <c r="DD15" s="60">
        <f t="shared" si="71"/>
        <v>0.23529411764705882</v>
      </c>
      <c r="DE15" s="60">
        <f t="shared" si="71"/>
        <v>0.35294117647058826</v>
      </c>
      <c r="DF15" s="60">
        <f t="shared" si="71"/>
        <v>0.5</v>
      </c>
      <c r="DG15" s="60">
        <f t="shared" ref="DG15:DH15" si="72">+DG14/DG13</f>
        <v>0.61764705882352944</v>
      </c>
      <c r="DH15" s="60">
        <f t="shared" si="72"/>
        <v>0.70588235294117652</v>
      </c>
      <c r="DI15" s="465">
        <f t="shared" si="68"/>
        <v>0.88235294117647056</v>
      </c>
      <c r="DJ15" s="464">
        <f t="shared" si="68"/>
        <v>0</v>
      </c>
      <c r="DK15" s="60">
        <f t="shared" ref="DK15" si="73">+DK14/DK13</f>
        <v>0</v>
      </c>
      <c r="DL15" s="60">
        <f t="shared" ref="DL15:DO15" si="74">+DL14/DL13</f>
        <v>0.14705882352941177</v>
      </c>
      <c r="DM15" s="60">
        <f t="shared" si="74"/>
        <v>0.23529411764705882</v>
      </c>
      <c r="DN15" s="60">
        <f t="shared" ref="DN15" si="75">+DN14/DN13</f>
        <v>0.23529411764705882</v>
      </c>
      <c r="DO15" s="60">
        <f t="shared" si="74"/>
        <v>0.61764705882352944</v>
      </c>
      <c r="DP15" s="60">
        <f t="shared" ref="DP15:DR15" si="76">+DP14/DP13</f>
        <v>0.97058823529411764</v>
      </c>
      <c r="DQ15" s="60">
        <f t="shared" si="76"/>
        <v>0.14705882352941177</v>
      </c>
      <c r="DR15" s="60">
        <f t="shared" si="76"/>
        <v>0.35294117647058826</v>
      </c>
      <c r="DS15" s="60">
        <f t="shared" ref="DS15" si="77">+DS14/DS13</f>
        <v>0.35294117647058826</v>
      </c>
      <c r="DT15" s="465">
        <f t="shared" si="68"/>
        <v>0.88235294117647056</v>
      </c>
      <c r="DU15" s="464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465"/>
      <c r="EO15" s="464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466"/>
    </row>
    <row r="16" spans="1:158" x14ac:dyDescent="0.25">
      <c r="A16" s="397">
        <f t="shared" si="1"/>
        <v>10</v>
      </c>
      <c r="B16" s="87" t="s">
        <v>61</v>
      </c>
      <c r="D16" s="484">
        <f>ROUND(VLOOKUP(D10,'2017 Handy Whitman'!$A$3:$B$107,2),0)</f>
        <v>728</v>
      </c>
      <c r="E16" s="57">
        <f>ROUND(VLOOKUP(E10,'2017 Handy Whitman'!$A$3:$B$107,2),0)</f>
        <v>728</v>
      </c>
      <c r="F16" s="57">
        <f>ROUND(VLOOKUP(F10,'2017 Handy Whitman'!$A$3:$B$107,2),0)</f>
        <v>728</v>
      </c>
      <c r="G16" s="57">
        <f>ROUND(VLOOKUP(G10,'2017 Handy Whitman'!$A$3:$B$107,2),0)</f>
        <v>728</v>
      </c>
      <c r="H16" s="57">
        <f>ROUND(VLOOKUP(H10,'2017 Handy Whitman'!$A$3:$B$107,2),0)</f>
        <v>728</v>
      </c>
      <c r="I16" s="57">
        <f>ROUND(VLOOKUP(I10,'2017 Handy Whitman'!$A$3:$B$107,2),0)</f>
        <v>728</v>
      </c>
      <c r="J16" s="57">
        <f>ROUND(VLOOKUP(J10,'2017 Handy Whitman'!$A$3:$B$107,2),0)</f>
        <v>728</v>
      </c>
      <c r="K16" s="57">
        <f>ROUND(VLOOKUP(K10,'2017 Handy Whitman'!$A$3:$B$107,2),0)</f>
        <v>728</v>
      </c>
      <c r="L16" s="57">
        <f>ROUND(VLOOKUP(L10,'2017 Handy Whitman'!$A$3:$B$107,2),0)</f>
        <v>728</v>
      </c>
      <c r="M16" s="57">
        <f>ROUND(VLOOKUP(M10,'2017 Handy Whitman'!$A$3:$B$107,2),0)</f>
        <v>728</v>
      </c>
      <c r="N16" s="57">
        <f>ROUND(VLOOKUP(N10,'2017 Handy Whitman'!$A$3:$B$107,2),0)</f>
        <v>728</v>
      </c>
      <c r="O16" s="57">
        <f>ROUND(VLOOKUP(O10,'2017 Handy Whitman'!$A$3:$B$107,2),0)</f>
        <v>728</v>
      </c>
      <c r="P16" s="57">
        <f>ROUND(VLOOKUP(P10,'2017 Handy Whitman'!$A$3:$B$107,2),0)</f>
        <v>728</v>
      </c>
      <c r="Q16" s="57">
        <f>ROUND(VLOOKUP(Q10,'2017 Handy Whitman'!$A$3:$B$107,2),0)</f>
        <v>728</v>
      </c>
      <c r="R16" s="57">
        <f>ROUND(VLOOKUP(R10,'2017 Handy Whitman'!$A$3:$B$107,2),0)</f>
        <v>728</v>
      </c>
      <c r="S16" s="57">
        <f>ROUND(VLOOKUP(S10,'2017 Handy Whitman'!$A$3:$B$107,2),0)</f>
        <v>728</v>
      </c>
      <c r="T16" s="57">
        <f>ROUND(VLOOKUP(T10,'2017 Handy Whitman'!$A$3:$B$107,2),0)</f>
        <v>728</v>
      </c>
      <c r="U16" s="57">
        <f>ROUND(VLOOKUP(U10,'2017 Handy Whitman'!$A$3:$B$107,2),0)</f>
        <v>728</v>
      </c>
      <c r="V16" s="57">
        <f>ROUND(VLOOKUP(V10,'2017 Handy Whitman'!$A$3:$B$107,2),0)</f>
        <v>728</v>
      </c>
      <c r="W16" s="57">
        <f>ROUND(VLOOKUP(W10,'2017 Handy Whitman'!$A$3:$B$107,2),0)</f>
        <v>728</v>
      </c>
      <c r="X16" s="57">
        <f>ROUND(VLOOKUP(X10,'2017 Handy Whitman'!$A$3:$B$107,2),0)</f>
        <v>728</v>
      </c>
      <c r="Y16" s="57">
        <f>ROUND(VLOOKUP(Y10,'2017 Handy Whitman'!$A$3:$B$107,2),0)</f>
        <v>728</v>
      </c>
      <c r="Z16" s="57">
        <f>ROUND(VLOOKUP(Z10,'2017 Handy Whitman'!$A$3:$B$107,2),0)</f>
        <v>728</v>
      </c>
      <c r="AA16" s="94">
        <f>ROUND(VLOOKUP(AA10,'2017 Handy Whitman'!$A$3:$B$107,2),0)</f>
        <v>728</v>
      </c>
      <c r="AB16" s="484">
        <f>ROUND(VLOOKUP(AB10,'2017 Handy Whitman'!$A$3:$B$107,2),0)</f>
        <v>728</v>
      </c>
      <c r="AC16" s="57">
        <f>ROUND(VLOOKUP(AC10,'2017 Handy Whitman'!$A$3:$B$107,2),0)</f>
        <v>728</v>
      </c>
      <c r="AD16" s="57">
        <f>ROUND(VLOOKUP(AD10,'2017 Handy Whitman'!$A$3:$B$107,2),0)</f>
        <v>728</v>
      </c>
      <c r="AE16" s="57">
        <f>ROUND(VLOOKUP(AE10,'2017 Handy Whitman'!$A$3:$B$107,2),0)</f>
        <v>728</v>
      </c>
      <c r="AF16" s="57">
        <f>ROUND(VLOOKUP(AF10,'2017 Handy Whitman'!$A$3:$B$107,2),0)</f>
        <v>728</v>
      </c>
      <c r="AG16" s="57">
        <f>ROUND(VLOOKUP(AG10,'2017 Handy Whitman'!$A$3:$B$107,2),0)</f>
        <v>728</v>
      </c>
      <c r="AH16" s="57">
        <f>ROUND(VLOOKUP(AH10,'2017 Handy Whitman'!$A$3:$B$107,2),0)</f>
        <v>728</v>
      </c>
      <c r="AI16" s="57">
        <f>ROUND(VLOOKUP(AI10,'2017 Handy Whitman'!$A$3:$B$107,2),0)</f>
        <v>728</v>
      </c>
      <c r="AJ16" s="57">
        <f>ROUND(VLOOKUP(AJ10,'2017 Handy Whitman'!$A$3:$B$107,2),0)</f>
        <v>728</v>
      </c>
      <c r="AK16" s="57">
        <f>ROUND(VLOOKUP(AK10,'2017 Handy Whitman'!$A$3:$B$107,2),0)</f>
        <v>728</v>
      </c>
      <c r="AL16" s="57">
        <f>ROUND(VLOOKUP(AL10,'2017 Handy Whitman'!$A$3:$B$107,2),0)</f>
        <v>728</v>
      </c>
      <c r="AM16" s="57">
        <f>ROUND(VLOOKUP(AM10,'2017 Handy Whitman'!$A$3:$B$107,2),0)</f>
        <v>728</v>
      </c>
      <c r="AN16" s="57">
        <f>ROUND(VLOOKUP(AN10,'2017 Handy Whitman'!$A$3:$B$107,2),0)</f>
        <v>728</v>
      </c>
      <c r="AO16" s="57">
        <f>ROUND(VLOOKUP(AO10,'2017 Handy Whitman'!$A$3:$B$107,2),0)</f>
        <v>728</v>
      </c>
      <c r="AP16" s="57">
        <f>ROUND(VLOOKUP(AP10,'2017 Handy Whitman'!$A$3:$B$107,2),0)</f>
        <v>728</v>
      </c>
      <c r="AQ16" s="94">
        <f>ROUND(VLOOKUP(AQ10,'2017 Handy Whitman'!$A$3:$B$107,2),0)</f>
        <v>728</v>
      </c>
      <c r="AR16" s="533">
        <f>ROUND(VLOOKUP(AR10,'2017 Handy Whitman'!$A$3:$B$107,2),0)</f>
        <v>728</v>
      </c>
      <c r="AS16" s="484">
        <f>ROUND(VLOOKUP(AS10,'2017 Handy Whitman'!$A$3:$B$107,2),0)</f>
        <v>728</v>
      </c>
      <c r="AT16" s="57">
        <f>ROUND(VLOOKUP(AT10,'2017 Handy Whitman'!$A$3:$B$107,2),0)</f>
        <v>728</v>
      </c>
      <c r="AU16" s="57">
        <f>ROUND(VLOOKUP(AU10,'2017 Handy Whitman'!$A$3:$B$107,2),0)</f>
        <v>728</v>
      </c>
      <c r="AV16" s="57">
        <f>ROUND(VLOOKUP(AV10,'2017 Handy Whitman'!$A$3:$B$107,2),0)</f>
        <v>728</v>
      </c>
      <c r="AW16" s="57">
        <f>ROUND(VLOOKUP(AW10,'2017 Handy Whitman'!$A$3:$B$107,2),0)</f>
        <v>728</v>
      </c>
      <c r="AX16" s="94">
        <f>ROUND(VLOOKUP(AX10,'2017 Handy Whitman'!$A$3:$B$107,2),0)</f>
        <v>728</v>
      </c>
      <c r="AY16" s="484">
        <f>ROUND(VLOOKUP(AY10,'2017 Handy Whitman'!$A$3:$B$107,2),0)</f>
        <v>728</v>
      </c>
      <c r="AZ16" s="57">
        <f>ROUND(VLOOKUP(AZ10,'2017 Handy Whitman'!$A$3:$B$107,2),0)</f>
        <v>728</v>
      </c>
      <c r="BA16" s="57">
        <f>ROUND(VLOOKUP(BA10,'2017 Handy Whitman'!$A$3:$B$107,2),0)</f>
        <v>728</v>
      </c>
      <c r="BB16" s="57">
        <f>ROUND(VLOOKUP(BB10,'2017 Handy Whitman'!$A$3:$B$107,2),0)</f>
        <v>728</v>
      </c>
      <c r="BC16" s="57">
        <f>ROUND(VLOOKUP(BC10,'2017 Handy Whitman'!$A$3:$B$107,2),0)</f>
        <v>728</v>
      </c>
      <c r="BD16" s="57">
        <f>ROUND(VLOOKUP(BD10,'2017 Handy Whitman'!$A$3:$B$107,2),0)</f>
        <v>728</v>
      </c>
      <c r="BE16" s="57">
        <f>ROUND(VLOOKUP(BE10,'2017 Handy Whitman'!$A$3:$B$107,2),0)</f>
        <v>728</v>
      </c>
      <c r="BF16" s="57">
        <f>ROUND(VLOOKUP(BF10,'2017 Handy Whitman'!$A$3:$B$107,2),0)</f>
        <v>728</v>
      </c>
      <c r="BG16" s="57">
        <f>ROUND(VLOOKUP(BG10,'2017 Handy Whitman'!$A$3:$B$107,2),0)</f>
        <v>728</v>
      </c>
      <c r="BH16" s="57">
        <f>ROUND(VLOOKUP(BH10,'2017 Handy Whitman'!$A$3:$B$107,2),0)</f>
        <v>728</v>
      </c>
      <c r="BI16" s="57">
        <f>ROUND(VLOOKUP(BI10,'2017 Handy Whitman'!$A$3:$B$107,2),0)</f>
        <v>728</v>
      </c>
      <c r="BJ16" s="57">
        <f>ROUND(VLOOKUP(BJ10,'2017 Handy Whitman'!$A$3:$B$107,2),0)</f>
        <v>728</v>
      </c>
      <c r="BK16" s="57">
        <f>ROUND(VLOOKUP(BK10,'2017 Handy Whitman'!$A$3:$B$107,2),0)</f>
        <v>728</v>
      </c>
      <c r="BL16" s="57">
        <f>ROUND(VLOOKUP(BL10,'2017 Handy Whitman'!$A$3:$B$107,2),0)</f>
        <v>728</v>
      </c>
      <c r="BM16" s="57">
        <f>ROUND(VLOOKUP(BM10,'2017 Handy Whitman'!$A$3:$B$107,2),0)</f>
        <v>728</v>
      </c>
      <c r="BN16" s="57">
        <f>ROUND(VLOOKUP(BN10,'2017 Handy Whitman'!$A$3:$B$107,2),0)</f>
        <v>728</v>
      </c>
      <c r="BO16" s="57">
        <f>ROUND(VLOOKUP(BO10,'2017 Handy Whitman'!$A$3:$B$107,2),0)</f>
        <v>728</v>
      </c>
      <c r="BP16" s="57">
        <f>ROUND(VLOOKUP(BP10,'2017 Handy Whitman'!$A$3:$B$107,2),0)</f>
        <v>728</v>
      </c>
      <c r="BQ16" s="94">
        <f>ROUND(VLOOKUP(BQ10,'2017 Handy Whitman'!$A$3:$B$107,2),0)</f>
        <v>728</v>
      </c>
      <c r="BR16" s="484">
        <f>ROUND(VLOOKUP(BR10,'2017 Handy Whitman'!$A$3:$B$107,2),0)</f>
        <v>728</v>
      </c>
      <c r="BS16" s="57">
        <f>ROUND(VLOOKUP(BS10,'2017 Handy Whitman'!$A$3:$B$107,2),0)</f>
        <v>728</v>
      </c>
      <c r="BT16" s="57">
        <f>ROUND(VLOOKUP(BT10,'2017 Handy Whitman'!$A$3:$B$107,2),0)</f>
        <v>728</v>
      </c>
      <c r="BU16" s="57">
        <f>ROUND(VLOOKUP(BU10,'2017 Handy Whitman'!$A$3:$B$107,2),0)</f>
        <v>728</v>
      </c>
      <c r="BV16" s="94">
        <f>ROUND(VLOOKUP(BV10,'2017 Handy Whitman'!$A$3:$B$107,2),0)</f>
        <v>728</v>
      </c>
      <c r="BW16" s="484">
        <f>ROUND(VLOOKUP(BW10,'2017 Handy Whitman'!$A$3:$B$107,2),0)</f>
        <v>728</v>
      </c>
      <c r="BX16" s="57">
        <f>ROUND(VLOOKUP(BX10,'2017 Handy Whitman'!$A$3:$B$107,2),0)</f>
        <v>728</v>
      </c>
      <c r="BY16" s="57">
        <f>ROUND(VLOOKUP(BY10,'2017 Handy Whitman'!$A$3:$B$107,2),0)</f>
        <v>728</v>
      </c>
      <c r="BZ16" s="94">
        <f>ROUND(VLOOKUP(BZ10,'2017 Handy Whitman'!$A$3:$B$107,2),0)</f>
        <v>728</v>
      </c>
      <c r="CA16" s="484">
        <f>ROUND(VLOOKUP(CA10,'2017 Handy Whitman'!$A$3:$B$107,2),0)</f>
        <v>728</v>
      </c>
      <c r="CB16" s="94">
        <f>ROUND(VLOOKUP(CB10,'2017 Handy Whitman'!$A$3:$B$107,2),0)</f>
        <v>728</v>
      </c>
      <c r="CC16" s="484">
        <f>ROUND(VLOOKUP(CC10,'2017 Handy Whitman'!$A$3:$B$107,2),0)</f>
        <v>728</v>
      </c>
      <c r="CD16" s="57">
        <f>ROUND(VLOOKUP(CD10,'2017 Handy Whitman'!$A$3:$B$107,2),0)</f>
        <v>728</v>
      </c>
      <c r="CE16" s="57">
        <f>ROUND(VLOOKUP(CE10,'2017 Handy Whitman'!$A$3:$B$107,2),0)</f>
        <v>728</v>
      </c>
      <c r="CF16" s="57">
        <f>ROUND(VLOOKUP(CF10,'2017 Handy Whitman'!$A$3:$B$107,2),0)</f>
        <v>728</v>
      </c>
      <c r="CG16" s="57">
        <f>ROUND(VLOOKUP(CG10,'2017 Handy Whitman'!$A$3:$B$107,2),0)</f>
        <v>728</v>
      </c>
      <c r="CH16" s="57">
        <f>ROUND(VLOOKUP(CH10,'2017 Handy Whitman'!$A$3:$B$107,2),0)</f>
        <v>728</v>
      </c>
      <c r="CI16" s="57">
        <f>ROUND(VLOOKUP(CI10,'2017 Handy Whitman'!$A$3:$B$107,2),0)</f>
        <v>728</v>
      </c>
      <c r="CJ16" s="57">
        <f>ROUND(VLOOKUP(CJ10,'2017 Handy Whitman'!$A$3:$B$107,2),0)</f>
        <v>728</v>
      </c>
      <c r="CK16" s="57">
        <f>ROUND(VLOOKUP(CK10,'2017 Handy Whitman'!$A$3:$B$107,2),0)</f>
        <v>728</v>
      </c>
      <c r="CL16" s="57">
        <f>ROUND(VLOOKUP(CL10,'2017 Handy Whitman'!$A$3:$B$107,2),0)</f>
        <v>728</v>
      </c>
      <c r="CM16" s="94">
        <f>ROUND(VLOOKUP(CM10,'2017 Handy Whitman'!$A$3:$B$107,2),0)</f>
        <v>728</v>
      </c>
      <c r="CN16" s="484">
        <f>ROUND(VLOOKUP(CN10,'2017 Handy Whitman'!$A$3:$B$107,2),0)</f>
        <v>728</v>
      </c>
      <c r="CO16" s="57">
        <f>ROUND(VLOOKUP(CO10,'2017 Handy Whitman'!$A$3:$B$107,2),0)</f>
        <v>728</v>
      </c>
      <c r="CP16" s="57">
        <f>ROUND(VLOOKUP(CP10,'2017 Handy Whitman'!$A$3:$B$107,2),0)</f>
        <v>728</v>
      </c>
      <c r="CQ16" s="57">
        <f>ROUND(VLOOKUP(CQ10,'2017 Handy Whitman'!$A$3:$B$107,2),0)</f>
        <v>728</v>
      </c>
      <c r="CR16" s="94">
        <f>ROUND(VLOOKUP(CR10,'2017 Handy Whitman'!$A$3:$B$107,2),0)</f>
        <v>728</v>
      </c>
      <c r="CS16" s="484">
        <f>ROUND(VLOOKUP(CS10,'2017 Handy Whitman'!$A$3:$B$107,2),0)</f>
        <v>728</v>
      </c>
      <c r="CT16" s="57">
        <f>ROUND(VLOOKUP(CT10,'2017 Handy Whitman'!$A$3:$B$107,2),0)</f>
        <v>728</v>
      </c>
      <c r="CU16" s="57">
        <f>ROUND(VLOOKUP(CU10,'2017 Handy Whitman'!$A$3:$B$107,2),0)</f>
        <v>728</v>
      </c>
      <c r="CV16" s="57">
        <f>ROUND(VLOOKUP(CV10,'2017 Handy Whitman'!$A$3:$B$107,2),0)</f>
        <v>728</v>
      </c>
      <c r="CW16" s="57">
        <f>ROUND(VLOOKUP(CW10,'2017 Handy Whitman'!$A$3:$B$107,2),0)</f>
        <v>728</v>
      </c>
      <c r="CX16" s="57">
        <f>ROUND(VLOOKUP(CX10,'2017 Handy Whitman'!$A$3:$B$107,2),0)</f>
        <v>728</v>
      </c>
      <c r="CY16" s="57">
        <f>ROUND(VLOOKUP(CY10,'2017 Handy Whitman'!$A$3:$B$107,2),0)</f>
        <v>728</v>
      </c>
      <c r="CZ16" s="57">
        <f>ROUND(VLOOKUP(CZ10,'2017 Handy Whitman'!$A$3:$B$107,2),0)</f>
        <v>728</v>
      </c>
      <c r="DA16" s="57">
        <f>ROUND(VLOOKUP(DA10,'2017 Handy Whitman'!$A$3:$B$107,2),0)</f>
        <v>728</v>
      </c>
      <c r="DB16" s="57">
        <f>ROUND(VLOOKUP(DB10,'2017 Handy Whitman'!$A$3:$B$107,2),0)</f>
        <v>728</v>
      </c>
      <c r="DC16" s="57">
        <f>ROUND(VLOOKUP(DC10,'2017 Handy Whitman'!$A$3:$B$107,2),0)</f>
        <v>728</v>
      </c>
      <c r="DD16" s="57">
        <f>ROUND(VLOOKUP(DD10,'2017 Handy Whitman'!$A$3:$B$107,2),0)</f>
        <v>728</v>
      </c>
      <c r="DE16" s="57">
        <f>ROUND(VLOOKUP(DE10,'2017 Handy Whitman'!$A$3:$B$107,2),0)</f>
        <v>728</v>
      </c>
      <c r="DF16" s="57">
        <f>ROUND(VLOOKUP(DF10,'2017 Handy Whitman'!$A$3:$B$107,2),0)</f>
        <v>728</v>
      </c>
      <c r="DG16" s="57">
        <f>ROUND(VLOOKUP(DG10,'2017 Handy Whitman'!$A$3:$B$107,2),0)</f>
        <v>728</v>
      </c>
      <c r="DH16" s="57">
        <f>ROUND(VLOOKUP(DH10,'2017 Handy Whitman'!$A$3:$B$107,2),0)</f>
        <v>728</v>
      </c>
      <c r="DI16" s="94">
        <f>ROUND(VLOOKUP(DI10,'2017 Handy Whitman'!$A$3:$B$107,2),0)</f>
        <v>728</v>
      </c>
      <c r="DJ16" s="484">
        <f>ROUND(VLOOKUP(DJ10,'2017 Handy Whitman'!$A$3:$B$107,2),0)</f>
        <v>728</v>
      </c>
      <c r="DK16" s="57">
        <f>ROUND(VLOOKUP(DK10,'2017 Handy Whitman'!$A$3:$B$107,2),0)</f>
        <v>728</v>
      </c>
      <c r="DL16" s="57">
        <f>ROUND(VLOOKUP(DL10,'2017 Handy Whitman'!$A$3:$B$107,2),0)</f>
        <v>728</v>
      </c>
      <c r="DM16" s="57">
        <f>ROUND(VLOOKUP(DM10,'2017 Handy Whitman'!$A$3:$B$107,2),0)</f>
        <v>728</v>
      </c>
      <c r="DN16" s="57">
        <f>ROUND(VLOOKUP(DN10,'2017 Handy Whitman'!$A$3:$B$107,2),0)</f>
        <v>728</v>
      </c>
      <c r="DO16" s="57">
        <f>ROUND(VLOOKUP(DO10,'2017 Handy Whitman'!$A$3:$B$107,2),0)</f>
        <v>728</v>
      </c>
      <c r="DP16" s="57">
        <f>ROUND(VLOOKUP(DP10,'2017 Handy Whitman'!$A$3:$B$107,2),0)</f>
        <v>728</v>
      </c>
      <c r="DQ16" s="57">
        <f>ROUND(VLOOKUP(DQ10,'2017 Handy Whitman'!$A$3:$B$107,2),0)</f>
        <v>728</v>
      </c>
      <c r="DR16" s="57">
        <f>ROUND(VLOOKUP(DR10,'2017 Handy Whitman'!$A$3:$B$107,2),0)</f>
        <v>728</v>
      </c>
      <c r="DS16" s="57">
        <f>ROUND(VLOOKUP(DS10,'2017 Handy Whitman'!$A$3:$B$107,2),0)</f>
        <v>728</v>
      </c>
      <c r="DT16" s="94">
        <f>ROUND(VLOOKUP(DT10,'2017 Handy Whitman'!$A$3:$B$107,2),0)</f>
        <v>728</v>
      </c>
      <c r="DU16" s="484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94"/>
      <c r="EO16" s="484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485"/>
    </row>
    <row r="17" spans="1:158" x14ac:dyDescent="0.25">
      <c r="A17" s="397">
        <f t="shared" si="1"/>
        <v>11</v>
      </c>
      <c r="B17" s="87" t="s">
        <v>62</v>
      </c>
      <c r="D17" s="484">
        <f>ROUND(VLOOKUP(D11,'2017 Handy Whitman'!$A$3:$B$107,2),0)</f>
        <v>311</v>
      </c>
      <c r="E17" s="57">
        <f>ROUND(VLOOKUP(E11,'2017 Handy Whitman'!$A$3:$B$107,2),0)</f>
        <v>311</v>
      </c>
      <c r="F17" s="57">
        <f>ROUND(VLOOKUP(F11,'2017 Handy Whitman'!$A$3:$B$107,2),0)</f>
        <v>311</v>
      </c>
      <c r="G17" s="57">
        <f>ROUND(VLOOKUP(G11,'2017 Handy Whitman'!$A$3:$B$107,2),0)</f>
        <v>566</v>
      </c>
      <c r="H17" s="57">
        <f>ROUND(VLOOKUP(H11,'2017 Handy Whitman'!$A$3:$B$107,2),0)</f>
        <v>351</v>
      </c>
      <c r="I17" s="57">
        <f>ROUND(VLOOKUP(I11,'2017 Handy Whitman'!$A$3:$B$107,2),0)</f>
        <v>566</v>
      </c>
      <c r="J17" s="57">
        <f>ROUND(VLOOKUP(J11,'2017 Handy Whitman'!$A$3:$B$107,2),0)</f>
        <v>311</v>
      </c>
      <c r="K17" s="57">
        <f>ROUND(VLOOKUP(K11,'2017 Handy Whitman'!$A$3:$B$107,2),0)</f>
        <v>311</v>
      </c>
      <c r="L17" s="57">
        <f>ROUND(VLOOKUP(L11,'2017 Handy Whitman'!$A$3:$B$107,2),0)</f>
        <v>311</v>
      </c>
      <c r="M17" s="57">
        <f>ROUND(VLOOKUP(M11,'2017 Handy Whitman'!$A$3:$B$107,2),0)</f>
        <v>657</v>
      </c>
      <c r="N17" s="57">
        <f>ROUND(VLOOKUP(N11,'2017 Handy Whitman'!$A$3:$B$107,2),0)</f>
        <v>657</v>
      </c>
      <c r="O17" s="57">
        <f>ROUND(VLOOKUP(O11,'2017 Handy Whitman'!$A$3:$B$107,2),0)</f>
        <v>311</v>
      </c>
      <c r="P17" s="57">
        <f>ROUND(VLOOKUP(P11,'2017 Handy Whitman'!$A$3:$B$107,2),0)</f>
        <v>657</v>
      </c>
      <c r="Q17" s="57">
        <f>ROUND(VLOOKUP(Q11,'2017 Handy Whitman'!$A$3:$B$107,2),0)</f>
        <v>425</v>
      </c>
      <c r="R17" s="57">
        <f>ROUND(VLOOKUP(R11,'2017 Handy Whitman'!$A$3:$B$107,2),0)</f>
        <v>657</v>
      </c>
      <c r="S17" s="57">
        <f>ROUND(VLOOKUP(S11,'2017 Handy Whitman'!$A$3:$B$107,2),0)</f>
        <v>657</v>
      </c>
      <c r="T17" s="57">
        <f>ROUND(VLOOKUP(T11,'2017 Handy Whitman'!$A$3:$B$107,2),0)</f>
        <v>657</v>
      </c>
      <c r="U17" s="57">
        <f>ROUND(VLOOKUP(U11,'2017 Handy Whitman'!$A$3:$B$107,2),0)</f>
        <v>701</v>
      </c>
      <c r="V17" s="57">
        <f>ROUND(VLOOKUP(V11,'2017 Handy Whitman'!$A$3:$B$107,2),0)</f>
        <v>311</v>
      </c>
      <c r="W17" s="57">
        <f>ROUND(VLOOKUP(W11,'2017 Handy Whitman'!$A$3:$B$107,2),0)</f>
        <v>511</v>
      </c>
      <c r="X17" s="57">
        <f>ROUND(VLOOKUP(X11,'2017 Handy Whitman'!$A$3:$B$107,2),0)</f>
        <v>566</v>
      </c>
      <c r="Y17" s="57">
        <f>ROUND(VLOOKUP(Y11,'2017 Handy Whitman'!$A$3:$B$107,2),0)</f>
        <v>311</v>
      </c>
      <c r="Z17" s="57">
        <f>ROUND(VLOOKUP(Z11,'2017 Handy Whitman'!$A$3:$B$107,2),0)</f>
        <v>511</v>
      </c>
      <c r="AA17" s="94">
        <f>ROUND(VLOOKUP(AA11,'2017 Handy Whitman'!$A$3:$B$107,2),0)</f>
        <v>351</v>
      </c>
      <c r="AB17" s="484">
        <f>ROUND(VLOOKUP(AB11,'2017 Handy Whitman'!$A$3:$B$107,2),0)</f>
        <v>566</v>
      </c>
      <c r="AC17" s="57">
        <f>ROUND(VLOOKUP(AC11,'2017 Handy Whitman'!$A$3:$B$107,2),0)</f>
        <v>566</v>
      </c>
      <c r="AD17" s="57">
        <f>ROUND(VLOOKUP(AD11,'2017 Handy Whitman'!$A$3:$B$107,2),0)</f>
        <v>336</v>
      </c>
      <c r="AE17" s="57">
        <f>ROUND(VLOOKUP(AE11,'2017 Handy Whitman'!$A$3:$B$107,2),0)</f>
        <v>566</v>
      </c>
      <c r="AF17" s="57">
        <f>ROUND(VLOOKUP(AF11,'2017 Handy Whitman'!$A$3:$B$107,2),0)</f>
        <v>336</v>
      </c>
      <c r="AG17" s="57">
        <f>ROUND(VLOOKUP(AG11,'2017 Handy Whitman'!$A$3:$B$107,2),0)</f>
        <v>566</v>
      </c>
      <c r="AH17" s="57">
        <f>ROUND(VLOOKUP(AH11,'2017 Handy Whitman'!$A$3:$B$107,2),0)</f>
        <v>577</v>
      </c>
      <c r="AI17" s="57">
        <f>ROUND(VLOOKUP(AI11,'2017 Handy Whitman'!$A$3:$B$107,2),0)</f>
        <v>657</v>
      </c>
      <c r="AJ17" s="57">
        <f>ROUND(VLOOKUP(AJ11,'2017 Handy Whitman'!$A$3:$B$107,2),0)</f>
        <v>657</v>
      </c>
      <c r="AK17" s="57">
        <f>ROUND(VLOOKUP(AK11,'2017 Handy Whitman'!$A$3:$B$107,2),0)</f>
        <v>311</v>
      </c>
      <c r="AL17" s="57">
        <f>ROUND(VLOOKUP(AL11,'2017 Handy Whitman'!$A$3:$B$107,2),0)</f>
        <v>336</v>
      </c>
      <c r="AM17" s="57">
        <f>ROUND(VLOOKUP(AM11,'2017 Handy Whitman'!$A$3:$B$107,2),0)</f>
        <v>311</v>
      </c>
      <c r="AN17" s="57">
        <f>ROUND(VLOOKUP(AN11,'2017 Handy Whitman'!$A$3:$B$107,2),0)</f>
        <v>311</v>
      </c>
      <c r="AO17" s="57">
        <f>ROUND(VLOOKUP(AO11,'2017 Handy Whitman'!$A$3:$B$107,2),0)</f>
        <v>566</v>
      </c>
      <c r="AP17" s="57">
        <f>ROUND(VLOOKUP(AP11,'2017 Handy Whitman'!$A$3:$B$107,2),0)</f>
        <v>311</v>
      </c>
      <c r="AQ17" s="94">
        <f>ROUND(VLOOKUP(AQ11,'2017 Handy Whitman'!$A$3:$B$107,2),0)</f>
        <v>566</v>
      </c>
      <c r="AR17" s="533">
        <f>ROUND(VLOOKUP(AR11,'2017 Handy Whitman'!$A$3:$B$107,2),0)</f>
        <v>337</v>
      </c>
      <c r="AS17" s="484">
        <f>ROUND(VLOOKUP(AS11,'2017 Handy Whitman'!$A$3:$B$107,2),0)</f>
        <v>68</v>
      </c>
      <c r="AT17" s="57">
        <f>ROUND(VLOOKUP(AT11,'2017 Handy Whitman'!$A$3:$B$107,2),0)</f>
        <v>190</v>
      </c>
      <c r="AU17" s="57">
        <f>ROUND(VLOOKUP(AU11,'2017 Handy Whitman'!$A$3:$B$107,2),0)</f>
        <v>322</v>
      </c>
      <c r="AV17" s="57">
        <f>ROUND(VLOOKUP(AV11,'2017 Handy Whitman'!$A$3:$B$107,2),0)</f>
        <v>336</v>
      </c>
      <c r="AW17" s="57">
        <f>ROUND(VLOOKUP(AW11,'2017 Handy Whitman'!$A$3:$B$107,2),0)</f>
        <v>378</v>
      </c>
      <c r="AX17" s="94">
        <f>ROUND(VLOOKUP(AX11,'2017 Handy Whitman'!$A$3:$B$107,2),0)</f>
        <v>657</v>
      </c>
      <c r="AY17" s="484">
        <f>ROUND(VLOOKUP(AY11,'2017 Handy Whitman'!$A$3:$B$107,2),0)</f>
        <v>100</v>
      </c>
      <c r="AZ17" s="57">
        <f>ROUND(VLOOKUP(AZ11,'2017 Handy Whitman'!$A$3:$B$107,2),0)</f>
        <v>120</v>
      </c>
      <c r="BA17" s="57">
        <f>ROUND(VLOOKUP(BA11,'2017 Handy Whitman'!$A$3:$B$107,2),0)</f>
        <v>162</v>
      </c>
      <c r="BB17" s="57">
        <f>ROUND(VLOOKUP(BB11,'2017 Handy Whitman'!$A$3:$B$107,2),0)</f>
        <v>190</v>
      </c>
      <c r="BC17" s="57">
        <f>ROUND(VLOOKUP(BC11,'2017 Handy Whitman'!$A$3:$B$107,2),0)</f>
        <v>251</v>
      </c>
      <c r="BD17" s="57">
        <f>ROUND(VLOOKUP(BD11,'2017 Handy Whitman'!$A$3:$B$107,2),0)</f>
        <v>280</v>
      </c>
      <c r="BE17" s="57">
        <f>ROUND(VLOOKUP(BE11,'2017 Handy Whitman'!$A$3:$B$107,2),0)</f>
        <v>287</v>
      </c>
      <c r="BF17" s="57">
        <f>ROUND(VLOOKUP(BF11,'2017 Handy Whitman'!$A$3:$B$107,2),0)</f>
        <v>292</v>
      </c>
      <c r="BG17" s="57">
        <f>ROUND(VLOOKUP(BG11,'2017 Handy Whitman'!$A$3:$B$107,2),0)</f>
        <v>190</v>
      </c>
      <c r="BH17" s="57">
        <f>ROUND(VLOOKUP(BH11,'2017 Handy Whitman'!$A$3:$B$107,2),0)</f>
        <v>254</v>
      </c>
      <c r="BI17" s="57">
        <f>ROUND(VLOOKUP(BI11,'2017 Handy Whitman'!$A$3:$B$107,2),0)</f>
        <v>251</v>
      </c>
      <c r="BJ17" s="57">
        <f>ROUND(VLOOKUP(BJ11,'2017 Handy Whitman'!$A$3:$B$107,2),0)</f>
        <v>280</v>
      </c>
      <c r="BK17" s="57">
        <f>ROUND(VLOOKUP(BK11,'2017 Handy Whitman'!$A$3:$B$107,2),0)</f>
        <v>369</v>
      </c>
      <c r="BL17" s="57">
        <f>ROUND(VLOOKUP(BL11,'2017 Handy Whitman'!$A$3:$B$107,2),0)</f>
        <v>609</v>
      </c>
      <c r="BM17" s="57">
        <f>ROUND(VLOOKUP(BM11,'2017 Handy Whitman'!$A$3:$B$107,2),0)</f>
        <v>657</v>
      </c>
      <c r="BN17" s="57">
        <f>ROUND(VLOOKUP(BN11,'2017 Handy Whitman'!$A$3:$B$107,2),0)</f>
        <v>717</v>
      </c>
      <c r="BO17" s="57">
        <f>ROUND(VLOOKUP(BO11,'2017 Handy Whitman'!$A$3:$B$107,2),0)</f>
        <v>150</v>
      </c>
      <c r="BP17" s="57">
        <f>ROUND(VLOOKUP(BP11,'2017 Handy Whitman'!$A$3:$B$107,2),0)</f>
        <v>292</v>
      </c>
      <c r="BQ17" s="94">
        <f>ROUND(VLOOKUP(BQ11,'2017 Handy Whitman'!$A$3:$B$107,2),0)</f>
        <v>577</v>
      </c>
      <c r="BR17" s="484">
        <f>ROUND(VLOOKUP(BR11,'2017 Handy Whitman'!$A$3:$B$107,2),0)</f>
        <v>120</v>
      </c>
      <c r="BS17" s="57">
        <f>ROUND(VLOOKUP(BS11,'2017 Handy Whitman'!$A$3:$B$107,2),0)</f>
        <v>139</v>
      </c>
      <c r="BT17" s="57">
        <f>ROUND(VLOOKUP(BT11,'2017 Handy Whitman'!$A$3:$B$107,2),0)</f>
        <v>172</v>
      </c>
      <c r="BU17" s="57">
        <f>ROUND(VLOOKUP(BU11,'2017 Handy Whitman'!$A$3:$B$107,2),0)</f>
        <v>311</v>
      </c>
      <c r="BV17" s="94">
        <f>ROUND(VLOOKUP(BV11,'2017 Handy Whitman'!$A$3:$B$107,2),0)</f>
        <v>401</v>
      </c>
      <c r="BW17" s="484">
        <f>ROUND(VLOOKUP(BW11,'2017 Handy Whitman'!$A$3:$B$107,2),0)</f>
        <v>287</v>
      </c>
      <c r="BX17" s="57">
        <f>ROUND(VLOOKUP(BX11,'2017 Handy Whitman'!$A$3:$B$107,2),0)</f>
        <v>292</v>
      </c>
      <c r="BY17" s="57">
        <f>ROUND(VLOOKUP(BY11,'2017 Handy Whitman'!$A$3:$B$107,2),0)</f>
        <v>295</v>
      </c>
      <c r="BZ17" s="94">
        <f>ROUND(VLOOKUP(BZ11,'2017 Handy Whitman'!$A$3:$B$107,2),0)</f>
        <v>345</v>
      </c>
      <c r="CA17" s="484">
        <f>ROUND(VLOOKUP(CA11,'2017 Handy Whitman'!$A$3:$B$107,2),0)</f>
        <v>250</v>
      </c>
      <c r="CB17" s="94">
        <f>ROUND(VLOOKUP(CB11,'2017 Handy Whitman'!$A$3:$B$107,2),0)</f>
        <v>657</v>
      </c>
      <c r="CC17" s="484">
        <f>ROUND(VLOOKUP(CC11,'2017 Handy Whitman'!$A$3:$B$107,2),0)</f>
        <v>369</v>
      </c>
      <c r="CD17" s="57">
        <f>ROUND(VLOOKUP(CD11,'2017 Handy Whitman'!$A$3:$B$107,2),0)</f>
        <v>566</v>
      </c>
      <c r="CE17" s="57">
        <f>ROUND(VLOOKUP(CE11,'2017 Handy Whitman'!$A$3:$B$107,2),0)</f>
        <v>657</v>
      </c>
      <c r="CF17" s="57">
        <f>ROUND(VLOOKUP(CF11,'2017 Handy Whitman'!$A$3:$B$107,2),0)</f>
        <v>369</v>
      </c>
      <c r="CG17" s="57">
        <f>ROUND(VLOOKUP(CG11,'2017 Handy Whitman'!$A$3:$B$107,2),0)</f>
        <v>378</v>
      </c>
      <c r="CH17" s="57">
        <f>ROUND(VLOOKUP(CH11,'2017 Handy Whitman'!$A$3:$B$107,2),0)</f>
        <v>566</v>
      </c>
      <c r="CI17" s="57">
        <f>ROUND(VLOOKUP(CI11,'2017 Handy Whitman'!$A$3:$B$107,2),0)</f>
        <v>577</v>
      </c>
      <c r="CJ17" s="57">
        <f>ROUND(VLOOKUP(CJ11,'2017 Handy Whitman'!$A$3:$B$107,2),0)</f>
        <v>254</v>
      </c>
      <c r="CK17" s="57">
        <f>ROUND(VLOOKUP(CK11,'2017 Handy Whitman'!$A$3:$B$107,2),0)</f>
        <v>566</v>
      </c>
      <c r="CL17" s="57">
        <f>ROUND(VLOOKUP(CL11,'2017 Handy Whitman'!$A$3:$B$107,2),0)</f>
        <v>577</v>
      </c>
      <c r="CM17" s="94">
        <f>ROUND(VLOOKUP(CM11,'2017 Handy Whitman'!$A$3:$B$107,2),0)</f>
        <v>657</v>
      </c>
      <c r="CN17" s="484">
        <f>ROUND(VLOOKUP(CN11,'2017 Handy Whitman'!$A$3:$B$107,2),0)</f>
        <v>68</v>
      </c>
      <c r="CO17" s="57">
        <f>ROUND(VLOOKUP(CO11,'2017 Handy Whitman'!$A$3:$B$107,2),0)</f>
        <v>254</v>
      </c>
      <c r="CP17" s="57">
        <f>ROUND(VLOOKUP(CP11,'2017 Handy Whitman'!$A$3:$B$107,2),0)</f>
        <v>267</v>
      </c>
      <c r="CQ17" s="57">
        <f>ROUND(VLOOKUP(CQ11,'2017 Handy Whitman'!$A$3:$B$107,2),0)</f>
        <v>287</v>
      </c>
      <c r="CR17" s="94">
        <f>ROUND(VLOOKUP(CR11,'2017 Handy Whitman'!$A$3:$B$107,2),0)</f>
        <v>701</v>
      </c>
      <c r="CS17" s="484">
        <f>ROUND(VLOOKUP(CS11,'2017 Handy Whitman'!$A$3:$B$107,2),0)</f>
        <v>162</v>
      </c>
      <c r="CT17" s="57">
        <f>ROUND(VLOOKUP(CT11,'2017 Handy Whitman'!$A$3:$B$107,2),0)</f>
        <v>246</v>
      </c>
      <c r="CU17" s="57">
        <f>ROUND(VLOOKUP(CU11,'2017 Handy Whitman'!$A$3:$B$107,2),0)</f>
        <v>280</v>
      </c>
      <c r="CV17" s="57">
        <f>ROUND(VLOOKUP(CV11,'2017 Handy Whitman'!$A$3:$B$107,2),0)</f>
        <v>287</v>
      </c>
      <c r="CW17" s="57">
        <f>ROUND(VLOOKUP(CW11,'2017 Handy Whitman'!$A$3:$B$107,2),0)</f>
        <v>295</v>
      </c>
      <c r="CX17" s="57">
        <f>ROUND(VLOOKUP(CX11,'2017 Handy Whitman'!$A$3:$B$107,2),0)</f>
        <v>303</v>
      </c>
      <c r="CY17" s="57">
        <f>ROUND(VLOOKUP(CY11,'2017 Handy Whitman'!$A$3:$B$107,2),0)</f>
        <v>369</v>
      </c>
      <c r="CZ17" s="57">
        <f>ROUND(VLOOKUP(CZ11,'2017 Handy Whitman'!$A$3:$B$107,2),0)</f>
        <v>701</v>
      </c>
      <c r="DA17" s="57">
        <f>ROUND(VLOOKUP(DA11,'2017 Handy Whitman'!$A$3:$B$107,2),0)</f>
        <v>246</v>
      </c>
      <c r="DB17" s="57">
        <f>ROUND(VLOOKUP(DB11,'2017 Handy Whitman'!$A$3:$B$107,2),0)</f>
        <v>253</v>
      </c>
      <c r="DC17" s="57">
        <f>ROUND(VLOOKUP(DC11,'2017 Handy Whitman'!$A$3:$B$107,2),0)</f>
        <v>254</v>
      </c>
      <c r="DD17" s="57">
        <f>ROUND(VLOOKUP(DD11,'2017 Handy Whitman'!$A$3:$B$107,2),0)</f>
        <v>287</v>
      </c>
      <c r="DE17" s="57">
        <f>ROUND(VLOOKUP(DE11,'2017 Handy Whitman'!$A$3:$B$107,2),0)</f>
        <v>311</v>
      </c>
      <c r="DF17" s="57">
        <f>ROUND(VLOOKUP(DF11,'2017 Handy Whitman'!$A$3:$B$107,2),0)</f>
        <v>337</v>
      </c>
      <c r="DG17" s="57">
        <f>ROUND(VLOOKUP(DG11,'2017 Handy Whitman'!$A$3:$B$107,2),0)</f>
        <v>378</v>
      </c>
      <c r="DH17" s="57">
        <f>ROUND(VLOOKUP(DH11,'2017 Handy Whitman'!$A$3:$B$107,2),0)</f>
        <v>472</v>
      </c>
      <c r="DI17" s="94">
        <f>ROUND(VLOOKUP(DI11,'2017 Handy Whitman'!$A$3:$B$107,2),0)</f>
        <v>657</v>
      </c>
      <c r="DJ17" s="484">
        <f>ROUND(VLOOKUP(DJ11,'2017 Handy Whitman'!$A$3:$B$107,2),0)</f>
        <v>88</v>
      </c>
      <c r="DK17" s="57">
        <f>ROUND(VLOOKUP(DK11,'2017 Handy Whitman'!$A$3:$B$107,2),0)</f>
        <v>120</v>
      </c>
      <c r="DL17" s="57">
        <f>ROUND(VLOOKUP(DL11,'2017 Handy Whitman'!$A$3:$B$107,2),0)</f>
        <v>253</v>
      </c>
      <c r="DM17" s="57">
        <f>ROUND(VLOOKUP(DM11,'2017 Handy Whitman'!$A$3:$B$107,2),0)</f>
        <v>287</v>
      </c>
      <c r="DN17" s="57">
        <f>ROUND(VLOOKUP(DN11,'2017 Handy Whitman'!$A$3:$B$107,2),0)</f>
        <v>287</v>
      </c>
      <c r="DO17" s="57">
        <f>ROUND(VLOOKUP(DO11,'2017 Handy Whitman'!$A$3:$B$107,2),0)</f>
        <v>378</v>
      </c>
      <c r="DP17" s="57">
        <f>ROUND(VLOOKUP(DP11,'2017 Handy Whitman'!$A$3:$B$107,2),0)</f>
        <v>717</v>
      </c>
      <c r="DQ17" s="57">
        <f>ROUND(VLOOKUP(DQ11,'2017 Handy Whitman'!$A$3:$B$107,2),0)</f>
        <v>253</v>
      </c>
      <c r="DR17" s="57">
        <f>ROUND(VLOOKUP(DR11,'2017 Handy Whitman'!$A$3:$B$107,2),0)</f>
        <v>311</v>
      </c>
      <c r="DS17" s="57">
        <f>ROUND(VLOOKUP(DS11,'2017 Handy Whitman'!$A$3:$B$107,2),0)</f>
        <v>311</v>
      </c>
      <c r="DT17" s="94">
        <f>ROUND(VLOOKUP(DT11,'2017 Handy Whitman'!$A$3:$B$107,2),0)</f>
        <v>657</v>
      </c>
      <c r="DU17" s="484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94"/>
      <c r="EO17" s="484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485"/>
    </row>
    <row r="18" spans="1:158" x14ac:dyDescent="0.25">
      <c r="A18" s="397">
        <f t="shared" si="1"/>
        <v>12</v>
      </c>
      <c r="B18" s="87" t="s">
        <v>63</v>
      </c>
      <c r="D18" s="464">
        <f t="shared" ref="D18:BO18" si="78">+D17/D16</f>
        <v>0.42719780219780218</v>
      </c>
      <c r="E18" s="60">
        <f t="shared" si="78"/>
        <v>0.42719780219780218</v>
      </c>
      <c r="F18" s="60">
        <f>+F17/F16</f>
        <v>0.42719780219780218</v>
      </c>
      <c r="G18" s="60">
        <f>+G17/G16</f>
        <v>0.77747252747252749</v>
      </c>
      <c r="H18" s="60">
        <f>+H17/H16</f>
        <v>0.48214285714285715</v>
      </c>
      <c r="I18" s="60">
        <f>+I17/I16</f>
        <v>0.77747252747252749</v>
      </c>
      <c r="J18" s="60">
        <f t="shared" si="78"/>
        <v>0.42719780219780218</v>
      </c>
      <c r="K18" s="60">
        <f t="shared" si="78"/>
        <v>0.42719780219780218</v>
      </c>
      <c r="L18" s="60">
        <f t="shared" si="78"/>
        <v>0.42719780219780218</v>
      </c>
      <c r="M18" s="60">
        <f t="shared" ref="M18:O18" si="79">+M17/M16</f>
        <v>0.90247252747252749</v>
      </c>
      <c r="N18" s="60">
        <f t="shared" ref="N18" si="80">+N17/N16</f>
        <v>0.90247252747252749</v>
      </c>
      <c r="O18" s="60">
        <f t="shared" si="79"/>
        <v>0.42719780219780218</v>
      </c>
      <c r="P18" s="60">
        <f t="shared" ref="P18:T18" si="81">+P17/P16</f>
        <v>0.90247252747252749</v>
      </c>
      <c r="Q18" s="60">
        <f t="shared" si="81"/>
        <v>0.58379120879120883</v>
      </c>
      <c r="R18" s="60">
        <f t="shared" ref="R18:S18" si="82">+R17/R16</f>
        <v>0.90247252747252749</v>
      </c>
      <c r="S18" s="60">
        <f t="shared" si="82"/>
        <v>0.90247252747252749</v>
      </c>
      <c r="T18" s="60">
        <f t="shared" si="81"/>
        <v>0.90247252747252749</v>
      </c>
      <c r="U18" s="60">
        <f t="shared" ref="U18" si="83">+U17/U16</f>
        <v>0.96291208791208793</v>
      </c>
      <c r="V18" s="60">
        <f t="shared" si="78"/>
        <v>0.42719780219780218</v>
      </c>
      <c r="W18" s="60">
        <f>+W17/W16</f>
        <v>0.70192307692307687</v>
      </c>
      <c r="X18" s="60">
        <f>+X17/X16</f>
        <v>0.77747252747252749</v>
      </c>
      <c r="Y18" s="60">
        <f t="shared" si="78"/>
        <v>0.42719780219780218</v>
      </c>
      <c r="Z18" s="60">
        <f t="shared" si="78"/>
        <v>0.70192307692307687</v>
      </c>
      <c r="AA18" s="465">
        <f t="shared" si="78"/>
        <v>0.48214285714285715</v>
      </c>
      <c r="AB18" s="464">
        <f t="shared" ref="AB18:AQ18" si="84">+AB17/AB16</f>
        <v>0.77747252747252749</v>
      </c>
      <c r="AC18" s="60">
        <f t="shared" si="84"/>
        <v>0.77747252747252749</v>
      </c>
      <c r="AD18" s="60">
        <f t="shared" si="84"/>
        <v>0.46153846153846156</v>
      </c>
      <c r="AE18" s="60">
        <f t="shared" si="84"/>
        <v>0.77747252747252749</v>
      </c>
      <c r="AF18" s="60">
        <f t="shared" ref="AF18:AL18" si="85">+AF17/AF16</f>
        <v>0.46153846153846156</v>
      </c>
      <c r="AG18" s="60">
        <f t="shared" si="85"/>
        <v>0.77747252747252749</v>
      </c>
      <c r="AH18" s="60">
        <f t="shared" si="85"/>
        <v>0.79258241758241754</v>
      </c>
      <c r="AI18" s="60">
        <f t="shared" si="85"/>
        <v>0.90247252747252749</v>
      </c>
      <c r="AJ18" s="60">
        <f t="shared" si="85"/>
        <v>0.90247252747252749</v>
      </c>
      <c r="AK18" s="60">
        <f t="shared" si="85"/>
        <v>0.42719780219780218</v>
      </c>
      <c r="AL18" s="60">
        <f t="shared" si="85"/>
        <v>0.46153846153846156</v>
      </c>
      <c r="AM18" s="60">
        <f t="shared" si="84"/>
        <v>0.42719780219780218</v>
      </c>
      <c r="AN18" s="60">
        <f t="shared" si="84"/>
        <v>0.42719780219780218</v>
      </c>
      <c r="AO18" s="60">
        <f t="shared" si="84"/>
        <v>0.77747252747252749</v>
      </c>
      <c r="AP18" s="60">
        <f t="shared" si="84"/>
        <v>0.42719780219780218</v>
      </c>
      <c r="AQ18" s="465">
        <f t="shared" si="84"/>
        <v>0.77747252747252749</v>
      </c>
      <c r="AR18" s="534">
        <f t="shared" si="78"/>
        <v>0.46291208791208793</v>
      </c>
      <c r="AS18" s="464">
        <f t="shared" si="78"/>
        <v>9.3406593406593408E-2</v>
      </c>
      <c r="AT18" s="60">
        <f t="shared" ref="AT18:AX18" si="86">+AT17/AT16</f>
        <v>0.26098901098901101</v>
      </c>
      <c r="AU18" s="60">
        <f t="shared" si="86"/>
        <v>0.44230769230769229</v>
      </c>
      <c r="AV18" s="60">
        <f t="shared" ref="AV18:AW18" si="87">+AV17/AV16</f>
        <v>0.46153846153846156</v>
      </c>
      <c r="AW18" s="60">
        <f t="shared" si="87"/>
        <v>0.51923076923076927</v>
      </c>
      <c r="AX18" s="465">
        <f t="shared" si="86"/>
        <v>0.90247252747252749</v>
      </c>
      <c r="AY18" s="464">
        <f t="shared" si="78"/>
        <v>0.13736263736263737</v>
      </c>
      <c r="AZ18" s="60">
        <f t="shared" ref="AZ18:BA18" si="88">+AZ17/AZ16</f>
        <v>0.16483516483516483</v>
      </c>
      <c r="BA18" s="60">
        <f t="shared" si="88"/>
        <v>0.22252747252747251</v>
      </c>
      <c r="BB18" s="60">
        <f t="shared" ref="BB18" si="89">+BB17/BB16</f>
        <v>0.26098901098901101</v>
      </c>
      <c r="BC18" s="60">
        <f t="shared" si="78"/>
        <v>0.34478021978021978</v>
      </c>
      <c r="BD18" s="60">
        <f t="shared" si="78"/>
        <v>0.38461538461538464</v>
      </c>
      <c r="BE18" s="60">
        <f t="shared" ref="BE18" si="90">+BE17/BE16</f>
        <v>0.39423076923076922</v>
      </c>
      <c r="BF18" s="60">
        <f t="shared" si="78"/>
        <v>0.40109890109890112</v>
      </c>
      <c r="BG18" s="60">
        <f t="shared" ref="BG18" si="91">+BG17/BG16</f>
        <v>0.26098901098901101</v>
      </c>
      <c r="BH18" s="60">
        <f t="shared" si="78"/>
        <v>0.34890109890109888</v>
      </c>
      <c r="BI18" s="60">
        <f t="shared" si="78"/>
        <v>0.34478021978021978</v>
      </c>
      <c r="BJ18" s="60">
        <f t="shared" si="78"/>
        <v>0.38461538461538464</v>
      </c>
      <c r="BK18" s="60">
        <f t="shared" si="78"/>
        <v>0.50686813186813184</v>
      </c>
      <c r="BL18" s="60">
        <f t="shared" si="78"/>
        <v>0.83653846153846156</v>
      </c>
      <c r="BM18" s="60">
        <f t="shared" ref="BM18:BN18" si="92">+BM17/BM16</f>
        <v>0.90247252747252749</v>
      </c>
      <c r="BN18" s="60">
        <f t="shared" si="92"/>
        <v>0.98489010989010994</v>
      </c>
      <c r="BO18" s="60">
        <f t="shared" si="78"/>
        <v>0.20604395604395603</v>
      </c>
      <c r="BP18" s="60">
        <f t="shared" ref="BP18:BV18" si="93">+BP17/BP16</f>
        <v>0.40109890109890112</v>
      </c>
      <c r="BQ18" s="465">
        <f t="shared" si="93"/>
        <v>0.79258241758241754</v>
      </c>
      <c r="BR18" s="464">
        <f t="shared" si="93"/>
        <v>0.16483516483516483</v>
      </c>
      <c r="BS18" s="60">
        <f t="shared" si="93"/>
        <v>0.19093406593406592</v>
      </c>
      <c r="BT18" s="60">
        <f t="shared" si="93"/>
        <v>0.23626373626373626</v>
      </c>
      <c r="BU18" s="60">
        <f t="shared" si="93"/>
        <v>0.42719780219780218</v>
      </c>
      <c r="BV18" s="465">
        <f t="shared" si="93"/>
        <v>0.55082417582417587</v>
      </c>
      <c r="BW18" s="464">
        <f t="shared" ref="BW18:BZ18" si="94">+BW17/BW16</f>
        <v>0.39423076923076922</v>
      </c>
      <c r="BX18" s="60">
        <f t="shared" si="94"/>
        <v>0.40109890109890112</v>
      </c>
      <c r="BY18" s="60">
        <f t="shared" si="94"/>
        <v>0.40521978021978022</v>
      </c>
      <c r="BZ18" s="465">
        <f t="shared" si="94"/>
        <v>0.47390109890109888</v>
      </c>
      <c r="CA18" s="464">
        <f t="shared" ref="CA18:CO18" si="95">+CA17/CA16</f>
        <v>0.34340659340659341</v>
      </c>
      <c r="CB18" s="465">
        <f t="shared" ref="CB18" si="96">+CB17/CB16</f>
        <v>0.90247252747252749</v>
      </c>
      <c r="CC18" s="464">
        <f t="shared" si="95"/>
        <v>0.50686813186813184</v>
      </c>
      <c r="CD18" s="60">
        <f t="shared" si="95"/>
        <v>0.77747252747252749</v>
      </c>
      <c r="CE18" s="60">
        <f t="shared" si="95"/>
        <v>0.90247252747252749</v>
      </c>
      <c r="CF18" s="60">
        <f t="shared" ref="CF18:CK18" si="97">+CF17/CF16</f>
        <v>0.50686813186813184</v>
      </c>
      <c r="CG18" s="60">
        <f t="shared" ref="CG18:CI18" si="98">+CG17/CG16</f>
        <v>0.51923076923076927</v>
      </c>
      <c r="CH18" s="60">
        <f t="shared" si="98"/>
        <v>0.77747252747252749</v>
      </c>
      <c r="CI18" s="60">
        <f t="shared" si="98"/>
        <v>0.79258241758241754</v>
      </c>
      <c r="CJ18" s="60">
        <f t="shared" si="97"/>
        <v>0.34890109890109888</v>
      </c>
      <c r="CK18" s="60">
        <f t="shared" si="97"/>
        <v>0.77747252747252749</v>
      </c>
      <c r="CL18" s="60">
        <f t="shared" ref="CL18" si="99">+CL17/CL16</f>
        <v>0.79258241758241754</v>
      </c>
      <c r="CM18" s="465">
        <f t="shared" si="95"/>
        <v>0.90247252747252749</v>
      </c>
      <c r="CN18" s="464">
        <f t="shared" si="95"/>
        <v>9.3406593406593408E-2</v>
      </c>
      <c r="CO18" s="60">
        <f t="shared" si="95"/>
        <v>0.34890109890109888</v>
      </c>
      <c r="CP18" s="60">
        <f t="shared" ref="CP18:DT18" si="100">+CP17/CP16</f>
        <v>0.36675824175824173</v>
      </c>
      <c r="CQ18" s="60">
        <f t="shared" si="100"/>
        <v>0.39423076923076922</v>
      </c>
      <c r="CR18" s="465">
        <f t="shared" si="100"/>
        <v>0.96291208791208793</v>
      </c>
      <c r="CS18" s="464">
        <f t="shared" si="100"/>
        <v>0.22252747252747251</v>
      </c>
      <c r="CT18" s="60">
        <f t="shared" ref="CT18:CZ18" si="101">+CT17/CT16</f>
        <v>0.33791208791208793</v>
      </c>
      <c r="CU18" s="60">
        <f t="shared" si="101"/>
        <v>0.38461538461538464</v>
      </c>
      <c r="CV18" s="60">
        <f t="shared" si="101"/>
        <v>0.39423076923076922</v>
      </c>
      <c r="CW18" s="60">
        <f t="shared" si="101"/>
        <v>0.40521978021978022</v>
      </c>
      <c r="CX18" s="60">
        <f t="shared" si="101"/>
        <v>0.41620879120879123</v>
      </c>
      <c r="CY18" s="60">
        <f t="shared" ref="CY18" si="102">+CY17/CY16</f>
        <v>0.50686813186813184</v>
      </c>
      <c r="CZ18" s="60">
        <f t="shared" si="101"/>
        <v>0.96291208791208793</v>
      </c>
      <c r="DA18" s="60">
        <f t="shared" ref="DA18:DF18" si="103">+DA17/DA16</f>
        <v>0.33791208791208793</v>
      </c>
      <c r="DB18" s="60">
        <f t="shared" si="103"/>
        <v>0.34752747252747251</v>
      </c>
      <c r="DC18" s="60">
        <f t="shared" si="103"/>
        <v>0.34890109890109888</v>
      </c>
      <c r="DD18" s="60">
        <f t="shared" si="103"/>
        <v>0.39423076923076922</v>
      </c>
      <c r="DE18" s="60">
        <f t="shared" si="103"/>
        <v>0.42719780219780218</v>
      </c>
      <c r="DF18" s="60">
        <f t="shared" si="103"/>
        <v>0.46291208791208793</v>
      </c>
      <c r="DG18" s="60">
        <f t="shared" ref="DG18:DH18" si="104">+DG17/DG16</f>
        <v>0.51923076923076927</v>
      </c>
      <c r="DH18" s="60">
        <f t="shared" si="104"/>
        <v>0.64835164835164838</v>
      </c>
      <c r="DI18" s="465">
        <f t="shared" si="100"/>
        <v>0.90247252747252749</v>
      </c>
      <c r="DJ18" s="464">
        <f t="shared" si="100"/>
        <v>0.12087912087912088</v>
      </c>
      <c r="DK18" s="60">
        <f t="shared" ref="DK18" si="105">+DK17/DK16</f>
        <v>0.16483516483516483</v>
      </c>
      <c r="DL18" s="60">
        <f t="shared" ref="DL18:DO18" si="106">+DL17/DL16</f>
        <v>0.34752747252747251</v>
      </c>
      <c r="DM18" s="60">
        <f t="shared" si="106"/>
        <v>0.39423076923076922</v>
      </c>
      <c r="DN18" s="60">
        <f t="shared" ref="DN18" si="107">+DN17/DN16</f>
        <v>0.39423076923076922</v>
      </c>
      <c r="DO18" s="60">
        <f t="shared" si="106"/>
        <v>0.51923076923076927</v>
      </c>
      <c r="DP18" s="60">
        <f t="shared" ref="DP18:DR18" si="108">+DP17/DP16</f>
        <v>0.98489010989010994</v>
      </c>
      <c r="DQ18" s="60">
        <f t="shared" si="108"/>
        <v>0.34752747252747251</v>
      </c>
      <c r="DR18" s="60">
        <f t="shared" si="108"/>
        <v>0.42719780219780218</v>
      </c>
      <c r="DS18" s="60">
        <f t="shared" ref="DS18" si="109">+DS17/DS16</f>
        <v>0.42719780219780218</v>
      </c>
      <c r="DT18" s="465">
        <f t="shared" si="100"/>
        <v>0.90247252747252749</v>
      </c>
      <c r="DU18" s="464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465"/>
      <c r="EO18" s="464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466"/>
    </row>
    <row r="19" spans="1:158" x14ac:dyDescent="0.25">
      <c r="A19" s="397">
        <f t="shared" si="1"/>
        <v>13</v>
      </c>
      <c r="B19" s="87" t="s">
        <v>64</v>
      </c>
      <c r="D19" s="464">
        <v>0.23</v>
      </c>
      <c r="E19" s="60">
        <v>0.23</v>
      </c>
      <c r="F19" s="60">
        <v>0.23</v>
      </c>
      <c r="G19" s="60">
        <v>0.23</v>
      </c>
      <c r="H19" s="60">
        <v>0.23</v>
      </c>
      <c r="I19" s="60">
        <v>0.23</v>
      </c>
      <c r="J19" s="60">
        <v>0.23</v>
      </c>
      <c r="K19" s="60">
        <v>0.23</v>
      </c>
      <c r="L19" s="60">
        <v>0.23</v>
      </c>
      <c r="M19" s="60">
        <v>0.23</v>
      </c>
      <c r="N19" s="60">
        <v>0.23</v>
      </c>
      <c r="O19" s="60">
        <v>0.23</v>
      </c>
      <c r="P19" s="60">
        <v>0.23</v>
      </c>
      <c r="Q19" s="60">
        <v>0.23</v>
      </c>
      <c r="R19" s="60">
        <v>0.23</v>
      </c>
      <c r="S19" s="60">
        <v>0.23</v>
      </c>
      <c r="T19" s="60">
        <v>0.23</v>
      </c>
      <c r="U19" s="60">
        <v>0.23</v>
      </c>
      <c r="V19" s="60">
        <v>0.23</v>
      </c>
      <c r="W19" s="60">
        <v>0.23</v>
      </c>
      <c r="X19" s="60">
        <v>0.23</v>
      </c>
      <c r="Y19" s="60">
        <v>0.23</v>
      </c>
      <c r="Z19" s="60">
        <v>0.23</v>
      </c>
      <c r="AA19" s="465">
        <v>0.23</v>
      </c>
      <c r="AB19" s="464">
        <v>0.23</v>
      </c>
      <c r="AC19" s="60">
        <v>0.23</v>
      </c>
      <c r="AD19" s="60">
        <v>0.23</v>
      </c>
      <c r="AE19" s="60">
        <v>0.23</v>
      </c>
      <c r="AF19" s="60">
        <v>0.23</v>
      </c>
      <c r="AG19" s="60">
        <v>0.23</v>
      </c>
      <c r="AH19" s="60">
        <v>0.23</v>
      </c>
      <c r="AI19" s="60">
        <v>0.23</v>
      </c>
      <c r="AJ19" s="60">
        <v>0.23</v>
      </c>
      <c r="AK19" s="60">
        <v>0.23</v>
      </c>
      <c r="AL19" s="60">
        <v>0.23</v>
      </c>
      <c r="AM19" s="60">
        <v>0.23</v>
      </c>
      <c r="AN19" s="60">
        <v>0.23</v>
      </c>
      <c r="AO19" s="60">
        <v>0.23</v>
      </c>
      <c r="AP19" s="60">
        <v>0.23</v>
      </c>
      <c r="AQ19" s="465">
        <v>0.23</v>
      </c>
      <c r="AR19" s="534">
        <v>0.23</v>
      </c>
      <c r="AS19" s="464">
        <v>0.23</v>
      </c>
      <c r="AT19" s="60">
        <v>0.23</v>
      </c>
      <c r="AU19" s="60">
        <v>0.23</v>
      </c>
      <c r="AV19" s="60">
        <v>0.23</v>
      </c>
      <c r="AW19" s="60">
        <v>0.23</v>
      </c>
      <c r="AX19" s="465">
        <v>0.23</v>
      </c>
      <c r="AY19" s="464">
        <v>0.23</v>
      </c>
      <c r="AZ19" s="60">
        <v>0.23</v>
      </c>
      <c r="BA19" s="60">
        <v>0.23</v>
      </c>
      <c r="BB19" s="60">
        <v>0.23</v>
      </c>
      <c r="BC19" s="60">
        <v>0.23</v>
      </c>
      <c r="BD19" s="60">
        <v>0.23</v>
      </c>
      <c r="BE19" s="60">
        <v>0.23</v>
      </c>
      <c r="BF19" s="60">
        <v>0.23</v>
      </c>
      <c r="BG19" s="60">
        <v>0.23</v>
      </c>
      <c r="BH19" s="60">
        <v>0.23</v>
      </c>
      <c r="BI19" s="60">
        <v>0.23</v>
      </c>
      <c r="BJ19" s="60">
        <v>0.23</v>
      </c>
      <c r="BK19" s="60">
        <v>0.23</v>
      </c>
      <c r="BL19" s="60">
        <v>0.23</v>
      </c>
      <c r="BM19" s="60">
        <v>0.23</v>
      </c>
      <c r="BN19" s="60">
        <v>0.23</v>
      </c>
      <c r="BO19" s="60">
        <v>0.23</v>
      </c>
      <c r="BP19" s="60">
        <v>0.23</v>
      </c>
      <c r="BQ19" s="465">
        <v>0.23</v>
      </c>
      <c r="BR19" s="464">
        <v>0.23</v>
      </c>
      <c r="BS19" s="60">
        <v>0.23</v>
      </c>
      <c r="BT19" s="60">
        <v>0.23</v>
      </c>
      <c r="BU19" s="60">
        <v>0.23</v>
      </c>
      <c r="BV19" s="465">
        <v>0.23</v>
      </c>
      <c r="BW19" s="464">
        <v>0.23</v>
      </c>
      <c r="BX19" s="60">
        <v>0.23</v>
      </c>
      <c r="BY19" s="60">
        <v>0.23</v>
      </c>
      <c r="BZ19" s="465">
        <v>0.23</v>
      </c>
      <c r="CA19" s="464">
        <v>0.23</v>
      </c>
      <c r="CB19" s="465">
        <v>0.23</v>
      </c>
      <c r="CC19" s="464">
        <v>0.23</v>
      </c>
      <c r="CD19" s="60">
        <v>0.23</v>
      </c>
      <c r="CE19" s="60">
        <v>0.23</v>
      </c>
      <c r="CF19" s="60">
        <v>0.23</v>
      </c>
      <c r="CG19" s="60">
        <v>0.23</v>
      </c>
      <c r="CH19" s="60">
        <v>0.23</v>
      </c>
      <c r="CI19" s="60">
        <v>0.23</v>
      </c>
      <c r="CJ19" s="60">
        <v>0.23</v>
      </c>
      <c r="CK19" s="60">
        <v>0.23</v>
      </c>
      <c r="CL19" s="60">
        <v>0.23</v>
      </c>
      <c r="CM19" s="465">
        <v>0.23</v>
      </c>
      <c r="CN19" s="464">
        <v>0.23</v>
      </c>
      <c r="CO19" s="60">
        <v>0.23</v>
      </c>
      <c r="CP19" s="60">
        <v>0.23</v>
      </c>
      <c r="CQ19" s="60">
        <v>0.23</v>
      </c>
      <c r="CR19" s="465">
        <v>0.23</v>
      </c>
      <c r="CS19" s="464">
        <v>0.23</v>
      </c>
      <c r="CT19" s="60">
        <v>0.23</v>
      </c>
      <c r="CU19" s="60">
        <v>0.23</v>
      </c>
      <c r="CV19" s="60">
        <v>0.23</v>
      </c>
      <c r="CW19" s="60">
        <v>0.23</v>
      </c>
      <c r="CX19" s="60">
        <v>0.23</v>
      </c>
      <c r="CY19" s="60">
        <v>0.23</v>
      </c>
      <c r="CZ19" s="60">
        <v>0.23</v>
      </c>
      <c r="DA19" s="60">
        <v>0.23</v>
      </c>
      <c r="DB19" s="60">
        <v>0.23</v>
      </c>
      <c r="DC19" s="60">
        <v>0.23</v>
      </c>
      <c r="DD19" s="60">
        <v>0.23</v>
      </c>
      <c r="DE19" s="60">
        <v>0.23</v>
      </c>
      <c r="DF19" s="60">
        <v>0.23</v>
      </c>
      <c r="DG19" s="60">
        <v>0.23</v>
      </c>
      <c r="DH19" s="60">
        <v>0.23</v>
      </c>
      <c r="DI19" s="465">
        <v>0.23</v>
      </c>
      <c r="DJ19" s="464">
        <v>0.23</v>
      </c>
      <c r="DK19" s="60">
        <v>0.23</v>
      </c>
      <c r="DL19" s="60">
        <v>0.23</v>
      </c>
      <c r="DM19" s="60">
        <v>0.23</v>
      </c>
      <c r="DN19" s="60">
        <v>0.23</v>
      </c>
      <c r="DO19" s="60">
        <v>0.23</v>
      </c>
      <c r="DP19" s="60">
        <v>0.23</v>
      </c>
      <c r="DQ19" s="60">
        <v>0.23</v>
      </c>
      <c r="DR19" s="60">
        <v>0.23</v>
      </c>
      <c r="DS19" s="60">
        <v>0.23</v>
      </c>
      <c r="DT19" s="465">
        <v>0.23</v>
      </c>
      <c r="DU19" s="464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465"/>
      <c r="EO19" s="464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466"/>
    </row>
    <row r="20" spans="1:158" x14ac:dyDescent="0.25">
      <c r="A20" s="397">
        <f t="shared" si="1"/>
        <v>14</v>
      </c>
      <c r="B20" s="87" t="s">
        <v>65</v>
      </c>
      <c r="D20" s="537">
        <f ca="1">ROUND(VLOOKUP(D12,'2017 FCR Rates'!$A$4:$D$38,3),6)</f>
        <v>0.12914300000000001</v>
      </c>
      <c r="E20" s="535">
        <f ca="1">ROUND(VLOOKUP(E12,'2017 FCR Rates'!$A$4:$D$38,3),6)</f>
        <v>0.12914300000000001</v>
      </c>
      <c r="F20" s="535">
        <f ca="1">ROUND(VLOOKUP(F12,'2017 FCR Rates'!$A$4:$D$38,3),6)</f>
        <v>0.12914300000000001</v>
      </c>
      <c r="G20" s="535">
        <f ca="1">ROUND(VLOOKUP(G12,'2017 FCR Rates'!$A$4:$D$38,3),6)</f>
        <v>9.2134999999999995E-2</v>
      </c>
      <c r="H20" s="535">
        <f ca="1">ROUND(VLOOKUP(H12,'2017 FCR Rates'!$A$4:$D$38,3),6)</f>
        <v>0.100817</v>
      </c>
      <c r="I20" s="535">
        <f ca="1">ROUND(VLOOKUP(I12,'2017 FCR Rates'!$A$4:$D$38,3),6)</f>
        <v>9.2134999999999995E-2</v>
      </c>
      <c r="J20" s="535">
        <f ca="1">ROUND(VLOOKUP(J12,'2017 FCR Rates'!$A$4:$D$38,3),6)</f>
        <v>0.12914300000000001</v>
      </c>
      <c r="K20" s="535">
        <f ca="1">ROUND(VLOOKUP(K12,'2017 FCR Rates'!$A$4:$D$38,3),6)</f>
        <v>0.12914300000000001</v>
      </c>
      <c r="L20" s="535">
        <f ca="1">ROUND(VLOOKUP(L12,'2017 FCR Rates'!$A$4:$D$38,3),6)</f>
        <v>0.12914300000000001</v>
      </c>
      <c r="M20" s="535">
        <f ca="1">ROUND(VLOOKUP(M12,'2017 FCR Rates'!$A$4:$D$38,3),6)</f>
        <v>9.0132000000000004E-2</v>
      </c>
      <c r="N20" s="535">
        <f ca="1">ROUND(VLOOKUP(N12,'2017 FCR Rates'!$A$4:$D$38,3),6)</f>
        <v>9.0132000000000004E-2</v>
      </c>
      <c r="O20" s="535">
        <f ca="1">ROUND(VLOOKUP(O12,'2017 FCR Rates'!$A$4:$D$38,3),6)</f>
        <v>0.12914300000000001</v>
      </c>
      <c r="P20" s="535">
        <f ca="1">ROUND(VLOOKUP(P12,'2017 FCR Rates'!$A$4:$D$38,3),6)</f>
        <v>9.0132000000000004E-2</v>
      </c>
      <c r="Q20" s="535">
        <f ca="1">ROUND(VLOOKUP(Q12,'2017 FCR Rates'!$A$4:$D$38,3),6)</f>
        <v>9.4722000000000001E-2</v>
      </c>
      <c r="R20" s="535">
        <f ca="1">ROUND(VLOOKUP(R12,'2017 FCR Rates'!$A$4:$D$38,3),6)</f>
        <v>9.0132000000000004E-2</v>
      </c>
      <c r="S20" s="535">
        <f ca="1">ROUND(VLOOKUP(S12,'2017 FCR Rates'!$A$4:$D$38,3),6)</f>
        <v>9.0132000000000004E-2</v>
      </c>
      <c r="T20" s="535">
        <f ca="1">ROUND(VLOOKUP(T12,'2017 FCR Rates'!$A$4:$D$38,3),6)</f>
        <v>9.0132000000000004E-2</v>
      </c>
      <c r="U20" s="535">
        <f ca="1">ROUND(VLOOKUP(U12,'2017 FCR Rates'!$A$4:$D$38,3),6)</f>
        <v>8.9573E-2</v>
      </c>
      <c r="V20" s="535">
        <f ca="1">ROUND(VLOOKUP(V12,'2017 FCR Rates'!$A$4:$D$38,3),6)</f>
        <v>0.12914300000000001</v>
      </c>
      <c r="W20" s="535">
        <f ca="1">ROUND(VLOOKUP(W12,'2017 FCR Rates'!$A$4:$D$38,3),6)</f>
        <v>9.2864000000000002E-2</v>
      </c>
      <c r="X20" s="535">
        <f ca="1">ROUND(VLOOKUP(X12,'2017 FCR Rates'!$A$4:$D$38,3),6)</f>
        <v>9.2134999999999995E-2</v>
      </c>
      <c r="Y20" s="535">
        <f ca="1">ROUND(VLOOKUP(Y12,'2017 FCR Rates'!$A$4:$D$38,3),6)</f>
        <v>0.12914300000000001</v>
      </c>
      <c r="Z20" s="535">
        <f ca="1">ROUND(VLOOKUP(Z12,'2017 FCR Rates'!$A$4:$D$38,3),6)</f>
        <v>9.2864000000000002E-2</v>
      </c>
      <c r="AA20" s="536">
        <f ca="1">ROUND(VLOOKUP(AA12,'2017 FCR Rates'!$A$4:$D$38,3),6)</f>
        <v>0.100817</v>
      </c>
      <c r="AB20" s="537">
        <f ca="1">ROUND(VLOOKUP(AB12,'2017 FCR Rates'!$A$4:$D$38,3),6)</f>
        <v>9.2134999999999995E-2</v>
      </c>
      <c r="AC20" s="535">
        <f ca="1">ROUND(VLOOKUP(AC12,'2017 FCR Rates'!$A$4:$D$38,3),6)</f>
        <v>9.2134999999999995E-2</v>
      </c>
      <c r="AD20" s="535">
        <f ca="1">ROUND(VLOOKUP(AD12,'2017 FCR Rates'!$A$4:$D$38,3),6)</f>
        <v>0.109005</v>
      </c>
      <c r="AE20" s="535">
        <f ca="1">ROUND(VLOOKUP(AE12,'2017 FCR Rates'!$A$4:$D$38,3),6)</f>
        <v>9.2134999999999995E-2</v>
      </c>
      <c r="AF20" s="535">
        <f ca="1">ROUND(VLOOKUP(AF12,'2017 FCR Rates'!$A$4:$D$38,3),6)</f>
        <v>0.109005</v>
      </c>
      <c r="AG20" s="535">
        <f ca="1">ROUND(VLOOKUP(AG12,'2017 FCR Rates'!$A$4:$D$38,3),6)</f>
        <v>9.2134999999999995E-2</v>
      </c>
      <c r="AH20" s="535">
        <f ca="1">ROUND(VLOOKUP(AH12,'2017 FCR Rates'!$A$4:$D$38,3),6)</f>
        <v>9.1513999999999998E-2</v>
      </c>
      <c r="AI20" s="535">
        <f ca="1">ROUND(VLOOKUP(AI12,'2017 FCR Rates'!$A$4:$D$38,3),6)</f>
        <v>9.0132000000000004E-2</v>
      </c>
      <c r="AJ20" s="535">
        <f ca="1">ROUND(VLOOKUP(AJ12,'2017 FCR Rates'!$A$4:$D$38,3),6)</f>
        <v>9.0132000000000004E-2</v>
      </c>
      <c r="AK20" s="535">
        <f ca="1">ROUND(VLOOKUP(AK12,'2017 FCR Rates'!$A$4:$D$38,3),6)</f>
        <v>0.12914300000000001</v>
      </c>
      <c r="AL20" s="535">
        <f ca="1">ROUND(VLOOKUP(AL12,'2017 FCR Rates'!$A$4:$D$38,3),6)</f>
        <v>0.109005</v>
      </c>
      <c r="AM20" s="535">
        <f ca="1">ROUND(VLOOKUP(AM12,'2017 FCR Rates'!$A$4:$D$38,3),6)</f>
        <v>0.12914300000000001</v>
      </c>
      <c r="AN20" s="535">
        <f ca="1">ROUND(VLOOKUP(AN12,'2017 FCR Rates'!$A$4:$D$38,3),6)</f>
        <v>0.12914300000000001</v>
      </c>
      <c r="AO20" s="535">
        <f ca="1">ROUND(VLOOKUP(AO12,'2017 FCR Rates'!$A$4:$D$38,3),6)</f>
        <v>9.2134999999999995E-2</v>
      </c>
      <c r="AP20" s="535">
        <f ca="1">ROUND(VLOOKUP(AP12,'2017 FCR Rates'!$A$4:$D$38,3),6)</f>
        <v>0.12914300000000001</v>
      </c>
      <c r="AQ20" s="536">
        <f ca="1">ROUND(VLOOKUP(AQ12,'2017 FCR Rates'!$A$4:$D$38,3),6)</f>
        <v>9.2134999999999995E-2</v>
      </c>
      <c r="AR20" s="538">
        <f ca="1">ROUND(VLOOKUP(AR12,'2017 FCR Rates'!$A$4:$D$38,3),6)</f>
        <v>0.10578</v>
      </c>
      <c r="AS20" s="537">
        <f ca="1">ROUND(VLOOKUP(AS12,'2017 FCR Rates'!$A$4:$D$38,3),6)</f>
        <v>2.098516</v>
      </c>
      <c r="AT20" s="535">
        <f ca="1">ROUND(VLOOKUP(AT12,'2017 FCR Rates'!$A$4:$D$38,3),6)</f>
        <v>2.098516</v>
      </c>
      <c r="AU20" s="535">
        <f ca="1">ROUND(VLOOKUP(AU12,'2017 FCR Rates'!$A$4:$D$38,3),6)</f>
        <v>0.122977</v>
      </c>
      <c r="AV20" s="535">
        <f ca="1">ROUND(VLOOKUP(AV12,'2017 FCR Rates'!$A$4:$D$38,3),6)</f>
        <v>0.109005</v>
      </c>
      <c r="AW20" s="535">
        <f ca="1">ROUND(VLOOKUP(AW12,'2017 FCR Rates'!$A$4:$D$38,3),6)</f>
        <v>9.7278000000000003E-2</v>
      </c>
      <c r="AX20" s="536">
        <f ca="1">ROUND(VLOOKUP(AX12,'2017 FCR Rates'!$A$4:$D$38,3),6)</f>
        <v>9.0132000000000004E-2</v>
      </c>
      <c r="AY20" s="537">
        <f ca="1">ROUND(VLOOKUP(AY12,'2017 FCR Rates'!$A$4:$D$38,3),6)</f>
        <v>2.098516</v>
      </c>
      <c r="AZ20" s="535">
        <f ca="1">ROUND(VLOOKUP(AZ12,'2017 FCR Rates'!$A$4:$D$38,3),6)</f>
        <v>2.098516</v>
      </c>
      <c r="BA20" s="535">
        <f ca="1">ROUND(VLOOKUP(BA12,'2017 FCR Rates'!$A$4:$D$38,3),6)</f>
        <v>2.098516</v>
      </c>
      <c r="BB20" s="535">
        <f ca="1">ROUND(VLOOKUP(BB12,'2017 FCR Rates'!$A$4:$D$38,3),6)</f>
        <v>2.098516</v>
      </c>
      <c r="BC20" s="535">
        <f ca="1">ROUND(VLOOKUP(BC12,'2017 FCR Rates'!$A$4:$D$38,3),6)</f>
        <v>0.28927199999999997</v>
      </c>
      <c r="BD20" s="535">
        <f ca="1">ROUND(VLOOKUP(BD12,'2017 FCR Rates'!$A$4:$D$38,3),6)</f>
        <v>0.187246</v>
      </c>
      <c r="BE20" s="535">
        <f ca="1">ROUND(VLOOKUP(BE12,'2017 FCR Rates'!$A$4:$D$38,3),6)</f>
        <v>0.169794</v>
      </c>
      <c r="BF20" s="535">
        <f ca="1">ROUND(VLOOKUP(BF12,'2017 FCR Rates'!$A$4:$D$38,3),6)</f>
        <v>0.156198</v>
      </c>
      <c r="BG20" s="535">
        <f ca="1">ROUND(VLOOKUP(BG12,'2017 FCR Rates'!$A$4:$D$38,3),6)</f>
        <v>2.098516</v>
      </c>
      <c r="BH20" s="535">
        <f ca="1">ROUND(VLOOKUP(BH12,'2017 FCR Rates'!$A$4:$D$38,3),6)</f>
        <v>0.50022800000000001</v>
      </c>
      <c r="BI20" s="535">
        <f ca="1">ROUND(VLOOKUP(BI12,'2017 FCR Rates'!$A$4:$D$38,3),6)</f>
        <v>0.28927199999999997</v>
      </c>
      <c r="BJ20" s="535">
        <f ca="1">ROUND(VLOOKUP(BJ12,'2017 FCR Rates'!$A$4:$D$38,3),6)</f>
        <v>0.187246</v>
      </c>
      <c r="BK20" s="535">
        <f ca="1">ROUND(VLOOKUP(BK12,'2017 FCR Rates'!$A$4:$D$38,3),6)</f>
        <v>9.8902000000000004E-2</v>
      </c>
      <c r="BL20" s="535">
        <f ca="1">ROUND(VLOOKUP(BL12,'2017 FCR Rates'!$A$4:$D$38,3),6)</f>
        <v>9.0976000000000001E-2</v>
      </c>
      <c r="BM20" s="535">
        <f ca="1">ROUND(VLOOKUP(BM12,'2017 FCR Rates'!$A$4:$D$38,3),6)</f>
        <v>9.0132000000000004E-2</v>
      </c>
      <c r="BN20" s="535">
        <f ca="1">ROUND(VLOOKUP(BN12,'2017 FCR Rates'!$A$4:$D$38,3),6)</f>
        <v>8.9394000000000001E-2</v>
      </c>
      <c r="BO20" s="535">
        <f ca="1">ROUND(VLOOKUP(BO12,'2017 FCR Rates'!$A$4:$D$38,3),6)</f>
        <v>2.098516</v>
      </c>
      <c r="BP20" s="535">
        <f ca="1">ROUND(VLOOKUP(BP12,'2017 FCR Rates'!$A$4:$D$38,3),6)</f>
        <v>0.156198</v>
      </c>
      <c r="BQ20" s="536">
        <f ca="1">ROUND(VLOOKUP(BQ12,'2017 FCR Rates'!$A$4:$D$38,3),6)</f>
        <v>9.1513999999999998E-2</v>
      </c>
      <c r="BR20" s="537">
        <f ca="1">ROUND(VLOOKUP(BR12,'2017 FCR Rates'!$A$4:$D$38,3),6)</f>
        <v>2.098516</v>
      </c>
      <c r="BS20" s="535">
        <f ca="1">ROUND(VLOOKUP(BS12,'2017 FCR Rates'!$A$4:$D$38,3),6)</f>
        <v>2.098516</v>
      </c>
      <c r="BT20" s="535">
        <f ca="1">ROUND(VLOOKUP(BT12,'2017 FCR Rates'!$A$4:$D$38,3),6)</f>
        <v>2.098516</v>
      </c>
      <c r="BU20" s="535">
        <f ca="1">ROUND(VLOOKUP(BU12,'2017 FCR Rates'!$A$4:$D$38,3),6)</f>
        <v>0.12914300000000001</v>
      </c>
      <c r="BV20" s="536">
        <f ca="1">ROUND(VLOOKUP(BV12,'2017 FCR Rates'!$A$4:$D$38,3),6)</f>
        <v>9.5897999999999997E-2</v>
      </c>
      <c r="BW20" s="537">
        <f ca="1">ROUND(VLOOKUP(BW12,'2017 FCR Rates'!$A$4:$D$38,3),6)</f>
        <v>0.169794</v>
      </c>
      <c r="BX20" s="535">
        <f ca="1">ROUND(VLOOKUP(BX12,'2017 FCR Rates'!$A$4:$D$38,3),6)</f>
        <v>0.156198</v>
      </c>
      <c r="BY20" s="535">
        <f ca="1">ROUND(VLOOKUP(BY12,'2017 FCR Rates'!$A$4:$D$38,3),6)</f>
        <v>0.14533599999999999</v>
      </c>
      <c r="BZ20" s="536">
        <f ca="1">ROUND(VLOOKUP(BZ12,'2017 FCR Rates'!$A$4:$D$38,3),6)</f>
        <v>0.103084</v>
      </c>
      <c r="CA20" s="537">
        <f ca="1">ROUND(VLOOKUP(CA12,'2017 FCR Rates'!$A$4:$D$38,3),6)</f>
        <v>0.36405199999999999</v>
      </c>
      <c r="CB20" s="536">
        <f ca="1">ROUND(VLOOKUP(CB12,'2017 FCR Rates'!$A$4:$D$38,3),6)</f>
        <v>9.0132000000000004E-2</v>
      </c>
      <c r="CC20" s="537">
        <f ca="1">ROUND(VLOOKUP(CC12,'2017 FCR Rates'!$A$4:$D$38,3),6)</f>
        <v>9.8902000000000004E-2</v>
      </c>
      <c r="CD20" s="535">
        <f ca="1">ROUND(VLOOKUP(CD12,'2017 FCR Rates'!$A$4:$D$38,3),6)</f>
        <v>9.2134999999999995E-2</v>
      </c>
      <c r="CE20" s="535">
        <f ca="1">ROUND(VLOOKUP(CE12,'2017 FCR Rates'!$A$4:$D$38,3),6)</f>
        <v>9.0132000000000004E-2</v>
      </c>
      <c r="CF20" s="535">
        <f ca="1">ROUND(VLOOKUP(CF12,'2017 FCR Rates'!$A$4:$D$38,3),6)</f>
        <v>9.8902000000000004E-2</v>
      </c>
      <c r="CG20" s="535">
        <f ca="1">ROUND(VLOOKUP(CG12,'2017 FCR Rates'!$A$4:$D$38,3),6)</f>
        <v>9.7278000000000003E-2</v>
      </c>
      <c r="CH20" s="535">
        <f ca="1">ROUND(VLOOKUP(CH12,'2017 FCR Rates'!$A$4:$D$38,3),6)</f>
        <v>9.2134999999999995E-2</v>
      </c>
      <c r="CI20" s="535">
        <f ca="1">ROUND(VLOOKUP(CI12,'2017 FCR Rates'!$A$4:$D$38,3),6)</f>
        <v>9.1513999999999998E-2</v>
      </c>
      <c r="CJ20" s="535">
        <f ca="1">ROUND(VLOOKUP(CJ12,'2017 FCR Rates'!$A$4:$D$38,3),6)</f>
        <v>0.50022800000000001</v>
      </c>
      <c r="CK20" s="535">
        <f ca="1">ROUND(VLOOKUP(CK12,'2017 FCR Rates'!$A$4:$D$38,3),6)</f>
        <v>9.2134999999999995E-2</v>
      </c>
      <c r="CL20" s="535">
        <f ca="1">ROUND(VLOOKUP(CL12,'2017 FCR Rates'!$A$4:$D$38,3),6)</f>
        <v>9.1513999999999998E-2</v>
      </c>
      <c r="CM20" s="536">
        <f ca="1">ROUND(VLOOKUP(CM12,'2017 FCR Rates'!$A$4:$D$38,3),6)</f>
        <v>9.0132000000000004E-2</v>
      </c>
      <c r="CN20" s="537">
        <f ca="1">ROUND(VLOOKUP(CN12,'2017 FCR Rates'!$A$4:$D$38,3),6)</f>
        <v>2.098516</v>
      </c>
      <c r="CO20" s="535">
        <f ca="1">ROUND(VLOOKUP(CO12,'2017 FCR Rates'!$A$4:$D$38,3),6)</f>
        <v>0.50022800000000001</v>
      </c>
      <c r="CP20" s="535">
        <f ca="1">ROUND(VLOOKUP(CP12,'2017 FCR Rates'!$A$4:$D$38,3),6)</f>
        <v>0.21038100000000001</v>
      </c>
      <c r="CQ20" s="535">
        <f ca="1">ROUND(VLOOKUP(CQ12,'2017 FCR Rates'!$A$4:$D$38,3),6)</f>
        <v>0.169794</v>
      </c>
      <c r="CR20" s="536">
        <f ca="1">ROUND(VLOOKUP(CR12,'2017 FCR Rates'!$A$4:$D$38,3),6)</f>
        <v>8.9573E-2</v>
      </c>
      <c r="CS20" s="537">
        <f ca="1">ROUND(VLOOKUP(CS12,'2017 FCR Rates'!$A$4:$D$38,3),6)</f>
        <v>2.098516</v>
      </c>
      <c r="CT20" s="535">
        <f ca="1">ROUND(VLOOKUP(CT12,'2017 FCR Rates'!$A$4:$D$38,3),6)</f>
        <v>2.098516</v>
      </c>
      <c r="CU20" s="535">
        <f ca="1">ROUND(VLOOKUP(CU12,'2017 FCR Rates'!$A$4:$D$38,3),6)</f>
        <v>0.187246</v>
      </c>
      <c r="CV20" s="535">
        <f ca="1">ROUND(VLOOKUP(CV12,'2017 FCR Rates'!$A$4:$D$38,3),6)</f>
        <v>0.169794</v>
      </c>
      <c r="CW20" s="535">
        <f ca="1">ROUND(VLOOKUP(CW12,'2017 FCR Rates'!$A$4:$D$38,3),6)</f>
        <v>0.14533599999999999</v>
      </c>
      <c r="CX20" s="535">
        <f ca="1">ROUND(VLOOKUP(CX12,'2017 FCR Rates'!$A$4:$D$38,3),6)</f>
        <v>0.13648199999999999</v>
      </c>
      <c r="CY20" s="535">
        <f ca="1">ROUND(VLOOKUP(CY12,'2017 FCR Rates'!$A$4:$D$38,3),6)</f>
        <v>9.8902000000000004E-2</v>
      </c>
      <c r="CZ20" s="535">
        <f ca="1">ROUND(VLOOKUP(CZ12,'2017 FCR Rates'!$A$4:$D$38,3),6)</f>
        <v>8.9573E-2</v>
      </c>
      <c r="DA20" s="535">
        <f ca="1">ROUND(VLOOKUP(DA12,'2017 FCR Rates'!$A$4:$D$38,3),6)</f>
        <v>2.098516</v>
      </c>
      <c r="DB20" s="535">
        <f ca="1">ROUND(VLOOKUP(DB12,'2017 FCR Rates'!$A$4:$D$38,3),6)</f>
        <v>0.81520700000000001</v>
      </c>
      <c r="DC20" s="535">
        <f ca="1">ROUND(VLOOKUP(DC12,'2017 FCR Rates'!$A$4:$D$38,3),6)</f>
        <v>0.50022800000000001</v>
      </c>
      <c r="DD20" s="535">
        <f ca="1">ROUND(VLOOKUP(DD12,'2017 FCR Rates'!$A$4:$D$38,3),6)</f>
        <v>0.169794</v>
      </c>
      <c r="DE20" s="535">
        <f ca="1">ROUND(VLOOKUP(DE12,'2017 FCR Rates'!$A$4:$D$38,3),6)</f>
        <v>0.12914300000000001</v>
      </c>
      <c r="DF20" s="535">
        <f ca="1">ROUND(VLOOKUP(DF12,'2017 FCR Rates'!$A$4:$D$38,3),6)</f>
        <v>0.10578</v>
      </c>
      <c r="DG20" s="535">
        <f ca="1">ROUND(VLOOKUP(DG12,'2017 FCR Rates'!$A$4:$D$38,3),6)</f>
        <v>9.7278000000000003E-2</v>
      </c>
      <c r="DH20" s="535">
        <f ca="1">ROUND(VLOOKUP(DH12,'2017 FCR Rates'!$A$4:$D$38,3),6)</f>
        <v>9.3718999999999997E-2</v>
      </c>
      <c r="DI20" s="536">
        <f ca="1">ROUND(VLOOKUP(DI12,'2017 FCR Rates'!$A$4:$D$38,3),6)</f>
        <v>9.0132000000000004E-2</v>
      </c>
      <c r="DJ20" s="537">
        <f ca="1">ROUND(VLOOKUP(DJ12,'2017 FCR Rates'!$A$4:$D$38,3),6)</f>
        <v>2.098516</v>
      </c>
      <c r="DK20" s="535">
        <f ca="1">ROUND(VLOOKUP(DK12,'2017 FCR Rates'!$A$4:$D$38,3),6)</f>
        <v>2.098516</v>
      </c>
      <c r="DL20" s="535">
        <f ca="1">ROUND(VLOOKUP(DL12,'2017 FCR Rates'!$A$4:$D$38,3),6)</f>
        <v>0.24237600000000001</v>
      </c>
      <c r="DM20" s="535">
        <f ca="1">ROUND(VLOOKUP(DM12,'2017 FCR Rates'!$A$4:$D$38,3),6)</f>
        <v>0.169794</v>
      </c>
      <c r="DN20" s="535">
        <f ca="1">ROUND(VLOOKUP(DN12,'2017 FCR Rates'!$A$4:$D$38,3),6)</f>
        <v>0.169794</v>
      </c>
      <c r="DO20" s="535">
        <f ca="1">ROUND(VLOOKUP(DO12,'2017 FCR Rates'!$A$4:$D$38,3),6)</f>
        <v>9.7278000000000003E-2</v>
      </c>
      <c r="DP20" s="535">
        <f ca="1">ROUND(VLOOKUP(DP12,'2017 FCR Rates'!$A$4:$D$38,3),6)</f>
        <v>8.9394000000000001E-2</v>
      </c>
      <c r="DQ20" s="535">
        <f ca="1">ROUND(VLOOKUP(DQ12,'2017 FCR Rates'!$A$4:$D$38,3),6)</f>
        <v>0.24237600000000001</v>
      </c>
      <c r="DR20" s="535">
        <f ca="1">ROUND(VLOOKUP(DR12,'2017 FCR Rates'!$A$4:$D$38,3),6)</f>
        <v>0.12914300000000001</v>
      </c>
      <c r="DS20" s="535">
        <f ca="1">ROUND(VLOOKUP(DS12,'2017 FCR Rates'!$A$4:$D$38,3),6)</f>
        <v>0.12914300000000001</v>
      </c>
      <c r="DT20" s="536">
        <f ca="1">ROUND(VLOOKUP(DT12,'2017 FCR Rates'!$A$4:$D$38,3),6)</f>
        <v>9.0132000000000004E-2</v>
      </c>
      <c r="DU20" s="537"/>
      <c r="DV20" s="535"/>
      <c r="DW20" s="535"/>
      <c r="DX20" s="535"/>
      <c r="DY20" s="535"/>
      <c r="DZ20" s="535"/>
      <c r="EA20" s="535"/>
      <c r="EB20" s="535"/>
      <c r="EC20" s="535"/>
      <c r="ED20" s="535"/>
      <c r="EE20" s="535"/>
      <c r="EF20" s="535"/>
      <c r="EG20" s="535"/>
      <c r="EH20" s="535"/>
      <c r="EI20" s="535"/>
      <c r="EJ20" s="535"/>
      <c r="EK20" s="535"/>
      <c r="EL20" s="535"/>
      <c r="EM20" s="535"/>
      <c r="EN20" s="536"/>
      <c r="EO20" s="537"/>
      <c r="EP20" s="535"/>
      <c r="EQ20" s="535"/>
      <c r="ER20" s="535"/>
      <c r="ES20" s="535"/>
      <c r="ET20" s="535"/>
      <c r="EU20" s="535"/>
      <c r="EV20" s="535"/>
      <c r="EW20" s="535"/>
      <c r="EX20" s="535"/>
      <c r="EY20" s="535"/>
      <c r="EZ20" s="535"/>
      <c r="FA20" s="535"/>
      <c r="FB20" s="539"/>
    </row>
    <row r="21" spans="1:158" x14ac:dyDescent="0.25">
      <c r="A21" s="397">
        <f t="shared" si="1"/>
        <v>15</v>
      </c>
      <c r="B21" s="87" t="s">
        <v>293</v>
      </c>
      <c r="D21" s="540">
        <f ca="1">ROUND('Sch 40 Feeder OH 2017'!E29,4)</f>
        <v>0.2185</v>
      </c>
      <c r="E21" s="51">
        <f ca="1">+$D$21</f>
        <v>0.2185</v>
      </c>
      <c r="F21" s="51">
        <f t="shared" ref="F21:CT21" ca="1" si="110">+$D$21</f>
        <v>0.2185</v>
      </c>
      <c r="G21" s="51">
        <f t="shared" ca="1" si="110"/>
        <v>0.2185</v>
      </c>
      <c r="H21" s="51">
        <f t="shared" ca="1" si="110"/>
        <v>0.2185</v>
      </c>
      <c r="I21" s="51">
        <f t="shared" ca="1" si="110"/>
        <v>0.2185</v>
      </c>
      <c r="J21" s="51">
        <f t="shared" ca="1" si="110"/>
        <v>0.2185</v>
      </c>
      <c r="K21" s="51">
        <f t="shared" ca="1" si="110"/>
        <v>0.2185</v>
      </c>
      <c r="L21" s="51">
        <f t="shared" ca="1" si="110"/>
        <v>0.2185</v>
      </c>
      <c r="M21" s="51">
        <f t="shared" ca="1" si="110"/>
        <v>0.2185</v>
      </c>
      <c r="N21" s="51">
        <f t="shared" ca="1" si="110"/>
        <v>0.2185</v>
      </c>
      <c r="O21" s="51">
        <f t="shared" ca="1" si="110"/>
        <v>0.2185</v>
      </c>
      <c r="P21" s="51">
        <f t="shared" ca="1" si="110"/>
        <v>0.2185</v>
      </c>
      <c r="Q21" s="51">
        <f t="shared" ca="1" si="110"/>
        <v>0.2185</v>
      </c>
      <c r="R21" s="51">
        <f t="shared" ca="1" si="110"/>
        <v>0.2185</v>
      </c>
      <c r="S21" s="51">
        <f t="shared" ca="1" si="110"/>
        <v>0.2185</v>
      </c>
      <c r="T21" s="51">
        <f t="shared" ca="1" si="110"/>
        <v>0.2185</v>
      </c>
      <c r="U21" s="51">
        <f t="shared" ca="1" si="110"/>
        <v>0.2185</v>
      </c>
      <c r="V21" s="51">
        <f t="shared" ca="1" si="110"/>
        <v>0.2185</v>
      </c>
      <c r="W21" s="51">
        <f t="shared" ca="1" si="110"/>
        <v>0.2185</v>
      </c>
      <c r="X21" s="51">
        <f t="shared" ca="1" si="110"/>
        <v>0.2185</v>
      </c>
      <c r="Y21" s="51">
        <f t="shared" ca="1" si="110"/>
        <v>0.2185</v>
      </c>
      <c r="Z21" s="51">
        <f t="shared" ca="1" si="110"/>
        <v>0.2185</v>
      </c>
      <c r="AA21" s="524">
        <f t="shared" ca="1" si="110"/>
        <v>0.2185</v>
      </c>
      <c r="AB21" s="540">
        <f t="shared" ca="1" si="110"/>
        <v>0.2185</v>
      </c>
      <c r="AC21" s="51">
        <f t="shared" ca="1" si="110"/>
        <v>0.2185</v>
      </c>
      <c r="AD21" s="51">
        <f t="shared" ca="1" si="110"/>
        <v>0.2185</v>
      </c>
      <c r="AE21" s="51">
        <f t="shared" ca="1" si="110"/>
        <v>0.2185</v>
      </c>
      <c r="AF21" s="51">
        <f t="shared" ca="1" si="110"/>
        <v>0.2185</v>
      </c>
      <c r="AG21" s="51">
        <f t="shared" ca="1" si="110"/>
        <v>0.2185</v>
      </c>
      <c r="AH21" s="51">
        <f t="shared" ca="1" si="110"/>
        <v>0.2185</v>
      </c>
      <c r="AI21" s="51">
        <f t="shared" ca="1" si="110"/>
        <v>0.2185</v>
      </c>
      <c r="AJ21" s="51">
        <f t="shared" ca="1" si="110"/>
        <v>0.2185</v>
      </c>
      <c r="AK21" s="51">
        <f t="shared" ca="1" si="110"/>
        <v>0.2185</v>
      </c>
      <c r="AL21" s="51">
        <f t="shared" ca="1" si="110"/>
        <v>0.2185</v>
      </c>
      <c r="AM21" s="51">
        <f t="shared" ca="1" si="110"/>
        <v>0.2185</v>
      </c>
      <c r="AN21" s="51">
        <f t="shared" ca="1" si="110"/>
        <v>0.2185</v>
      </c>
      <c r="AO21" s="51">
        <f t="shared" ca="1" si="110"/>
        <v>0.2185</v>
      </c>
      <c r="AP21" s="51">
        <f t="shared" ca="1" si="110"/>
        <v>0.2185</v>
      </c>
      <c r="AQ21" s="524">
        <f t="shared" ca="1" si="110"/>
        <v>0.2185</v>
      </c>
      <c r="AR21" s="541">
        <f t="shared" ca="1" si="110"/>
        <v>0.2185</v>
      </c>
      <c r="AS21" s="540">
        <f t="shared" ca="1" si="110"/>
        <v>0.2185</v>
      </c>
      <c r="AT21" s="51">
        <f t="shared" ca="1" si="110"/>
        <v>0.2185</v>
      </c>
      <c r="AU21" s="51">
        <f t="shared" ca="1" si="110"/>
        <v>0.2185</v>
      </c>
      <c r="AV21" s="51">
        <f t="shared" ca="1" si="110"/>
        <v>0.2185</v>
      </c>
      <c r="AW21" s="51">
        <f t="shared" ca="1" si="110"/>
        <v>0.2185</v>
      </c>
      <c r="AX21" s="524">
        <f t="shared" ca="1" si="110"/>
        <v>0.2185</v>
      </c>
      <c r="AY21" s="540">
        <f t="shared" ca="1" si="110"/>
        <v>0.2185</v>
      </c>
      <c r="AZ21" s="51">
        <f t="shared" ca="1" si="110"/>
        <v>0.2185</v>
      </c>
      <c r="BA21" s="51">
        <f t="shared" ca="1" si="110"/>
        <v>0.2185</v>
      </c>
      <c r="BB21" s="51">
        <f t="shared" ca="1" si="110"/>
        <v>0.2185</v>
      </c>
      <c r="BC21" s="51">
        <f t="shared" ca="1" si="110"/>
        <v>0.2185</v>
      </c>
      <c r="BD21" s="51">
        <f t="shared" ca="1" si="110"/>
        <v>0.2185</v>
      </c>
      <c r="BE21" s="51">
        <f t="shared" ca="1" si="110"/>
        <v>0.2185</v>
      </c>
      <c r="BF21" s="51">
        <f t="shared" ca="1" si="110"/>
        <v>0.2185</v>
      </c>
      <c r="BG21" s="51">
        <f t="shared" ca="1" si="110"/>
        <v>0.2185</v>
      </c>
      <c r="BH21" s="51">
        <f t="shared" ca="1" si="110"/>
        <v>0.2185</v>
      </c>
      <c r="BI21" s="51">
        <f t="shared" ca="1" si="110"/>
        <v>0.2185</v>
      </c>
      <c r="BJ21" s="51">
        <f t="shared" ca="1" si="110"/>
        <v>0.2185</v>
      </c>
      <c r="BK21" s="51">
        <f t="shared" ca="1" si="110"/>
        <v>0.2185</v>
      </c>
      <c r="BL21" s="51">
        <f t="shared" ca="1" si="110"/>
        <v>0.2185</v>
      </c>
      <c r="BM21" s="51">
        <f t="shared" ca="1" si="110"/>
        <v>0.2185</v>
      </c>
      <c r="BN21" s="51">
        <f t="shared" ca="1" si="110"/>
        <v>0.2185</v>
      </c>
      <c r="BO21" s="51">
        <f t="shared" ca="1" si="110"/>
        <v>0.2185</v>
      </c>
      <c r="BP21" s="51">
        <f t="shared" ca="1" si="110"/>
        <v>0.2185</v>
      </c>
      <c r="BQ21" s="524">
        <f t="shared" ca="1" si="110"/>
        <v>0.2185</v>
      </c>
      <c r="BR21" s="540">
        <f t="shared" ca="1" si="110"/>
        <v>0.2185</v>
      </c>
      <c r="BS21" s="51">
        <f t="shared" ca="1" si="110"/>
        <v>0.2185</v>
      </c>
      <c r="BT21" s="51">
        <f t="shared" ca="1" si="110"/>
        <v>0.2185</v>
      </c>
      <c r="BU21" s="51">
        <f t="shared" ca="1" si="110"/>
        <v>0.2185</v>
      </c>
      <c r="BV21" s="524">
        <f t="shared" ca="1" si="110"/>
        <v>0.2185</v>
      </c>
      <c r="BW21" s="540">
        <f t="shared" ca="1" si="110"/>
        <v>0.2185</v>
      </c>
      <c r="BX21" s="51">
        <f t="shared" ca="1" si="110"/>
        <v>0.2185</v>
      </c>
      <c r="BY21" s="51">
        <f t="shared" ca="1" si="110"/>
        <v>0.2185</v>
      </c>
      <c r="BZ21" s="524">
        <f t="shared" ca="1" si="110"/>
        <v>0.2185</v>
      </c>
      <c r="CA21" s="540">
        <f t="shared" ca="1" si="110"/>
        <v>0.2185</v>
      </c>
      <c r="CB21" s="524">
        <f t="shared" ca="1" si="110"/>
        <v>0.2185</v>
      </c>
      <c r="CC21" s="540">
        <f t="shared" ca="1" si="110"/>
        <v>0.2185</v>
      </c>
      <c r="CD21" s="51">
        <f t="shared" ca="1" si="110"/>
        <v>0.2185</v>
      </c>
      <c r="CE21" s="51">
        <f t="shared" ca="1" si="110"/>
        <v>0.2185</v>
      </c>
      <c r="CF21" s="51">
        <f t="shared" ca="1" si="110"/>
        <v>0.2185</v>
      </c>
      <c r="CG21" s="51">
        <f t="shared" ca="1" si="110"/>
        <v>0.2185</v>
      </c>
      <c r="CH21" s="51">
        <f t="shared" ca="1" si="110"/>
        <v>0.2185</v>
      </c>
      <c r="CI21" s="51">
        <f t="shared" ca="1" si="110"/>
        <v>0.2185</v>
      </c>
      <c r="CJ21" s="51">
        <f t="shared" ca="1" si="110"/>
        <v>0.2185</v>
      </c>
      <c r="CK21" s="51">
        <f t="shared" ca="1" si="110"/>
        <v>0.2185</v>
      </c>
      <c r="CL21" s="51">
        <f t="shared" ca="1" si="110"/>
        <v>0.2185</v>
      </c>
      <c r="CM21" s="524">
        <f t="shared" ca="1" si="110"/>
        <v>0.2185</v>
      </c>
      <c r="CN21" s="540">
        <f t="shared" ca="1" si="110"/>
        <v>0.2185</v>
      </c>
      <c r="CO21" s="51">
        <f t="shared" ca="1" si="110"/>
        <v>0.2185</v>
      </c>
      <c r="CP21" s="51">
        <f t="shared" ca="1" si="110"/>
        <v>0.2185</v>
      </c>
      <c r="CQ21" s="51">
        <f t="shared" ca="1" si="110"/>
        <v>0.2185</v>
      </c>
      <c r="CR21" s="524">
        <f t="shared" ca="1" si="110"/>
        <v>0.2185</v>
      </c>
      <c r="CS21" s="540">
        <f t="shared" ca="1" si="110"/>
        <v>0.2185</v>
      </c>
      <c r="CT21" s="51">
        <f t="shared" ca="1" si="110"/>
        <v>0.2185</v>
      </c>
      <c r="CU21" s="51">
        <f t="shared" ref="CU21:DH21" ca="1" si="111">+$D$21</f>
        <v>0.2185</v>
      </c>
      <c r="CV21" s="51">
        <f t="shared" ca="1" si="111"/>
        <v>0.2185</v>
      </c>
      <c r="CW21" s="51">
        <f t="shared" ca="1" si="111"/>
        <v>0.2185</v>
      </c>
      <c r="CX21" s="51">
        <f t="shared" ca="1" si="111"/>
        <v>0.2185</v>
      </c>
      <c r="CY21" s="51">
        <f t="shared" ca="1" si="111"/>
        <v>0.2185</v>
      </c>
      <c r="CZ21" s="51">
        <f t="shared" ca="1" si="111"/>
        <v>0.2185</v>
      </c>
      <c r="DA21" s="51">
        <f t="shared" ca="1" si="111"/>
        <v>0.2185</v>
      </c>
      <c r="DB21" s="51">
        <f t="shared" ca="1" si="111"/>
        <v>0.2185</v>
      </c>
      <c r="DC21" s="51">
        <f t="shared" ca="1" si="111"/>
        <v>0.2185</v>
      </c>
      <c r="DD21" s="51">
        <f t="shared" ca="1" si="111"/>
        <v>0.2185</v>
      </c>
      <c r="DE21" s="51">
        <f t="shared" ca="1" si="111"/>
        <v>0.2185</v>
      </c>
      <c r="DF21" s="51">
        <f t="shared" ca="1" si="111"/>
        <v>0.2185</v>
      </c>
      <c r="DG21" s="51">
        <f t="shared" ca="1" si="111"/>
        <v>0.2185</v>
      </c>
      <c r="DH21" s="51">
        <f t="shared" ca="1" si="111"/>
        <v>0.2185</v>
      </c>
      <c r="DI21" s="524">
        <f t="shared" ref="DI21:DT21" ca="1" si="112">+$D$21</f>
        <v>0.2185</v>
      </c>
      <c r="DJ21" s="540">
        <f t="shared" ca="1" si="112"/>
        <v>0.2185</v>
      </c>
      <c r="DK21" s="51">
        <f t="shared" ca="1" si="112"/>
        <v>0.2185</v>
      </c>
      <c r="DL21" s="51">
        <f t="shared" ca="1" si="112"/>
        <v>0.2185</v>
      </c>
      <c r="DM21" s="51">
        <f t="shared" ca="1" si="112"/>
        <v>0.2185</v>
      </c>
      <c r="DN21" s="51">
        <f t="shared" ca="1" si="112"/>
        <v>0.2185</v>
      </c>
      <c r="DO21" s="51">
        <f t="shared" ca="1" si="112"/>
        <v>0.2185</v>
      </c>
      <c r="DP21" s="51">
        <f t="shared" ca="1" si="112"/>
        <v>0.2185</v>
      </c>
      <c r="DQ21" s="51">
        <f t="shared" ca="1" si="112"/>
        <v>0.2185</v>
      </c>
      <c r="DR21" s="51">
        <f t="shared" ca="1" si="112"/>
        <v>0.2185</v>
      </c>
      <c r="DS21" s="51">
        <f t="shared" ca="1" si="112"/>
        <v>0.2185</v>
      </c>
      <c r="DT21" s="524">
        <f t="shared" ca="1" si="112"/>
        <v>0.2185</v>
      </c>
      <c r="DU21" s="540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24"/>
      <c r="EO21" s="540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25"/>
    </row>
    <row r="22" spans="1:158" x14ac:dyDescent="0.25">
      <c r="A22" s="397">
        <f t="shared" si="1"/>
        <v>16</v>
      </c>
      <c r="B22" s="87" t="s">
        <v>294</v>
      </c>
      <c r="D22" s="540">
        <f ca="1">ROUND('Sch 40 Feeder OH 2017'!G29,4)</f>
        <v>4.7399999999999998E-2</v>
      </c>
      <c r="E22" s="51">
        <f ca="1">+$D$22</f>
        <v>4.7399999999999998E-2</v>
      </c>
      <c r="F22" s="51">
        <f t="shared" ref="F22:BR22" ca="1" si="113">+$D$22</f>
        <v>4.7399999999999998E-2</v>
      </c>
      <c r="G22" s="51">
        <f t="shared" ca="1" si="113"/>
        <v>4.7399999999999998E-2</v>
      </c>
      <c r="H22" s="51">
        <f t="shared" ca="1" si="113"/>
        <v>4.7399999999999998E-2</v>
      </c>
      <c r="I22" s="51">
        <f t="shared" ca="1" si="113"/>
        <v>4.7399999999999998E-2</v>
      </c>
      <c r="J22" s="51">
        <f t="shared" ca="1" si="113"/>
        <v>4.7399999999999998E-2</v>
      </c>
      <c r="K22" s="51">
        <f t="shared" ca="1" si="113"/>
        <v>4.7399999999999998E-2</v>
      </c>
      <c r="L22" s="51">
        <f t="shared" ca="1" si="113"/>
        <v>4.7399999999999998E-2</v>
      </c>
      <c r="M22" s="51">
        <f t="shared" ca="1" si="113"/>
        <v>4.7399999999999998E-2</v>
      </c>
      <c r="N22" s="51">
        <f t="shared" ca="1" si="113"/>
        <v>4.7399999999999998E-2</v>
      </c>
      <c r="O22" s="51">
        <f t="shared" ca="1" si="113"/>
        <v>4.7399999999999998E-2</v>
      </c>
      <c r="P22" s="51">
        <f t="shared" ca="1" si="113"/>
        <v>4.7399999999999998E-2</v>
      </c>
      <c r="Q22" s="51">
        <f t="shared" ca="1" si="113"/>
        <v>4.7399999999999998E-2</v>
      </c>
      <c r="R22" s="51">
        <f t="shared" ca="1" si="113"/>
        <v>4.7399999999999998E-2</v>
      </c>
      <c r="S22" s="51">
        <f t="shared" ca="1" si="113"/>
        <v>4.7399999999999998E-2</v>
      </c>
      <c r="T22" s="51">
        <f t="shared" ca="1" si="113"/>
        <v>4.7399999999999998E-2</v>
      </c>
      <c r="U22" s="51">
        <f t="shared" ca="1" si="113"/>
        <v>4.7399999999999998E-2</v>
      </c>
      <c r="V22" s="51">
        <f t="shared" ca="1" si="113"/>
        <v>4.7399999999999998E-2</v>
      </c>
      <c r="W22" s="51">
        <f t="shared" ca="1" si="113"/>
        <v>4.7399999999999998E-2</v>
      </c>
      <c r="X22" s="51">
        <f t="shared" ca="1" si="113"/>
        <v>4.7399999999999998E-2</v>
      </c>
      <c r="Y22" s="51">
        <f t="shared" ca="1" si="113"/>
        <v>4.7399999999999998E-2</v>
      </c>
      <c r="Z22" s="51">
        <f t="shared" ca="1" si="113"/>
        <v>4.7399999999999998E-2</v>
      </c>
      <c r="AA22" s="524">
        <f t="shared" ca="1" si="113"/>
        <v>4.7399999999999998E-2</v>
      </c>
      <c r="AB22" s="540">
        <f t="shared" ca="1" si="113"/>
        <v>4.7399999999999998E-2</v>
      </c>
      <c r="AC22" s="51">
        <f t="shared" ca="1" si="113"/>
        <v>4.7399999999999998E-2</v>
      </c>
      <c r="AD22" s="51">
        <f t="shared" ca="1" si="113"/>
        <v>4.7399999999999998E-2</v>
      </c>
      <c r="AE22" s="51">
        <f t="shared" ca="1" si="113"/>
        <v>4.7399999999999998E-2</v>
      </c>
      <c r="AF22" s="51">
        <f t="shared" ca="1" si="113"/>
        <v>4.7399999999999998E-2</v>
      </c>
      <c r="AG22" s="51">
        <f t="shared" ca="1" si="113"/>
        <v>4.7399999999999998E-2</v>
      </c>
      <c r="AH22" s="51">
        <f t="shared" ca="1" si="113"/>
        <v>4.7399999999999998E-2</v>
      </c>
      <c r="AI22" s="51">
        <f t="shared" ca="1" si="113"/>
        <v>4.7399999999999998E-2</v>
      </c>
      <c r="AJ22" s="51">
        <f t="shared" ca="1" si="113"/>
        <v>4.7399999999999998E-2</v>
      </c>
      <c r="AK22" s="51">
        <f t="shared" ca="1" si="113"/>
        <v>4.7399999999999998E-2</v>
      </c>
      <c r="AL22" s="51">
        <f t="shared" ca="1" si="113"/>
        <v>4.7399999999999998E-2</v>
      </c>
      <c r="AM22" s="51">
        <f t="shared" ca="1" si="113"/>
        <v>4.7399999999999998E-2</v>
      </c>
      <c r="AN22" s="51">
        <f t="shared" ca="1" si="113"/>
        <v>4.7399999999999998E-2</v>
      </c>
      <c r="AO22" s="51">
        <f t="shared" ca="1" si="113"/>
        <v>4.7399999999999998E-2</v>
      </c>
      <c r="AP22" s="51">
        <f t="shared" ca="1" si="113"/>
        <v>4.7399999999999998E-2</v>
      </c>
      <c r="AQ22" s="524">
        <f t="shared" ca="1" si="113"/>
        <v>4.7399999999999998E-2</v>
      </c>
      <c r="AR22" s="541">
        <f t="shared" ca="1" si="113"/>
        <v>4.7399999999999998E-2</v>
      </c>
      <c r="AS22" s="540">
        <f t="shared" ca="1" si="113"/>
        <v>4.7399999999999998E-2</v>
      </c>
      <c r="AT22" s="51">
        <f t="shared" ca="1" si="113"/>
        <v>4.7399999999999998E-2</v>
      </c>
      <c r="AU22" s="51">
        <f t="shared" ca="1" si="113"/>
        <v>4.7399999999999998E-2</v>
      </c>
      <c r="AV22" s="51">
        <f t="shared" ca="1" si="113"/>
        <v>4.7399999999999998E-2</v>
      </c>
      <c r="AW22" s="51">
        <f t="shared" ca="1" si="113"/>
        <v>4.7399999999999998E-2</v>
      </c>
      <c r="AX22" s="524">
        <f t="shared" ca="1" si="113"/>
        <v>4.7399999999999998E-2</v>
      </c>
      <c r="AY22" s="540">
        <f t="shared" ca="1" si="113"/>
        <v>4.7399999999999998E-2</v>
      </c>
      <c r="AZ22" s="51">
        <f t="shared" ca="1" si="113"/>
        <v>4.7399999999999998E-2</v>
      </c>
      <c r="BA22" s="51">
        <f t="shared" ca="1" si="113"/>
        <v>4.7399999999999998E-2</v>
      </c>
      <c r="BB22" s="51">
        <f t="shared" ca="1" si="113"/>
        <v>4.7399999999999998E-2</v>
      </c>
      <c r="BC22" s="51">
        <f t="shared" ca="1" si="113"/>
        <v>4.7399999999999998E-2</v>
      </c>
      <c r="BD22" s="51">
        <f t="shared" ca="1" si="113"/>
        <v>4.7399999999999998E-2</v>
      </c>
      <c r="BE22" s="51">
        <f t="shared" ca="1" si="113"/>
        <v>4.7399999999999998E-2</v>
      </c>
      <c r="BF22" s="51">
        <f t="shared" ca="1" si="113"/>
        <v>4.7399999999999998E-2</v>
      </c>
      <c r="BG22" s="51">
        <f t="shared" ca="1" si="113"/>
        <v>4.7399999999999998E-2</v>
      </c>
      <c r="BH22" s="51">
        <f t="shared" ca="1" si="113"/>
        <v>4.7399999999999998E-2</v>
      </c>
      <c r="BI22" s="51">
        <f t="shared" ca="1" si="113"/>
        <v>4.7399999999999998E-2</v>
      </c>
      <c r="BJ22" s="51">
        <f t="shared" ca="1" si="113"/>
        <v>4.7399999999999998E-2</v>
      </c>
      <c r="BK22" s="51">
        <f t="shared" ca="1" si="113"/>
        <v>4.7399999999999998E-2</v>
      </c>
      <c r="BL22" s="51">
        <f t="shared" ca="1" si="113"/>
        <v>4.7399999999999998E-2</v>
      </c>
      <c r="BM22" s="51">
        <f t="shared" ca="1" si="113"/>
        <v>4.7399999999999998E-2</v>
      </c>
      <c r="BN22" s="51">
        <f t="shared" ca="1" si="113"/>
        <v>4.7399999999999998E-2</v>
      </c>
      <c r="BO22" s="51">
        <f t="shared" ca="1" si="113"/>
        <v>4.7399999999999998E-2</v>
      </c>
      <c r="BP22" s="51">
        <f t="shared" ca="1" si="113"/>
        <v>4.7399999999999998E-2</v>
      </c>
      <c r="BQ22" s="524">
        <f t="shared" ca="1" si="113"/>
        <v>4.7399999999999998E-2</v>
      </c>
      <c r="BR22" s="540">
        <f t="shared" ca="1" si="113"/>
        <v>4.7399999999999998E-2</v>
      </c>
      <c r="BS22" s="51">
        <f t="shared" ref="BS22:DT22" ca="1" si="114">+$D$22</f>
        <v>4.7399999999999998E-2</v>
      </c>
      <c r="BT22" s="51">
        <f t="shared" ca="1" si="114"/>
        <v>4.7399999999999998E-2</v>
      </c>
      <c r="BU22" s="51">
        <f t="shared" ca="1" si="114"/>
        <v>4.7399999999999998E-2</v>
      </c>
      <c r="BV22" s="524">
        <f t="shared" ca="1" si="114"/>
        <v>4.7399999999999998E-2</v>
      </c>
      <c r="BW22" s="540">
        <f t="shared" ca="1" si="114"/>
        <v>4.7399999999999998E-2</v>
      </c>
      <c r="BX22" s="51">
        <f t="shared" ca="1" si="114"/>
        <v>4.7399999999999998E-2</v>
      </c>
      <c r="BY22" s="51">
        <f t="shared" ca="1" si="114"/>
        <v>4.7399999999999998E-2</v>
      </c>
      <c r="BZ22" s="524">
        <f t="shared" ca="1" si="114"/>
        <v>4.7399999999999998E-2</v>
      </c>
      <c r="CA22" s="540">
        <f t="shared" ca="1" si="114"/>
        <v>4.7399999999999998E-2</v>
      </c>
      <c r="CB22" s="524">
        <f t="shared" ca="1" si="114"/>
        <v>4.7399999999999998E-2</v>
      </c>
      <c r="CC22" s="540">
        <f t="shared" ca="1" si="114"/>
        <v>4.7399999999999998E-2</v>
      </c>
      <c r="CD22" s="51">
        <f t="shared" ca="1" si="114"/>
        <v>4.7399999999999998E-2</v>
      </c>
      <c r="CE22" s="51">
        <f t="shared" ca="1" si="114"/>
        <v>4.7399999999999998E-2</v>
      </c>
      <c r="CF22" s="51">
        <f t="shared" ca="1" si="114"/>
        <v>4.7399999999999998E-2</v>
      </c>
      <c r="CG22" s="51">
        <f t="shared" ca="1" si="114"/>
        <v>4.7399999999999998E-2</v>
      </c>
      <c r="CH22" s="51">
        <f t="shared" ca="1" si="114"/>
        <v>4.7399999999999998E-2</v>
      </c>
      <c r="CI22" s="51">
        <f t="shared" ca="1" si="114"/>
        <v>4.7399999999999998E-2</v>
      </c>
      <c r="CJ22" s="51">
        <f t="shared" ca="1" si="114"/>
        <v>4.7399999999999998E-2</v>
      </c>
      <c r="CK22" s="51">
        <f t="shared" ca="1" si="114"/>
        <v>4.7399999999999998E-2</v>
      </c>
      <c r="CL22" s="51">
        <f t="shared" ca="1" si="114"/>
        <v>4.7399999999999998E-2</v>
      </c>
      <c r="CM22" s="524">
        <f t="shared" ca="1" si="114"/>
        <v>4.7399999999999998E-2</v>
      </c>
      <c r="CN22" s="540">
        <f t="shared" ca="1" si="114"/>
        <v>4.7399999999999998E-2</v>
      </c>
      <c r="CO22" s="51">
        <f t="shared" ca="1" si="114"/>
        <v>4.7399999999999998E-2</v>
      </c>
      <c r="CP22" s="51">
        <f t="shared" ca="1" si="114"/>
        <v>4.7399999999999998E-2</v>
      </c>
      <c r="CQ22" s="51">
        <f t="shared" ca="1" si="114"/>
        <v>4.7399999999999998E-2</v>
      </c>
      <c r="CR22" s="524">
        <f t="shared" ca="1" si="114"/>
        <v>4.7399999999999998E-2</v>
      </c>
      <c r="CS22" s="540">
        <f t="shared" ca="1" si="114"/>
        <v>4.7399999999999998E-2</v>
      </c>
      <c r="CT22" s="51">
        <f t="shared" ca="1" si="114"/>
        <v>4.7399999999999998E-2</v>
      </c>
      <c r="CU22" s="51">
        <f t="shared" ca="1" si="114"/>
        <v>4.7399999999999998E-2</v>
      </c>
      <c r="CV22" s="51">
        <f t="shared" ca="1" si="114"/>
        <v>4.7399999999999998E-2</v>
      </c>
      <c r="CW22" s="51">
        <f t="shared" ca="1" si="114"/>
        <v>4.7399999999999998E-2</v>
      </c>
      <c r="CX22" s="51">
        <f t="shared" ca="1" si="114"/>
        <v>4.7399999999999998E-2</v>
      </c>
      <c r="CY22" s="51">
        <f t="shared" ca="1" si="114"/>
        <v>4.7399999999999998E-2</v>
      </c>
      <c r="CZ22" s="51">
        <f t="shared" ca="1" si="114"/>
        <v>4.7399999999999998E-2</v>
      </c>
      <c r="DA22" s="51">
        <f t="shared" ca="1" si="114"/>
        <v>4.7399999999999998E-2</v>
      </c>
      <c r="DB22" s="51">
        <f t="shared" ca="1" si="114"/>
        <v>4.7399999999999998E-2</v>
      </c>
      <c r="DC22" s="51">
        <f t="shared" ca="1" si="114"/>
        <v>4.7399999999999998E-2</v>
      </c>
      <c r="DD22" s="51">
        <f t="shared" ca="1" si="114"/>
        <v>4.7399999999999998E-2</v>
      </c>
      <c r="DE22" s="51">
        <f t="shared" ca="1" si="114"/>
        <v>4.7399999999999998E-2</v>
      </c>
      <c r="DF22" s="51">
        <f t="shared" ca="1" si="114"/>
        <v>4.7399999999999998E-2</v>
      </c>
      <c r="DG22" s="51">
        <f t="shared" ca="1" si="114"/>
        <v>4.7399999999999998E-2</v>
      </c>
      <c r="DH22" s="51">
        <f t="shared" ca="1" si="114"/>
        <v>4.7399999999999998E-2</v>
      </c>
      <c r="DI22" s="524">
        <f t="shared" ca="1" si="114"/>
        <v>4.7399999999999998E-2</v>
      </c>
      <c r="DJ22" s="540">
        <f t="shared" ca="1" si="114"/>
        <v>4.7399999999999998E-2</v>
      </c>
      <c r="DK22" s="51">
        <f t="shared" ca="1" si="114"/>
        <v>4.7399999999999998E-2</v>
      </c>
      <c r="DL22" s="51">
        <f t="shared" ca="1" si="114"/>
        <v>4.7399999999999998E-2</v>
      </c>
      <c r="DM22" s="51">
        <f t="shared" ca="1" si="114"/>
        <v>4.7399999999999998E-2</v>
      </c>
      <c r="DN22" s="51">
        <f t="shared" ca="1" si="114"/>
        <v>4.7399999999999998E-2</v>
      </c>
      <c r="DO22" s="51">
        <f t="shared" ca="1" si="114"/>
        <v>4.7399999999999998E-2</v>
      </c>
      <c r="DP22" s="51">
        <f t="shared" ca="1" si="114"/>
        <v>4.7399999999999998E-2</v>
      </c>
      <c r="DQ22" s="51">
        <f t="shared" ca="1" si="114"/>
        <v>4.7399999999999998E-2</v>
      </c>
      <c r="DR22" s="51">
        <f t="shared" ca="1" si="114"/>
        <v>4.7399999999999998E-2</v>
      </c>
      <c r="DS22" s="51">
        <f t="shared" ca="1" si="114"/>
        <v>4.7399999999999998E-2</v>
      </c>
      <c r="DT22" s="524">
        <f t="shared" ca="1" si="114"/>
        <v>4.7399999999999998E-2</v>
      </c>
      <c r="DU22" s="540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24"/>
      <c r="EO22" s="540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25"/>
    </row>
    <row r="23" spans="1:158" x14ac:dyDescent="0.25">
      <c r="A23" s="397">
        <f>+A22+1</f>
        <v>17</v>
      </c>
      <c r="B23" s="90" t="s">
        <v>67</v>
      </c>
      <c r="D23" s="464">
        <v>0</v>
      </c>
      <c r="E23" s="542">
        <f>+$D$23</f>
        <v>0</v>
      </c>
      <c r="F23" s="542">
        <f t="shared" ref="F23:CT23" si="115">+$D$23</f>
        <v>0</v>
      </c>
      <c r="G23" s="542">
        <f t="shared" si="115"/>
        <v>0</v>
      </c>
      <c r="H23" s="542">
        <f t="shared" si="115"/>
        <v>0</v>
      </c>
      <c r="I23" s="542">
        <f t="shared" si="115"/>
        <v>0</v>
      </c>
      <c r="J23" s="542">
        <f t="shared" si="115"/>
        <v>0</v>
      </c>
      <c r="K23" s="542">
        <f t="shared" si="115"/>
        <v>0</v>
      </c>
      <c r="L23" s="542">
        <f t="shared" si="115"/>
        <v>0</v>
      </c>
      <c r="M23" s="542">
        <f t="shared" si="115"/>
        <v>0</v>
      </c>
      <c r="N23" s="542">
        <f t="shared" si="115"/>
        <v>0</v>
      </c>
      <c r="O23" s="542">
        <f t="shared" si="115"/>
        <v>0</v>
      </c>
      <c r="P23" s="542">
        <f t="shared" si="115"/>
        <v>0</v>
      </c>
      <c r="Q23" s="542">
        <f t="shared" si="115"/>
        <v>0</v>
      </c>
      <c r="R23" s="542">
        <f t="shared" si="115"/>
        <v>0</v>
      </c>
      <c r="S23" s="542">
        <f t="shared" si="115"/>
        <v>0</v>
      </c>
      <c r="T23" s="542">
        <f t="shared" si="115"/>
        <v>0</v>
      </c>
      <c r="U23" s="542">
        <f t="shared" si="115"/>
        <v>0</v>
      </c>
      <c r="V23" s="542">
        <f t="shared" si="115"/>
        <v>0</v>
      </c>
      <c r="W23" s="542">
        <f t="shared" si="115"/>
        <v>0</v>
      </c>
      <c r="X23" s="542">
        <f t="shared" si="115"/>
        <v>0</v>
      </c>
      <c r="Y23" s="542">
        <f t="shared" si="115"/>
        <v>0</v>
      </c>
      <c r="Z23" s="542">
        <f t="shared" si="115"/>
        <v>0</v>
      </c>
      <c r="AA23" s="543">
        <f t="shared" si="115"/>
        <v>0</v>
      </c>
      <c r="AB23" s="504">
        <f t="shared" si="115"/>
        <v>0</v>
      </c>
      <c r="AC23" s="542">
        <f t="shared" si="115"/>
        <v>0</v>
      </c>
      <c r="AD23" s="542">
        <f t="shared" si="115"/>
        <v>0</v>
      </c>
      <c r="AE23" s="542">
        <f t="shared" si="115"/>
        <v>0</v>
      </c>
      <c r="AF23" s="542">
        <f t="shared" si="115"/>
        <v>0</v>
      </c>
      <c r="AG23" s="542">
        <f t="shared" si="115"/>
        <v>0</v>
      </c>
      <c r="AH23" s="542">
        <f t="shared" si="115"/>
        <v>0</v>
      </c>
      <c r="AI23" s="542">
        <f t="shared" si="115"/>
        <v>0</v>
      </c>
      <c r="AJ23" s="542">
        <f t="shared" si="115"/>
        <v>0</v>
      </c>
      <c r="AK23" s="542">
        <f t="shared" si="115"/>
        <v>0</v>
      </c>
      <c r="AL23" s="542">
        <f t="shared" si="115"/>
        <v>0</v>
      </c>
      <c r="AM23" s="542">
        <f t="shared" si="115"/>
        <v>0</v>
      </c>
      <c r="AN23" s="542">
        <f t="shared" si="115"/>
        <v>0</v>
      </c>
      <c r="AO23" s="542">
        <f t="shared" si="115"/>
        <v>0</v>
      </c>
      <c r="AP23" s="542">
        <f t="shared" si="115"/>
        <v>0</v>
      </c>
      <c r="AQ23" s="543">
        <f t="shared" si="115"/>
        <v>0</v>
      </c>
      <c r="AR23" s="544">
        <f t="shared" si="115"/>
        <v>0</v>
      </c>
      <c r="AS23" s="504">
        <f t="shared" si="115"/>
        <v>0</v>
      </c>
      <c r="AT23" s="542">
        <f t="shared" si="115"/>
        <v>0</v>
      </c>
      <c r="AU23" s="542">
        <f t="shared" si="115"/>
        <v>0</v>
      </c>
      <c r="AV23" s="542">
        <f t="shared" si="115"/>
        <v>0</v>
      </c>
      <c r="AW23" s="542">
        <f t="shared" si="115"/>
        <v>0</v>
      </c>
      <c r="AX23" s="543">
        <f t="shared" si="115"/>
        <v>0</v>
      </c>
      <c r="AY23" s="504">
        <f t="shared" si="115"/>
        <v>0</v>
      </c>
      <c r="AZ23" s="542">
        <f t="shared" si="115"/>
        <v>0</v>
      </c>
      <c r="BA23" s="542">
        <f t="shared" si="115"/>
        <v>0</v>
      </c>
      <c r="BB23" s="542">
        <f t="shared" si="115"/>
        <v>0</v>
      </c>
      <c r="BC23" s="542">
        <f t="shared" si="115"/>
        <v>0</v>
      </c>
      <c r="BD23" s="542">
        <f t="shared" si="115"/>
        <v>0</v>
      </c>
      <c r="BE23" s="542">
        <f t="shared" si="115"/>
        <v>0</v>
      </c>
      <c r="BF23" s="542">
        <f t="shared" si="115"/>
        <v>0</v>
      </c>
      <c r="BG23" s="542">
        <f t="shared" si="115"/>
        <v>0</v>
      </c>
      <c r="BH23" s="542">
        <f t="shared" si="115"/>
        <v>0</v>
      </c>
      <c r="BI23" s="542">
        <f t="shared" si="115"/>
        <v>0</v>
      </c>
      <c r="BJ23" s="542">
        <f t="shared" si="115"/>
        <v>0</v>
      </c>
      <c r="BK23" s="542">
        <f t="shared" si="115"/>
        <v>0</v>
      </c>
      <c r="BL23" s="542">
        <f t="shared" si="115"/>
        <v>0</v>
      </c>
      <c r="BM23" s="542">
        <f t="shared" si="115"/>
        <v>0</v>
      </c>
      <c r="BN23" s="542">
        <f t="shared" si="115"/>
        <v>0</v>
      </c>
      <c r="BO23" s="542">
        <f t="shared" si="115"/>
        <v>0</v>
      </c>
      <c r="BP23" s="542">
        <f t="shared" si="115"/>
        <v>0</v>
      </c>
      <c r="BQ23" s="543">
        <f t="shared" si="115"/>
        <v>0</v>
      </c>
      <c r="BR23" s="504">
        <f t="shared" si="115"/>
        <v>0</v>
      </c>
      <c r="BS23" s="542">
        <f t="shared" si="115"/>
        <v>0</v>
      </c>
      <c r="BT23" s="542">
        <f t="shared" si="115"/>
        <v>0</v>
      </c>
      <c r="BU23" s="542">
        <f t="shared" si="115"/>
        <v>0</v>
      </c>
      <c r="BV23" s="543">
        <f t="shared" si="115"/>
        <v>0</v>
      </c>
      <c r="BW23" s="504">
        <f t="shared" si="115"/>
        <v>0</v>
      </c>
      <c r="BX23" s="542">
        <f t="shared" si="115"/>
        <v>0</v>
      </c>
      <c r="BY23" s="542">
        <f t="shared" si="115"/>
        <v>0</v>
      </c>
      <c r="BZ23" s="543">
        <f t="shared" si="115"/>
        <v>0</v>
      </c>
      <c r="CA23" s="504">
        <f t="shared" si="115"/>
        <v>0</v>
      </c>
      <c r="CB23" s="543">
        <f t="shared" si="115"/>
        <v>0</v>
      </c>
      <c r="CC23" s="504">
        <f t="shared" si="115"/>
        <v>0</v>
      </c>
      <c r="CD23" s="542">
        <f t="shared" si="115"/>
        <v>0</v>
      </c>
      <c r="CE23" s="542">
        <f t="shared" si="115"/>
        <v>0</v>
      </c>
      <c r="CF23" s="542">
        <f t="shared" si="115"/>
        <v>0</v>
      </c>
      <c r="CG23" s="542">
        <f t="shared" si="115"/>
        <v>0</v>
      </c>
      <c r="CH23" s="542">
        <f t="shared" si="115"/>
        <v>0</v>
      </c>
      <c r="CI23" s="542">
        <f t="shared" si="115"/>
        <v>0</v>
      </c>
      <c r="CJ23" s="542">
        <f t="shared" si="115"/>
        <v>0</v>
      </c>
      <c r="CK23" s="542">
        <f t="shared" si="115"/>
        <v>0</v>
      </c>
      <c r="CL23" s="542">
        <f t="shared" si="115"/>
        <v>0</v>
      </c>
      <c r="CM23" s="543">
        <f t="shared" si="115"/>
        <v>0</v>
      </c>
      <c r="CN23" s="504">
        <f t="shared" si="115"/>
        <v>0</v>
      </c>
      <c r="CO23" s="542">
        <f t="shared" si="115"/>
        <v>0</v>
      </c>
      <c r="CP23" s="542">
        <f t="shared" si="115"/>
        <v>0</v>
      </c>
      <c r="CQ23" s="542">
        <f t="shared" si="115"/>
        <v>0</v>
      </c>
      <c r="CR23" s="543">
        <f t="shared" si="115"/>
        <v>0</v>
      </c>
      <c r="CS23" s="504">
        <f t="shared" si="115"/>
        <v>0</v>
      </c>
      <c r="CT23" s="542">
        <f t="shared" si="115"/>
        <v>0</v>
      </c>
      <c r="CU23" s="542">
        <f t="shared" ref="CU23:DH23" si="116">+$D$23</f>
        <v>0</v>
      </c>
      <c r="CV23" s="542">
        <f t="shared" si="116"/>
        <v>0</v>
      </c>
      <c r="CW23" s="542">
        <f t="shared" si="116"/>
        <v>0</v>
      </c>
      <c r="CX23" s="542">
        <f t="shared" si="116"/>
        <v>0</v>
      </c>
      <c r="CY23" s="542">
        <f t="shared" si="116"/>
        <v>0</v>
      </c>
      <c r="CZ23" s="542">
        <f t="shared" si="116"/>
        <v>0</v>
      </c>
      <c r="DA23" s="542">
        <f t="shared" si="116"/>
        <v>0</v>
      </c>
      <c r="DB23" s="542">
        <f t="shared" si="116"/>
        <v>0</v>
      </c>
      <c r="DC23" s="542">
        <f t="shared" si="116"/>
        <v>0</v>
      </c>
      <c r="DD23" s="542">
        <f t="shared" si="116"/>
        <v>0</v>
      </c>
      <c r="DE23" s="542">
        <f t="shared" si="116"/>
        <v>0</v>
      </c>
      <c r="DF23" s="542">
        <f t="shared" si="116"/>
        <v>0</v>
      </c>
      <c r="DG23" s="542">
        <f t="shared" si="116"/>
        <v>0</v>
      </c>
      <c r="DH23" s="542">
        <f t="shared" si="116"/>
        <v>0</v>
      </c>
      <c r="DI23" s="543">
        <f t="shared" ref="DI23:DT23" si="117">+$D$23</f>
        <v>0</v>
      </c>
      <c r="DJ23" s="504">
        <f t="shared" si="117"/>
        <v>0</v>
      </c>
      <c r="DK23" s="542">
        <f t="shared" si="117"/>
        <v>0</v>
      </c>
      <c r="DL23" s="542">
        <f t="shared" si="117"/>
        <v>0</v>
      </c>
      <c r="DM23" s="542">
        <f t="shared" si="117"/>
        <v>0</v>
      </c>
      <c r="DN23" s="542">
        <f t="shared" si="117"/>
        <v>0</v>
      </c>
      <c r="DO23" s="542">
        <f t="shared" si="117"/>
        <v>0</v>
      </c>
      <c r="DP23" s="542">
        <f t="shared" si="117"/>
        <v>0</v>
      </c>
      <c r="DQ23" s="542">
        <f t="shared" si="117"/>
        <v>0</v>
      </c>
      <c r="DR23" s="542">
        <f t="shared" si="117"/>
        <v>0</v>
      </c>
      <c r="DS23" s="542">
        <f t="shared" si="117"/>
        <v>0</v>
      </c>
      <c r="DT23" s="543">
        <f t="shared" si="117"/>
        <v>0</v>
      </c>
      <c r="DU23" s="504"/>
      <c r="DV23" s="542"/>
      <c r="DW23" s="542"/>
      <c r="DX23" s="542"/>
      <c r="DY23" s="542"/>
      <c r="DZ23" s="542"/>
      <c r="EA23" s="542"/>
      <c r="EB23" s="542"/>
      <c r="EC23" s="542"/>
      <c r="ED23" s="542"/>
      <c r="EE23" s="542"/>
      <c r="EF23" s="542"/>
      <c r="EG23" s="542"/>
      <c r="EH23" s="542"/>
      <c r="EI23" s="542"/>
      <c r="EJ23" s="542"/>
      <c r="EK23" s="542"/>
      <c r="EL23" s="542"/>
      <c r="EM23" s="542"/>
      <c r="EN23" s="543"/>
      <c r="EO23" s="504"/>
      <c r="EP23" s="542"/>
      <c r="EQ23" s="542"/>
      <c r="ER23" s="542"/>
      <c r="ES23" s="542"/>
      <c r="ET23" s="542"/>
      <c r="EU23" s="542"/>
      <c r="EV23" s="542"/>
      <c r="EW23" s="542"/>
      <c r="EX23" s="542"/>
      <c r="EY23" s="542"/>
      <c r="EZ23" s="542"/>
      <c r="FA23" s="542"/>
      <c r="FB23" s="545"/>
    </row>
    <row r="24" spans="1:158" x14ac:dyDescent="0.25">
      <c r="A24" s="397">
        <f t="shared" si="1"/>
        <v>18</v>
      </c>
      <c r="D24" s="48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94"/>
      <c r="AB24" s="484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94"/>
      <c r="AR24" s="533"/>
      <c r="AS24" s="484"/>
      <c r="AT24" s="57"/>
      <c r="AU24" s="57"/>
      <c r="AV24" s="57"/>
      <c r="AW24" s="57"/>
      <c r="AX24" s="94"/>
      <c r="AY24" s="484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94"/>
      <c r="BR24" s="484"/>
      <c r="BS24" s="57"/>
      <c r="BT24" s="57"/>
      <c r="BU24" s="57"/>
      <c r="BV24" s="94"/>
      <c r="BW24" s="484"/>
      <c r="BX24" s="57"/>
      <c r="BY24" s="57"/>
      <c r="BZ24" s="94"/>
      <c r="CA24" s="484"/>
      <c r="CB24" s="94"/>
      <c r="CC24" s="484"/>
      <c r="CD24" s="57"/>
      <c r="CE24" s="57"/>
      <c r="CF24" s="57"/>
      <c r="CG24" s="57"/>
      <c r="CH24" s="57"/>
      <c r="CI24" s="57"/>
      <c r="CJ24" s="57"/>
      <c r="CK24" s="57"/>
      <c r="CL24" s="57"/>
      <c r="CM24" s="94"/>
      <c r="CN24" s="484"/>
      <c r="CO24" s="57"/>
      <c r="CP24" s="57"/>
      <c r="CQ24" s="57"/>
      <c r="CR24" s="94"/>
      <c r="CS24" s="484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94"/>
      <c r="DJ24" s="484"/>
      <c r="DK24" s="57"/>
      <c r="DL24" s="57"/>
      <c r="DM24" s="57"/>
      <c r="DN24" s="57"/>
      <c r="DO24" s="57"/>
      <c r="DP24" s="57"/>
      <c r="DQ24" s="57"/>
      <c r="DR24" s="57"/>
      <c r="DS24" s="57"/>
      <c r="DT24" s="94"/>
      <c r="DU24" s="484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94"/>
      <c r="EO24" s="484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485"/>
    </row>
    <row r="25" spans="1:158" x14ac:dyDescent="0.25">
      <c r="A25" s="397">
        <f t="shared" si="1"/>
        <v>19</v>
      </c>
      <c r="B25" s="80" t="s">
        <v>68</v>
      </c>
      <c r="D25" s="45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69"/>
      <c r="AB25" s="454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69"/>
      <c r="AR25" s="546"/>
      <c r="AS25" s="454"/>
      <c r="AT25" s="49"/>
      <c r="AU25" s="49"/>
      <c r="AV25" s="49"/>
      <c r="AW25" s="49"/>
      <c r="AX25" s="469"/>
      <c r="AY25" s="454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69"/>
      <c r="BR25" s="454"/>
      <c r="BS25" s="49"/>
      <c r="BT25" s="49"/>
      <c r="BU25" s="49"/>
      <c r="BV25" s="469"/>
      <c r="BW25" s="454"/>
      <c r="BX25" s="49"/>
      <c r="BY25" s="49"/>
      <c r="BZ25" s="469"/>
      <c r="CA25" s="454"/>
      <c r="CB25" s="469"/>
      <c r="CC25" s="454"/>
      <c r="CD25" s="49"/>
      <c r="CE25" s="49"/>
      <c r="CF25" s="49"/>
      <c r="CG25" s="49"/>
      <c r="CH25" s="49"/>
      <c r="CI25" s="49"/>
      <c r="CJ25" s="49"/>
      <c r="CK25" s="49"/>
      <c r="CL25" s="49"/>
      <c r="CM25" s="469"/>
      <c r="CN25" s="454"/>
      <c r="CO25" s="49"/>
      <c r="CP25" s="49"/>
      <c r="CQ25" s="49"/>
      <c r="CR25" s="469"/>
      <c r="CS25" s="454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69"/>
      <c r="DJ25" s="454"/>
      <c r="DK25" s="49"/>
      <c r="DL25" s="49"/>
      <c r="DM25" s="49"/>
      <c r="DN25" s="49"/>
      <c r="DO25" s="49"/>
      <c r="DP25" s="49"/>
      <c r="DQ25" s="49"/>
      <c r="DR25" s="49"/>
      <c r="DS25" s="49"/>
      <c r="DT25" s="469"/>
      <c r="DU25" s="454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69"/>
      <c r="EO25" s="454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70"/>
    </row>
    <row r="26" spans="1:158" x14ac:dyDescent="0.25">
      <c r="A26" s="397">
        <f t="shared" si="1"/>
        <v>20</v>
      </c>
      <c r="B26" s="87" t="s">
        <v>70</v>
      </c>
      <c r="C26" s="78"/>
      <c r="D26" s="454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69">
        <v>60000</v>
      </c>
      <c r="AB26" s="454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69"/>
      <c r="AR26" s="546">
        <v>0</v>
      </c>
      <c r="AS26" s="454">
        <v>0</v>
      </c>
      <c r="AT26" s="49">
        <v>246540</v>
      </c>
      <c r="AU26" s="49">
        <v>0</v>
      </c>
      <c r="AV26" s="49">
        <v>0</v>
      </c>
      <c r="AW26" s="49">
        <v>0</v>
      </c>
      <c r="AX26" s="469">
        <v>0</v>
      </c>
      <c r="AY26" s="454">
        <v>0</v>
      </c>
      <c r="AZ26" s="49">
        <v>0</v>
      </c>
      <c r="BA26" s="49">
        <v>9900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0</v>
      </c>
      <c r="BO26" s="49">
        <v>36300</v>
      </c>
      <c r="BP26" s="49">
        <v>72600</v>
      </c>
      <c r="BQ26" s="469">
        <v>108900</v>
      </c>
      <c r="BR26" s="454">
        <v>294000</v>
      </c>
      <c r="BS26" s="49">
        <v>0</v>
      </c>
      <c r="BT26" s="49">
        <v>0</v>
      </c>
      <c r="BU26" s="49">
        <v>0</v>
      </c>
      <c r="BV26" s="469">
        <v>0</v>
      </c>
      <c r="BW26" s="454">
        <v>76000</v>
      </c>
      <c r="BX26" s="49">
        <v>52000</v>
      </c>
      <c r="BY26" s="49">
        <v>0</v>
      </c>
      <c r="BZ26" s="469">
        <v>0</v>
      </c>
      <c r="CA26" s="454">
        <v>0</v>
      </c>
      <c r="CB26" s="469">
        <v>0</v>
      </c>
      <c r="CC26" s="454">
        <v>0</v>
      </c>
      <c r="CD26" s="49">
        <v>0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69">
        <v>0</v>
      </c>
      <c r="CN26" s="454">
        <v>60000</v>
      </c>
      <c r="CO26" s="49">
        <v>44580</v>
      </c>
      <c r="CP26" s="49">
        <v>84600</v>
      </c>
      <c r="CQ26" s="49">
        <v>158100</v>
      </c>
      <c r="CR26" s="469">
        <v>0</v>
      </c>
      <c r="CS26" s="454">
        <v>124320</v>
      </c>
      <c r="CT26" s="49">
        <v>121380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80220</v>
      </c>
      <c r="DB26" s="49">
        <v>0</v>
      </c>
      <c r="DC26" s="49">
        <v>0</v>
      </c>
      <c r="DD26" s="49">
        <v>0</v>
      </c>
      <c r="DE26" s="49">
        <v>0</v>
      </c>
      <c r="DF26" s="49">
        <v>0</v>
      </c>
      <c r="DG26" s="49">
        <v>0</v>
      </c>
      <c r="DH26" s="49">
        <v>0</v>
      </c>
      <c r="DI26" s="469">
        <v>0</v>
      </c>
      <c r="DJ26" s="454">
        <v>36300</v>
      </c>
      <c r="DK26" s="49">
        <v>196200</v>
      </c>
      <c r="DL26" s="49">
        <v>234600</v>
      </c>
      <c r="DM26" s="49"/>
      <c r="DN26" s="49">
        <v>5850</v>
      </c>
      <c r="DO26" s="49">
        <v>1800</v>
      </c>
      <c r="DP26" s="49">
        <v>35000</v>
      </c>
      <c r="DQ26" s="49">
        <v>37200</v>
      </c>
      <c r="DR26" s="49">
        <v>42250</v>
      </c>
      <c r="DS26" s="49"/>
      <c r="DT26" s="469"/>
      <c r="DU26" s="454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69"/>
      <c r="EO26" s="454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70"/>
    </row>
    <row r="27" spans="1:158" x14ac:dyDescent="0.25">
      <c r="A27" s="397">
        <f t="shared" si="1"/>
        <v>21</v>
      </c>
      <c r="B27" s="90" t="s">
        <v>69</v>
      </c>
      <c r="C27" s="78"/>
      <c r="D27" s="454">
        <v>81624</v>
      </c>
      <c r="E27" s="49">
        <v>674440</v>
      </c>
      <c r="F27" s="49">
        <v>424100</v>
      </c>
      <c r="G27" s="49">
        <v>3270</v>
      </c>
      <c r="H27" s="49">
        <v>782680</v>
      </c>
      <c r="I27" s="49">
        <v>75635</v>
      </c>
      <c r="J27" s="49">
        <v>469150</v>
      </c>
      <c r="K27" s="49">
        <v>300700</v>
      </c>
      <c r="L27" s="49">
        <v>516103</v>
      </c>
      <c r="M27" s="49">
        <v>56168</v>
      </c>
      <c r="N27" s="49">
        <v>0</v>
      </c>
      <c r="O27" s="49">
        <v>413730</v>
      </c>
      <c r="P27" s="49">
        <v>244668</v>
      </c>
      <c r="Q27" s="49">
        <v>114350</v>
      </c>
      <c r="R27" s="49">
        <v>1272317</v>
      </c>
      <c r="S27" s="49">
        <v>831114</v>
      </c>
      <c r="T27" s="49">
        <v>480040</v>
      </c>
      <c r="U27" s="49">
        <v>1217589</v>
      </c>
      <c r="V27" s="49">
        <v>1251375</v>
      </c>
      <c r="W27" s="49">
        <v>277682</v>
      </c>
      <c r="X27" s="49">
        <v>89080</v>
      </c>
      <c r="Y27" s="49">
        <v>1293949</v>
      </c>
      <c r="Z27" s="49">
        <v>229093</v>
      </c>
      <c r="AA27" s="469">
        <v>1171825</v>
      </c>
      <c r="AB27" s="454">
        <v>1422840</v>
      </c>
      <c r="AC27" s="49">
        <v>2608082</v>
      </c>
      <c r="AD27" s="49">
        <v>1030900</v>
      </c>
      <c r="AE27" s="49">
        <v>89500</v>
      </c>
      <c r="AF27" s="49">
        <v>1078954</v>
      </c>
      <c r="AG27" s="49">
        <v>194890</v>
      </c>
      <c r="AH27" s="49">
        <v>78945</v>
      </c>
      <c r="AI27" s="49">
        <v>607585</v>
      </c>
      <c r="AJ27" s="49">
        <v>1078999</v>
      </c>
      <c r="AK27" s="49">
        <v>172136</v>
      </c>
      <c r="AL27" s="49">
        <v>429028</v>
      </c>
      <c r="AM27" s="49">
        <v>1104400</v>
      </c>
      <c r="AN27" s="49">
        <v>50000</v>
      </c>
      <c r="AO27" s="49">
        <v>217950</v>
      </c>
      <c r="AP27" s="49">
        <v>148550</v>
      </c>
      <c r="AQ27" s="469">
        <v>291806</v>
      </c>
      <c r="AR27" s="546">
        <v>814000</v>
      </c>
      <c r="AS27" s="454">
        <v>100498</v>
      </c>
      <c r="AT27" s="49">
        <v>0</v>
      </c>
      <c r="AU27" s="49">
        <v>79391</v>
      </c>
      <c r="AV27" s="49">
        <v>35000</v>
      </c>
      <c r="AW27" s="49">
        <v>32046</v>
      </c>
      <c r="AX27" s="469">
        <v>35000</v>
      </c>
      <c r="AY27" s="454">
        <v>4365</v>
      </c>
      <c r="AZ27" s="49">
        <v>31283</v>
      </c>
      <c r="BA27" s="49">
        <v>0</v>
      </c>
      <c r="BB27" s="49">
        <v>5670</v>
      </c>
      <c r="BC27" s="49">
        <v>25000</v>
      </c>
      <c r="BD27" s="49">
        <v>291681</v>
      </c>
      <c r="BE27" s="49">
        <v>15587</v>
      </c>
      <c r="BF27" s="49">
        <v>3285</v>
      </c>
      <c r="BG27" s="49">
        <v>25000</v>
      </c>
      <c r="BH27" s="49">
        <v>184045</v>
      </c>
      <c r="BI27" s="49">
        <v>7380</v>
      </c>
      <c r="BJ27" s="49">
        <v>149042</v>
      </c>
      <c r="BK27" s="49">
        <v>26370</v>
      </c>
      <c r="BL27" s="49">
        <v>25000</v>
      </c>
      <c r="BM27" s="49">
        <v>114668</v>
      </c>
      <c r="BN27" s="49">
        <v>28966</v>
      </c>
      <c r="BO27" s="49">
        <v>118483</v>
      </c>
      <c r="BP27" s="49">
        <v>21330</v>
      </c>
      <c r="BQ27" s="469">
        <v>653695</v>
      </c>
      <c r="BR27" s="454">
        <v>0</v>
      </c>
      <c r="BS27" s="49">
        <v>119900</v>
      </c>
      <c r="BT27" s="49">
        <v>108100</v>
      </c>
      <c r="BU27" s="49">
        <v>26160</v>
      </c>
      <c r="BV27" s="469">
        <v>328062</v>
      </c>
      <c r="BW27" s="454">
        <v>250000</v>
      </c>
      <c r="BX27" s="49">
        <v>0</v>
      </c>
      <c r="BY27" s="49">
        <v>50000</v>
      </c>
      <c r="BZ27" s="469">
        <v>114125</v>
      </c>
      <c r="CA27" s="454">
        <v>111858</v>
      </c>
      <c r="CB27" s="469">
        <v>701014</v>
      </c>
      <c r="CC27" s="454">
        <v>40000</v>
      </c>
      <c r="CD27" s="49">
        <v>696088</v>
      </c>
      <c r="CE27" s="49">
        <v>101872</v>
      </c>
      <c r="CF27" s="49">
        <v>40000</v>
      </c>
      <c r="CG27" s="49">
        <v>668495</v>
      </c>
      <c r="CH27" s="49">
        <v>120305</v>
      </c>
      <c r="CI27" s="49">
        <v>137004</v>
      </c>
      <c r="CJ27" s="49">
        <v>21800</v>
      </c>
      <c r="CK27" s="49">
        <v>58027</v>
      </c>
      <c r="CL27" s="49">
        <v>478401</v>
      </c>
      <c r="CM27" s="469">
        <v>143662</v>
      </c>
      <c r="CN27" s="454">
        <v>29430</v>
      </c>
      <c r="CO27" s="49">
        <v>0</v>
      </c>
      <c r="CP27" s="49">
        <v>0</v>
      </c>
      <c r="CQ27" s="49">
        <v>0</v>
      </c>
      <c r="CR27" s="469">
        <v>139240</v>
      </c>
      <c r="CS27" s="454">
        <v>0</v>
      </c>
      <c r="CT27" s="49">
        <v>10000</v>
      </c>
      <c r="CU27" s="49">
        <v>16200</v>
      </c>
      <c r="CV27" s="49">
        <v>30000</v>
      </c>
      <c r="CW27" s="49">
        <v>443724</v>
      </c>
      <c r="CX27" s="49">
        <v>268995</v>
      </c>
      <c r="CY27" s="49">
        <v>98025</v>
      </c>
      <c r="CZ27" s="49">
        <v>600</v>
      </c>
      <c r="DA27" s="49">
        <v>0</v>
      </c>
      <c r="DB27" s="49">
        <v>9483</v>
      </c>
      <c r="DC27" s="49">
        <v>302321</v>
      </c>
      <c r="DD27" s="49">
        <v>47150</v>
      </c>
      <c r="DE27" s="49">
        <v>50833</v>
      </c>
      <c r="DF27" s="49">
        <v>925</v>
      </c>
      <c r="DG27" s="49">
        <v>95604</v>
      </c>
      <c r="DH27" s="49">
        <v>154654</v>
      </c>
      <c r="DI27" s="469">
        <v>25000</v>
      </c>
      <c r="DJ27" s="454"/>
      <c r="DK27" s="49"/>
      <c r="DL27" s="49"/>
      <c r="DM27" s="49">
        <v>625</v>
      </c>
      <c r="DN27" s="49">
        <v>1125</v>
      </c>
      <c r="DO27" s="49"/>
      <c r="DP27" s="49"/>
      <c r="DQ27" s="49"/>
      <c r="DR27" s="49"/>
      <c r="DS27" s="49">
        <v>15260</v>
      </c>
      <c r="DT27" s="469">
        <v>25000</v>
      </c>
      <c r="DU27" s="454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69"/>
      <c r="EO27" s="454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70"/>
    </row>
    <row r="28" spans="1:158" x14ac:dyDescent="0.25">
      <c r="A28" s="397">
        <f t="shared" si="1"/>
        <v>22</v>
      </c>
      <c r="B28" s="87" t="s">
        <v>71</v>
      </c>
      <c r="C28" s="78">
        <f>SUM(D28:FB28)</f>
        <v>33999739</v>
      </c>
      <c r="D28" s="548">
        <f t="shared" ref="D28:BD28" si="118">SUM(D26:D27)</f>
        <v>81624</v>
      </c>
      <c r="E28" s="565">
        <f t="shared" si="118"/>
        <v>674440</v>
      </c>
      <c r="F28" s="565">
        <f t="shared" si="118"/>
        <v>424100</v>
      </c>
      <c r="G28" s="565">
        <f t="shared" si="118"/>
        <v>3270</v>
      </c>
      <c r="H28" s="565">
        <f t="shared" ref="H28" si="119">SUM(H26:H27)</f>
        <v>782680</v>
      </c>
      <c r="I28" s="565">
        <f t="shared" ref="I28" si="120">SUM(I26:I27)</f>
        <v>75635</v>
      </c>
      <c r="J28" s="565">
        <f t="shared" si="118"/>
        <v>469150</v>
      </c>
      <c r="K28" s="565">
        <f t="shared" si="118"/>
        <v>300700</v>
      </c>
      <c r="L28" s="565">
        <f t="shared" si="118"/>
        <v>516103</v>
      </c>
      <c r="M28" s="565">
        <f t="shared" ref="M28:O28" si="121">SUM(M26:M27)</f>
        <v>56168</v>
      </c>
      <c r="N28" s="565">
        <f t="shared" ref="N28" si="122">SUM(N26:N27)</f>
        <v>0</v>
      </c>
      <c r="O28" s="565">
        <f t="shared" si="121"/>
        <v>413730</v>
      </c>
      <c r="P28" s="565">
        <f t="shared" ref="P28:T28" si="123">SUM(P26:P27)</f>
        <v>244668</v>
      </c>
      <c r="Q28" s="565">
        <f t="shared" si="123"/>
        <v>114350</v>
      </c>
      <c r="R28" s="565">
        <f t="shared" ref="R28:S28" si="124">SUM(R26:R27)</f>
        <v>1272317</v>
      </c>
      <c r="S28" s="565">
        <f t="shared" si="124"/>
        <v>831114</v>
      </c>
      <c r="T28" s="565">
        <f t="shared" si="123"/>
        <v>480040</v>
      </c>
      <c r="U28" s="565">
        <f t="shared" ref="U28" si="125">SUM(U26:U27)</f>
        <v>1217589</v>
      </c>
      <c r="V28" s="565">
        <f t="shared" si="118"/>
        <v>1251375</v>
      </c>
      <c r="W28" s="565">
        <f>SUM(W26:W27)</f>
        <v>277682</v>
      </c>
      <c r="X28" s="565">
        <f>SUM(X26:X27)</f>
        <v>89080</v>
      </c>
      <c r="Y28" s="565">
        <f t="shared" si="118"/>
        <v>1293949</v>
      </c>
      <c r="Z28" s="565">
        <f t="shared" si="118"/>
        <v>229093</v>
      </c>
      <c r="AA28" s="547">
        <f t="shared" si="118"/>
        <v>1231825</v>
      </c>
      <c r="AB28" s="548">
        <f t="shared" si="118"/>
        <v>1422840</v>
      </c>
      <c r="AC28" s="565">
        <f t="shared" si="118"/>
        <v>2608082</v>
      </c>
      <c r="AD28" s="565">
        <f t="shared" si="118"/>
        <v>1030900</v>
      </c>
      <c r="AE28" s="565">
        <f t="shared" si="118"/>
        <v>89500</v>
      </c>
      <c r="AF28" s="565">
        <f t="shared" ref="AF28:AL28" si="126">SUM(AF26:AF27)</f>
        <v>1078954</v>
      </c>
      <c r="AG28" s="565">
        <f t="shared" si="126"/>
        <v>194890</v>
      </c>
      <c r="AH28" s="565">
        <f t="shared" si="126"/>
        <v>78945</v>
      </c>
      <c r="AI28" s="565">
        <f t="shared" si="126"/>
        <v>607585</v>
      </c>
      <c r="AJ28" s="565">
        <f t="shared" si="126"/>
        <v>1078999</v>
      </c>
      <c r="AK28" s="565">
        <f t="shared" si="126"/>
        <v>172136</v>
      </c>
      <c r="AL28" s="565">
        <f t="shared" si="126"/>
        <v>429028</v>
      </c>
      <c r="AM28" s="565">
        <f t="shared" si="118"/>
        <v>1104400</v>
      </c>
      <c r="AN28" s="565">
        <f t="shared" si="118"/>
        <v>50000</v>
      </c>
      <c r="AO28" s="565">
        <f t="shared" si="118"/>
        <v>217950</v>
      </c>
      <c r="AP28" s="565">
        <f t="shared" si="118"/>
        <v>148550</v>
      </c>
      <c r="AQ28" s="547">
        <f t="shared" si="118"/>
        <v>291806</v>
      </c>
      <c r="AR28" s="549">
        <f t="shared" si="118"/>
        <v>814000</v>
      </c>
      <c r="AS28" s="548">
        <f t="shared" si="118"/>
        <v>100498</v>
      </c>
      <c r="AT28" s="565">
        <f t="shared" ref="AT28:AX28" si="127">SUM(AT26:AT27)</f>
        <v>246540</v>
      </c>
      <c r="AU28" s="565">
        <f t="shared" si="127"/>
        <v>79391</v>
      </c>
      <c r="AV28" s="565">
        <f t="shared" ref="AV28:AW28" si="128">SUM(AV26:AV27)</f>
        <v>35000</v>
      </c>
      <c r="AW28" s="565">
        <f t="shared" si="128"/>
        <v>32046</v>
      </c>
      <c r="AX28" s="547">
        <f t="shared" si="127"/>
        <v>35000</v>
      </c>
      <c r="AY28" s="548">
        <f t="shared" si="118"/>
        <v>4365</v>
      </c>
      <c r="AZ28" s="565">
        <f t="shared" ref="AZ28:BA28" si="129">SUM(AZ26:AZ27)</f>
        <v>31283</v>
      </c>
      <c r="BA28" s="565">
        <f t="shared" si="129"/>
        <v>9900</v>
      </c>
      <c r="BB28" s="565">
        <f t="shared" ref="BB28" si="130">SUM(BB26:BB27)</f>
        <v>5670</v>
      </c>
      <c r="BC28" s="565">
        <f t="shared" si="118"/>
        <v>25000</v>
      </c>
      <c r="BD28" s="565">
        <f t="shared" si="118"/>
        <v>291681</v>
      </c>
      <c r="BE28" s="565">
        <f t="shared" ref="BE28" si="131">SUM(BE26:BE27)</f>
        <v>15587</v>
      </c>
      <c r="BF28" s="565">
        <f t="shared" ref="BF28:CA28" si="132">SUM(BF26:BF27)</f>
        <v>3285</v>
      </c>
      <c r="BG28" s="565">
        <f t="shared" ref="BG28" si="133">SUM(BG26:BG27)</f>
        <v>25000</v>
      </c>
      <c r="BH28" s="565">
        <f t="shared" si="132"/>
        <v>184045</v>
      </c>
      <c r="BI28" s="565">
        <f t="shared" si="132"/>
        <v>7380</v>
      </c>
      <c r="BJ28" s="565">
        <f t="shared" si="132"/>
        <v>149042</v>
      </c>
      <c r="BK28" s="565">
        <f t="shared" si="132"/>
        <v>26370</v>
      </c>
      <c r="BL28" s="565">
        <f t="shared" si="132"/>
        <v>25000</v>
      </c>
      <c r="BM28" s="565">
        <f t="shared" ref="BM28:BN28" si="134">SUM(BM26:BM27)</f>
        <v>114668</v>
      </c>
      <c r="BN28" s="565">
        <f t="shared" si="134"/>
        <v>28966</v>
      </c>
      <c r="BO28" s="565">
        <f t="shared" si="132"/>
        <v>154783</v>
      </c>
      <c r="BP28" s="565">
        <f>SUM(BP26:BP27)</f>
        <v>93930</v>
      </c>
      <c r="BQ28" s="547">
        <f>SUM(BQ26:BQ27)</f>
        <v>762595</v>
      </c>
      <c r="BR28" s="548">
        <f t="shared" si="132"/>
        <v>294000</v>
      </c>
      <c r="BS28" s="565">
        <f t="shared" si="132"/>
        <v>119900</v>
      </c>
      <c r="BT28" s="565">
        <f t="shared" si="132"/>
        <v>108100</v>
      </c>
      <c r="BU28" s="565">
        <f>SUM(BU26:BU27)</f>
        <v>26160</v>
      </c>
      <c r="BV28" s="547">
        <f t="shared" si="132"/>
        <v>328062</v>
      </c>
      <c r="BW28" s="548">
        <f t="shared" ref="BW28:BY28" si="135">SUM(BW26:BW27)</f>
        <v>326000</v>
      </c>
      <c r="BX28" s="565">
        <f t="shared" si="135"/>
        <v>52000</v>
      </c>
      <c r="BY28" s="565">
        <f t="shared" si="135"/>
        <v>50000</v>
      </c>
      <c r="BZ28" s="547">
        <f t="shared" ref="BZ28" si="136">SUM(BZ26:BZ27)</f>
        <v>114125</v>
      </c>
      <c r="CA28" s="548">
        <f t="shared" si="132"/>
        <v>111858</v>
      </c>
      <c r="CB28" s="547">
        <f t="shared" ref="CB28" si="137">SUM(CB26:CB27)</f>
        <v>701014</v>
      </c>
      <c r="CC28" s="548">
        <f>SUM(CC26:CC27)</f>
        <v>40000</v>
      </c>
      <c r="CD28" s="565">
        <f t="shared" ref="CD28:CE28" si="138">SUM(CD26:CD27)</f>
        <v>696088</v>
      </c>
      <c r="CE28" s="565">
        <f t="shared" si="138"/>
        <v>101872</v>
      </c>
      <c r="CF28" s="565">
        <f>SUM(CF26:CF27)</f>
        <v>40000</v>
      </c>
      <c r="CG28" s="565">
        <f t="shared" ref="CG28:CI28" si="139">SUM(CG26:CG27)</f>
        <v>668495</v>
      </c>
      <c r="CH28" s="565">
        <f t="shared" si="139"/>
        <v>120305</v>
      </c>
      <c r="CI28" s="565">
        <f t="shared" si="139"/>
        <v>137004</v>
      </c>
      <c r="CJ28" s="565">
        <f t="shared" ref="CJ28:CL28" si="140">SUM(CJ26:CJ27)</f>
        <v>21800</v>
      </c>
      <c r="CK28" s="565">
        <f t="shared" si="140"/>
        <v>58027</v>
      </c>
      <c r="CL28" s="565">
        <f t="shared" si="140"/>
        <v>478401</v>
      </c>
      <c r="CM28" s="547">
        <f>SUM(CM26:CM27)</f>
        <v>143662</v>
      </c>
      <c r="CN28" s="548">
        <f>SUM(CN26:CN27)</f>
        <v>89430</v>
      </c>
      <c r="CO28" s="565">
        <f>SUM(CO26:CO27)</f>
        <v>44580</v>
      </c>
      <c r="CP28" s="565">
        <f t="shared" ref="CP28:CR28" si="141">SUM(CP26:CP27)</f>
        <v>84600</v>
      </c>
      <c r="CQ28" s="565">
        <f t="shared" si="141"/>
        <v>158100</v>
      </c>
      <c r="CR28" s="547">
        <f t="shared" si="141"/>
        <v>139240</v>
      </c>
      <c r="CS28" s="548">
        <f>SUM(CS26:CS27)</f>
        <v>124320</v>
      </c>
      <c r="CT28" s="565">
        <f t="shared" ref="CT28:CZ28" si="142">SUM(CT26:CT27)</f>
        <v>131380</v>
      </c>
      <c r="CU28" s="565">
        <f t="shared" si="142"/>
        <v>16200</v>
      </c>
      <c r="CV28" s="565">
        <f t="shared" si="142"/>
        <v>30000</v>
      </c>
      <c r="CW28" s="565">
        <f t="shared" si="142"/>
        <v>443724</v>
      </c>
      <c r="CX28" s="565">
        <f t="shared" si="142"/>
        <v>268995</v>
      </c>
      <c r="CY28" s="565">
        <f t="shared" ref="CY28" si="143">SUM(CY26:CY27)</f>
        <v>98025</v>
      </c>
      <c r="CZ28" s="565">
        <f t="shared" si="142"/>
        <v>600</v>
      </c>
      <c r="DA28" s="565">
        <f t="shared" ref="DA28" si="144">SUM(DA26:DA27)</f>
        <v>80220</v>
      </c>
      <c r="DB28" s="565">
        <f t="shared" ref="DB28" si="145">SUM(DB26:DB27)</f>
        <v>9483</v>
      </c>
      <c r="DC28" s="565">
        <f t="shared" ref="DC28" si="146">SUM(DC26:DC27)</f>
        <v>302321</v>
      </c>
      <c r="DD28" s="565">
        <f t="shared" ref="DD28" si="147">SUM(DD26:DD27)</f>
        <v>47150</v>
      </c>
      <c r="DE28" s="565">
        <f t="shared" ref="DE28" si="148">SUM(DE26:DE27)</f>
        <v>50833</v>
      </c>
      <c r="DF28" s="565">
        <f t="shared" ref="DF28:DG28" si="149">SUM(DF26:DF27)</f>
        <v>925</v>
      </c>
      <c r="DG28" s="565">
        <f t="shared" si="149"/>
        <v>95604</v>
      </c>
      <c r="DH28" s="565">
        <f t="shared" ref="DH28" si="150">SUM(DH26:DH27)</f>
        <v>154654</v>
      </c>
      <c r="DI28" s="547">
        <f>SUM(DI26:DI27)</f>
        <v>25000</v>
      </c>
      <c r="DJ28" s="548">
        <f t="shared" ref="DJ28:DO28" si="151">SUM(DJ26:DJ27)</f>
        <v>36300</v>
      </c>
      <c r="DK28" s="565">
        <f t="shared" ref="DK28" si="152">SUM(DK26:DK27)</f>
        <v>196200</v>
      </c>
      <c r="DL28" s="565">
        <f t="shared" si="151"/>
        <v>234600</v>
      </c>
      <c r="DM28" s="565">
        <f t="shared" si="151"/>
        <v>625</v>
      </c>
      <c r="DN28" s="565">
        <f t="shared" ref="DN28" si="153">SUM(DN26:DN27)</f>
        <v>6975</v>
      </c>
      <c r="DO28" s="565">
        <f t="shared" si="151"/>
        <v>1800</v>
      </c>
      <c r="DP28" s="565">
        <f t="shared" ref="DP28:DR28" si="154">SUM(DP26:DP27)</f>
        <v>35000</v>
      </c>
      <c r="DQ28" s="565">
        <f t="shared" si="154"/>
        <v>37200</v>
      </c>
      <c r="DR28" s="565">
        <f t="shared" si="154"/>
        <v>42250</v>
      </c>
      <c r="DS28" s="565">
        <f t="shared" ref="DS28" si="155">SUM(DS26:DS27)</f>
        <v>15260</v>
      </c>
      <c r="DT28" s="547">
        <f t="shared" ref="DT28" si="156">SUM(DT26:DT27)</f>
        <v>25000</v>
      </c>
      <c r="DU28" s="54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547"/>
      <c r="EO28" s="54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550"/>
    </row>
    <row r="29" spans="1:158" x14ac:dyDescent="0.25">
      <c r="A29" s="397">
        <f t="shared" si="1"/>
        <v>23</v>
      </c>
      <c r="B29" s="90" t="s">
        <v>36</v>
      </c>
      <c r="C29" s="78">
        <f>SUM(D29:FB29)</f>
        <v>41819678.970000021</v>
      </c>
      <c r="D29" s="454">
        <f t="shared" ref="D29:BD29" si="157">+D28*(1+D19)</f>
        <v>100397.52</v>
      </c>
      <c r="E29" s="49">
        <f t="shared" si="157"/>
        <v>829561.2</v>
      </c>
      <c r="F29" s="49">
        <f t="shared" si="157"/>
        <v>521643</v>
      </c>
      <c r="G29" s="49">
        <f t="shared" si="157"/>
        <v>4022.1</v>
      </c>
      <c r="H29" s="49">
        <f t="shared" ref="H29" si="158">+H28*(1+H19)</f>
        <v>962696.4</v>
      </c>
      <c r="I29" s="49">
        <f t="shared" ref="I29" si="159">+I28*(1+I19)</f>
        <v>93031.05</v>
      </c>
      <c r="J29" s="49">
        <f t="shared" si="157"/>
        <v>577054.5</v>
      </c>
      <c r="K29" s="49">
        <f t="shared" si="157"/>
        <v>369861</v>
      </c>
      <c r="L29" s="49">
        <f t="shared" si="157"/>
        <v>634806.68999999994</v>
      </c>
      <c r="M29" s="49">
        <f t="shared" ref="M29:O29" si="160">+M28*(1+M19)</f>
        <v>69086.64</v>
      </c>
      <c r="N29" s="49">
        <f t="shared" ref="N29" si="161">+N28*(1+N19)</f>
        <v>0</v>
      </c>
      <c r="O29" s="49">
        <f t="shared" si="160"/>
        <v>508887.89999999997</v>
      </c>
      <c r="P29" s="49">
        <f t="shared" ref="P29:T29" si="162">+P28*(1+P19)</f>
        <v>300941.64</v>
      </c>
      <c r="Q29" s="49">
        <f t="shared" si="162"/>
        <v>140650.5</v>
      </c>
      <c r="R29" s="49">
        <f t="shared" ref="R29:S29" si="163">+R28*(1+R19)</f>
        <v>1564949.91</v>
      </c>
      <c r="S29" s="49">
        <f t="shared" si="163"/>
        <v>1022270.22</v>
      </c>
      <c r="T29" s="49">
        <f t="shared" si="162"/>
        <v>590449.19999999995</v>
      </c>
      <c r="U29" s="49">
        <f t="shared" ref="U29" si="164">+U28*(1+U19)</f>
        <v>1497634.47</v>
      </c>
      <c r="V29" s="49">
        <f t="shared" si="157"/>
        <v>1539191.25</v>
      </c>
      <c r="W29" s="49">
        <f>+W28*(1+W19)</f>
        <v>341548.86</v>
      </c>
      <c r="X29" s="49">
        <f>+X28*(1+X19)</f>
        <v>109568.4</v>
      </c>
      <c r="Y29" s="49">
        <f t="shared" si="157"/>
        <v>1591557.27</v>
      </c>
      <c r="Z29" s="49">
        <f t="shared" si="157"/>
        <v>281784.39</v>
      </c>
      <c r="AA29" s="469">
        <f t="shared" si="157"/>
        <v>1515144.75</v>
      </c>
      <c r="AB29" s="454">
        <f t="shared" si="157"/>
        <v>1750093.2</v>
      </c>
      <c r="AC29" s="49">
        <f t="shared" si="157"/>
        <v>3207940.86</v>
      </c>
      <c r="AD29" s="49">
        <f t="shared" si="157"/>
        <v>1268007</v>
      </c>
      <c r="AE29" s="49">
        <f t="shared" si="157"/>
        <v>110085</v>
      </c>
      <c r="AF29" s="49">
        <f t="shared" ref="AF29:AL29" si="165">+AF28*(1+AF19)</f>
        <v>1327113.42</v>
      </c>
      <c r="AG29" s="49">
        <f t="shared" si="165"/>
        <v>239714.69999999998</v>
      </c>
      <c r="AH29" s="49">
        <f t="shared" si="165"/>
        <v>97102.35</v>
      </c>
      <c r="AI29" s="49">
        <f t="shared" si="165"/>
        <v>747329.55</v>
      </c>
      <c r="AJ29" s="49">
        <f t="shared" si="165"/>
        <v>1327168.77</v>
      </c>
      <c r="AK29" s="49">
        <f t="shared" si="165"/>
        <v>211727.28</v>
      </c>
      <c r="AL29" s="49">
        <f t="shared" si="165"/>
        <v>527704.43999999994</v>
      </c>
      <c r="AM29" s="49">
        <f t="shared" si="157"/>
        <v>1358412</v>
      </c>
      <c r="AN29" s="49">
        <f t="shared" si="157"/>
        <v>61500</v>
      </c>
      <c r="AO29" s="49">
        <f t="shared" si="157"/>
        <v>268078.5</v>
      </c>
      <c r="AP29" s="49">
        <f t="shared" si="157"/>
        <v>182716.5</v>
      </c>
      <c r="AQ29" s="469">
        <f t="shared" si="157"/>
        <v>358921.38</v>
      </c>
      <c r="AR29" s="546">
        <f t="shared" si="157"/>
        <v>1001220</v>
      </c>
      <c r="AS29" s="454">
        <f t="shared" si="157"/>
        <v>123612.54</v>
      </c>
      <c r="AT29" s="49">
        <f t="shared" ref="AT29:AX29" si="166">+AT28*(1+AT19)</f>
        <v>303244.2</v>
      </c>
      <c r="AU29" s="49">
        <f t="shared" si="166"/>
        <v>97650.93</v>
      </c>
      <c r="AV29" s="49">
        <f t="shared" ref="AV29:AW29" si="167">+AV28*(1+AV19)</f>
        <v>43050</v>
      </c>
      <c r="AW29" s="49">
        <f t="shared" si="167"/>
        <v>39416.58</v>
      </c>
      <c r="AX29" s="469">
        <f t="shared" si="166"/>
        <v>43050</v>
      </c>
      <c r="AY29" s="454">
        <f t="shared" si="157"/>
        <v>5368.95</v>
      </c>
      <c r="AZ29" s="49">
        <f t="shared" ref="AZ29:BA29" si="168">+AZ28*(1+AZ19)</f>
        <v>38478.089999999997</v>
      </c>
      <c r="BA29" s="49">
        <f t="shared" si="168"/>
        <v>12177</v>
      </c>
      <c r="BB29" s="49">
        <f t="shared" ref="BB29" si="169">+BB28*(1+BB19)</f>
        <v>6974.0999999999995</v>
      </c>
      <c r="BC29" s="49">
        <f t="shared" si="157"/>
        <v>30750</v>
      </c>
      <c r="BD29" s="49">
        <f t="shared" si="157"/>
        <v>358767.63</v>
      </c>
      <c r="BE29" s="49">
        <f t="shared" ref="BE29" si="170">+BE28*(1+BE19)</f>
        <v>19172.009999999998</v>
      </c>
      <c r="BF29" s="49">
        <f t="shared" ref="BF29:CA29" si="171">+BF28*(1+BF19)</f>
        <v>4040.5499999999997</v>
      </c>
      <c r="BG29" s="49">
        <f t="shared" ref="BG29" si="172">+BG28*(1+BG19)</f>
        <v>30750</v>
      </c>
      <c r="BH29" s="49">
        <f t="shared" si="171"/>
        <v>226375.35</v>
      </c>
      <c r="BI29" s="49">
        <f t="shared" si="171"/>
        <v>9077.4</v>
      </c>
      <c r="BJ29" s="49">
        <f t="shared" si="171"/>
        <v>183321.66</v>
      </c>
      <c r="BK29" s="49">
        <f t="shared" si="171"/>
        <v>32435.1</v>
      </c>
      <c r="BL29" s="49">
        <f t="shared" si="171"/>
        <v>30750</v>
      </c>
      <c r="BM29" s="49">
        <f t="shared" ref="BM29:BN29" si="173">+BM28*(1+BM19)</f>
        <v>141041.63999999998</v>
      </c>
      <c r="BN29" s="49">
        <f t="shared" si="173"/>
        <v>35628.18</v>
      </c>
      <c r="BO29" s="49">
        <f t="shared" si="171"/>
        <v>190383.09</v>
      </c>
      <c r="BP29" s="49">
        <f>+BP28*(1+BP19)</f>
        <v>115533.9</v>
      </c>
      <c r="BQ29" s="469">
        <f>+BQ28*(1+BQ19)</f>
        <v>937991.85</v>
      </c>
      <c r="BR29" s="454">
        <f t="shared" si="171"/>
        <v>361620</v>
      </c>
      <c r="BS29" s="49">
        <f t="shared" si="171"/>
        <v>147477</v>
      </c>
      <c r="BT29" s="49">
        <f t="shared" si="171"/>
        <v>132963</v>
      </c>
      <c r="BU29" s="49">
        <f>+BU28*(1+BU19)</f>
        <v>32176.799999999999</v>
      </c>
      <c r="BV29" s="469">
        <f t="shared" si="171"/>
        <v>403516.26</v>
      </c>
      <c r="BW29" s="454">
        <f t="shared" ref="BW29:BY29" si="174">+BW28*(1+BW19)</f>
        <v>400980</v>
      </c>
      <c r="BX29" s="49">
        <f t="shared" si="174"/>
        <v>63960</v>
      </c>
      <c r="BY29" s="49">
        <f t="shared" si="174"/>
        <v>61500</v>
      </c>
      <c r="BZ29" s="469">
        <f t="shared" ref="BZ29" si="175">+BZ28*(1+BZ19)</f>
        <v>140373.75</v>
      </c>
      <c r="CA29" s="454">
        <f t="shared" si="171"/>
        <v>137585.34</v>
      </c>
      <c r="CB29" s="469">
        <f t="shared" ref="CB29" si="176">+CB28*(1+CB19)</f>
        <v>862247.22</v>
      </c>
      <c r="CC29" s="454">
        <f>+CC28*(1+CC19)</f>
        <v>49200</v>
      </c>
      <c r="CD29" s="49">
        <f t="shared" ref="CD29:CE29" si="177">+CD28*(1+CD19)</f>
        <v>856188.24</v>
      </c>
      <c r="CE29" s="49">
        <f t="shared" si="177"/>
        <v>125302.56</v>
      </c>
      <c r="CF29" s="49">
        <f>+CF28*(1+CF19)</f>
        <v>49200</v>
      </c>
      <c r="CG29" s="49">
        <f t="shared" ref="CG29:CI29" si="178">+CG28*(1+CG19)</f>
        <v>822248.85</v>
      </c>
      <c r="CH29" s="49">
        <f t="shared" si="178"/>
        <v>147975.15</v>
      </c>
      <c r="CI29" s="49">
        <f t="shared" si="178"/>
        <v>168514.91999999998</v>
      </c>
      <c r="CJ29" s="49">
        <f t="shared" ref="CJ29:CL29" si="179">+CJ28*(1+CJ19)</f>
        <v>26814</v>
      </c>
      <c r="CK29" s="49">
        <f t="shared" si="179"/>
        <v>71373.209999999992</v>
      </c>
      <c r="CL29" s="49">
        <f t="shared" si="179"/>
        <v>588433.23</v>
      </c>
      <c r="CM29" s="469">
        <f>+CM28*(1+CM19)</f>
        <v>176704.26</v>
      </c>
      <c r="CN29" s="454">
        <f>+CN28*(1+CN19)</f>
        <v>109998.9</v>
      </c>
      <c r="CO29" s="49">
        <f>+CO28*(1+CO19)</f>
        <v>54833.4</v>
      </c>
      <c r="CP29" s="49">
        <f t="shared" ref="CP29:CR29" si="180">+CP28*(1+CP19)</f>
        <v>104058</v>
      </c>
      <c r="CQ29" s="49">
        <f t="shared" si="180"/>
        <v>194463</v>
      </c>
      <c r="CR29" s="469">
        <f t="shared" si="180"/>
        <v>171265.2</v>
      </c>
      <c r="CS29" s="454">
        <f>+CS28*(1+CS19)</f>
        <v>152913.60000000001</v>
      </c>
      <c r="CT29" s="49">
        <f t="shared" ref="CT29:CZ29" si="181">+CT28*(1+CT19)</f>
        <v>161597.4</v>
      </c>
      <c r="CU29" s="49">
        <f t="shared" si="181"/>
        <v>19926</v>
      </c>
      <c r="CV29" s="49">
        <f t="shared" si="181"/>
        <v>36900</v>
      </c>
      <c r="CW29" s="49">
        <f t="shared" si="181"/>
        <v>545780.52</v>
      </c>
      <c r="CX29" s="49">
        <f t="shared" si="181"/>
        <v>330863.84999999998</v>
      </c>
      <c r="CY29" s="49">
        <f t="shared" ref="CY29" si="182">+CY28*(1+CY19)</f>
        <v>120570.75</v>
      </c>
      <c r="CZ29" s="49">
        <f t="shared" si="181"/>
        <v>738</v>
      </c>
      <c r="DA29" s="49">
        <f t="shared" ref="DA29" si="183">+DA28*(1+DA19)</f>
        <v>98670.6</v>
      </c>
      <c r="DB29" s="49">
        <f t="shared" ref="DB29" si="184">+DB28*(1+DB19)</f>
        <v>11664.09</v>
      </c>
      <c r="DC29" s="49">
        <f t="shared" ref="DC29" si="185">+DC28*(1+DC19)</f>
        <v>371854.83</v>
      </c>
      <c r="DD29" s="49">
        <f t="shared" ref="DD29" si="186">+DD28*(1+DD19)</f>
        <v>57994.5</v>
      </c>
      <c r="DE29" s="49">
        <f t="shared" ref="DE29" si="187">+DE28*(1+DE19)</f>
        <v>62524.59</v>
      </c>
      <c r="DF29" s="49">
        <f t="shared" ref="DF29:DG29" si="188">+DF28*(1+DF19)</f>
        <v>1137.75</v>
      </c>
      <c r="DG29" s="49">
        <f t="shared" si="188"/>
        <v>117592.92</v>
      </c>
      <c r="DH29" s="49">
        <f t="shared" ref="DH29" si="189">+DH28*(1+DH19)</f>
        <v>190224.41999999998</v>
      </c>
      <c r="DI29" s="469">
        <f>+DI28*(1+DI19)</f>
        <v>30750</v>
      </c>
      <c r="DJ29" s="454">
        <f t="shared" ref="DJ29:DO29" si="190">+DJ28*(1+DJ19)</f>
        <v>44649</v>
      </c>
      <c r="DK29" s="49">
        <f t="shared" ref="DK29" si="191">+DK28*(1+DK19)</f>
        <v>241326</v>
      </c>
      <c r="DL29" s="49">
        <f t="shared" si="190"/>
        <v>288558</v>
      </c>
      <c r="DM29" s="49">
        <f t="shared" si="190"/>
        <v>768.75</v>
      </c>
      <c r="DN29" s="49">
        <f t="shared" ref="DN29" si="192">+DN28*(1+DN19)</f>
        <v>8579.25</v>
      </c>
      <c r="DO29" s="49">
        <f t="shared" si="190"/>
        <v>2214</v>
      </c>
      <c r="DP29" s="49">
        <f t="shared" ref="DP29:DR29" si="193">+DP28*(1+DP19)</f>
        <v>43050</v>
      </c>
      <c r="DQ29" s="49">
        <f t="shared" si="193"/>
        <v>45756</v>
      </c>
      <c r="DR29" s="49">
        <f t="shared" si="193"/>
        <v>51967.5</v>
      </c>
      <c r="DS29" s="49">
        <f t="shared" ref="DS29" si="194">+DS28*(1+DS19)</f>
        <v>18769.8</v>
      </c>
      <c r="DT29" s="469">
        <f t="shared" ref="DT29" si="195">+DT28*(1+DT19)</f>
        <v>30750</v>
      </c>
      <c r="DU29" s="454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69"/>
      <c r="EO29" s="454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70"/>
    </row>
    <row r="30" spans="1:158" x14ac:dyDescent="0.25">
      <c r="A30" s="397">
        <f t="shared" si="1"/>
        <v>24</v>
      </c>
      <c r="B30" s="90" t="s">
        <v>37</v>
      </c>
      <c r="C30" s="78">
        <f>SUM(D30:FB30)</f>
        <v>16860556.232361015</v>
      </c>
      <c r="D30" s="454">
        <f t="shared" ref="D30:BD30" si="196">+D29*D15*D18</f>
        <v>15137.505843568197</v>
      </c>
      <c r="E30" s="49">
        <f t="shared" si="196"/>
        <v>125077.66638655461</v>
      </c>
      <c r="F30" s="49">
        <f t="shared" si="196"/>
        <v>78651.085811247583</v>
      </c>
      <c r="G30" s="49">
        <f t="shared" si="196"/>
        <v>2391.2905462184872</v>
      </c>
      <c r="H30" s="49">
        <f t="shared" ref="H30" si="197">+H29*H15*H18</f>
        <v>259381.96071428573</v>
      </c>
      <c r="I30" s="49">
        <f t="shared" ref="I30" si="198">+I29*I15*I18</f>
        <v>55310.477205882351</v>
      </c>
      <c r="J30" s="49">
        <f t="shared" si="196"/>
        <v>87005.793228829993</v>
      </c>
      <c r="K30" s="49">
        <f t="shared" si="196"/>
        <v>55766.049288946349</v>
      </c>
      <c r="L30" s="49">
        <f t="shared" si="196"/>
        <v>95713.419807692291</v>
      </c>
      <c r="M30" s="49">
        <f t="shared" ref="M30:O30" si="199">+M29*M15*M18</f>
        <v>55013.642307692302</v>
      </c>
      <c r="N30" s="49">
        <f t="shared" ref="N30" si="200">+N29*N15*N18</f>
        <v>0</v>
      </c>
      <c r="O30" s="49">
        <f t="shared" si="199"/>
        <v>76727.926745313511</v>
      </c>
      <c r="P30" s="49">
        <f t="shared" ref="P30:T30" si="201">+P29*P15*P18</f>
        <v>239639.61394634779</v>
      </c>
      <c r="Q30" s="49">
        <f t="shared" si="201"/>
        <v>55545.355425824178</v>
      </c>
      <c r="R30" s="49">
        <f t="shared" ref="R30:S30" si="202">+R29*R15*R18</f>
        <v>1246168.5005696507</v>
      </c>
      <c r="S30" s="49">
        <f t="shared" si="202"/>
        <v>814033.04929702647</v>
      </c>
      <c r="T30" s="49">
        <f t="shared" si="201"/>
        <v>470174.27811893984</v>
      </c>
      <c r="U30" s="49">
        <f t="shared" ref="U30" si="203">+U29*U15*U18</f>
        <v>1357261.4912346476</v>
      </c>
      <c r="V30" s="49">
        <f t="shared" si="196"/>
        <v>232072.63029250162</v>
      </c>
      <c r="W30" s="49">
        <f>+W29*W15*W18</f>
        <v>176280.16671380089</v>
      </c>
      <c r="X30" s="49">
        <f>+X29*X15*X18</f>
        <v>65142.557142857135</v>
      </c>
      <c r="Y30" s="49">
        <f t="shared" si="196"/>
        <v>239968.15334680027</v>
      </c>
      <c r="Z30" s="49">
        <f t="shared" si="196"/>
        <v>145434.53386595024</v>
      </c>
      <c r="AA30" s="469">
        <f t="shared" si="196"/>
        <v>408229.65165441181</v>
      </c>
      <c r="AB30" s="454">
        <f t="shared" si="196"/>
        <v>1040496.5873949579</v>
      </c>
      <c r="AC30" s="49">
        <f t="shared" si="196"/>
        <v>1907242.1499579831</v>
      </c>
      <c r="AD30" s="49">
        <f t="shared" si="196"/>
        <v>275404.23529411765</v>
      </c>
      <c r="AE30" s="49">
        <f t="shared" si="196"/>
        <v>65449.695378151257</v>
      </c>
      <c r="AF30" s="49">
        <f t="shared" ref="AF30:AL30" si="204">+AF29*AF15*AF18</f>
        <v>288241.82877828053</v>
      </c>
      <c r="AG30" s="49">
        <f t="shared" si="204"/>
        <v>142519.45399159662</v>
      </c>
      <c r="AH30" s="49">
        <f t="shared" si="204"/>
        <v>61116.576868535871</v>
      </c>
      <c r="AI30" s="49">
        <f t="shared" si="204"/>
        <v>595097.98927359411</v>
      </c>
      <c r="AJ30" s="49">
        <f t="shared" si="204"/>
        <v>1056823.5478627989</v>
      </c>
      <c r="AK30" s="49">
        <f t="shared" si="204"/>
        <v>31923.327769877185</v>
      </c>
      <c r="AL30" s="49">
        <f t="shared" si="204"/>
        <v>114614.53900452488</v>
      </c>
      <c r="AM30" s="49">
        <f t="shared" si="196"/>
        <v>204815.51325145445</v>
      </c>
      <c r="AN30" s="49">
        <f t="shared" si="196"/>
        <v>9272.7052359405297</v>
      </c>
      <c r="AO30" s="49">
        <f t="shared" si="196"/>
        <v>159382.80567226891</v>
      </c>
      <c r="AP30" s="49">
        <f t="shared" si="196"/>
        <v>27549.207255979316</v>
      </c>
      <c r="AQ30" s="469">
        <f t="shared" si="196"/>
        <v>213392.33306722689</v>
      </c>
      <c r="AR30" s="546">
        <f t="shared" si="196"/>
        <v>231738.42032967033</v>
      </c>
      <c r="AS30" s="454">
        <f t="shared" si="196"/>
        <v>0</v>
      </c>
      <c r="AT30" s="49">
        <f t="shared" ref="AT30:AX30" si="205">+AT29*AT15*AT18</f>
        <v>0</v>
      </c>
      <c r="AU30" s="49">
        <f t="shared" si="205"/>
        <v>16514.495514705883</v>
      </c>
      <c r="AV30" s="49">
        <f t="shared" ref="AV30:AW30" si="206">+AV29*AV15*AV18</f>
        <v>9350.2262443438922</v>
      </c>
      <c r="AW30" s="49">
        <f t="shared" si="206"/>
        <v>12640.950712669684</v>
      </c>
      <c r="AX30" s="469">
        <f t="shared" si="205"/>
        <v>34280.684389140268</v>
      </c>
      <c r="AY30" s="454">
        <f t="shared" si="196"/>
        <v>0</v>
      </c>
      <c r="AZ30" s="49">
        <f t="shared" ref="AZ30:BA30" si="207">+AZ29*AZ15*AZ18</f>
        <v>0</v>
      </c>
      <c r="BA30" s="49">
        <f t="shared" si="207"/>
        <v>0</v>
      </c>
      <c r="BB30" s="49">
        <f t="shared" ref="BB30" si="208">+BB29*BB15*BB18</f>
        <v>0</v>
      </c>
      <c r="BC30" s="49">
        <f t="shared" si="196"/>
        <v>1247.2931480284421</v>
      </c>
      <c r="BD30" s="49">
        <f t="shared" si="196"/>
        <v>28409.201470588232</v>
      </c>
      <c r="BE30" s="49">
        <f t="shared" ref="BE30" si="209">+BE29*BE15*BE18</f>
        <v>1778.3991176470588</v>
      </c>
      <c r="BF30" s="49">
        <f t="shared" ref="BF30:CA30" si="210">+BF29*BF15*BF18</f>
        <v>428.99827892695532</v>
      </c>
      <c r="BG30" s="49">
        <f t="shared" ref="BG30" si="211">+BG29*BG15*BG18</f>
        <v>0</v>
      </c>
      <c r="BH30" s="49">
        <f t="shared" si="210"/>
        <v>4646.0357870071102</v>
      </c>
      <c r="BI30" s="49">
        <f t="shared" si="210"/>
        <v>368.20093729799606</v>
      </c>
      <c r="BJ30" s="49">
        <f t="shared" si="210"/>
        <v>14516.421040723981</v>
      </c>
      <c r="BK30" s="49">
        <f t="shared" si="210"/>
        <v>9670.77561409179</v>
      </c>
      <c r="BL30" s="49">
        <f t="shared" si="210"/>
        <v>21184.106334841628</v>
      </c>
      <c r="BM30" s="49">
        <f t="shared" ref="BM30:BN30" si="212">+BM29*BM15*BM18</f>
        <v>112311.35764382675</v>
      </c>
      <c r="BN30" s="49">
        <f t="shared" si="212"/>
        <v>34057.787935520362</v>
      </c>
      <c r="BO30" s="49">
        <f t="shared" si="210"/>
        <v>0</v>
      </c>
      <c r="BP30" s="49">
        <f>+BP29*BP15*BP18</f>
        <v>12266.608322559794</v>
      </c>
      <c r="BQ30" s="469">
        <f>+BQ29*BQ15*BQ18</f>
        <v>590375.52646856802</v>
      </c>
      <c r="BR30" s="454">
        <f t="shared" si="210"/>
        <v>0</v>
      </c>
      <c r="BS30" s="49">
        <f t="shared" si="210"/>
        <v>0</v>
      </c>
      <c r="BT30" s="49">
        <f t="shared" si="210"/>
        <v>0</v>
      </c>
      <c r="BU30" s="49">
        <f>+BU29*BU15*BU18</f>
        <v>4851.4793794440857</v>
      </c>
      <c r="BV30" s="469">
        <f t="shared" si="210"/>
        <v>143819.50734162898</v>
      </c>
      <c r="BW30" s="454">
        <f t="shared" ref="BW30:BY30" si="213">+BW29*BW15*BW18</f>
        <v>37194.977375565613</v>
      </c>
      <c r="BX30" s="49">
        <f t="shared" si="213"/>
        <v>6790.8403361344544</v>
      </c>
      <c r="BY30" s="49">
        <f t="shared" si="213"/>
        <v>7329.7107304460242</v>
      </c>
      <c r="BZ30" s="469">
        <f t="shared" ref="BZ30" si="214">+BZ29*BZ15*BZ18</f>
        <v>35218.204084518416</v>
      </c>
      <c r="CA30" s="454">
        <f t="shared" si="210"/>
        <v>4168.9158451842277</v>
      </c>
      <c r="CB30" s="469">
        <f t="shared" ref="CB30" si="215">+CB29*CB15*CB18</f>
        <v>686606.84818196506</v>
      </c>
      <c r="CC30" s="454">
        <f>+CC29*CC15*CC18</f>
        <v>14669.360051712994</v>
      </c>
      <c r="CD30" s="49">
        <f t="shared" ref="CD30:CE30" si="216">+CD29*CD15*CD18</f>
        <v>509036.28554621845</v>
      </c>
      <c r="CE30" s="49">
        <f t="shared" si="216"/>
        <v>99778.339431157074</v>
      </c>
      <c r="CF30" s="49">
        <f>+CF29*CF15*CF18</f>
        <v>14669.360051712994</v>
      </c>
      <c r="CG30" s="49">
        <f t="shared" ref="CG30:CI30" si="217">+CG29*CG15*CG18</f>
        <v>263696.32236990955</v>
      </c>
      <c r="CH30" s="49">
        <f t="shared" si="217"/>
        <v>87976.822373949573</v>
      </c>
      <c r="CI30" s="49">
        <f t="shared" si="217"/>
        <v>106063.91154977372</v>
      </c>
      <c r="CJ30" s="49">
        <f t="shared" ref="CJ30:CL30" si="218">+CJ29*CJ15*CJ18</f>
        <v>550.31965093729798</v>
      </c>
      <c r="CK30" s="49">
        <f t="shared" si="218"/>
        <v>42434.072331932766</v>
      </c>
      <c r="CL30" s="49">
        <f t="shared" si="218"/>
        <v>370362.04307409498</v>
      </c>
      <c r="CM30" s="469">
        <f>+CM29*CM15*CM18</f>
        <v>140709.47659179056</v>
      </c>
      <c r="CN30" s="454">
        <f>+CN29*CN15*CN18</f>
        <v>0</v>
      </c>
      <c r="CO30" s="49">
        <f>+CO29*CO15*CO18</f>
        <v>1125.3784421460891</v>
      </c>
      <c r="CP30" s="49">
        <f t="shared" ref="CP30:CR30" si="219">+CP29*CP15*CP18</f>
        <v>6734.8463154492574</v>
      </c>
      <c r="CQ30" s="49">
        <f t="shared" si="219"/>
        <v>18038.423076923078</v>
      </c>
      <c r="CR30" s="469">
        <f t="shared" si="219"/>
        <v>155212.54712346478</v>
      </c>
      <c r="CS30" s="454">
        <f>+CS29*CS15*CS18</f>
        <v>0</v>
      </c>
      <c r="CT30" s="49">
        <f t="shared" ref="CT30:CZ30" si="220">+CT29*CT15*CT18</f>
        <v>0</v>
      </c>
      <c r="CU30" s="49">
        <f t="shared" si="220"/>
        <v>1577.8506787330316</v>
      </c>
      <c r="CV30" s="49">
        <f t="shared" si="220"/>
        <v>3422.8506787330316</v>
      </c>
      <c r="CW30" s="49">
        <f t="shared" si="220"/>
        <v>65047.371283128647</v>
      </c>
      <c r="CX30" s="49">
        <f t="shared" si="220"/>
        <v>44552.731579266321</v>
      </c>
      <c r="CY30" s="49">
        <f t="shared" ref="CY30" si="221">+CY29*CY15*CY18</f>
        <v>35949.100476729152</v>
      </c>
      <c r="CZ30" s="49">
        <f t="shared" si="220"/>
        <v>668.82740788623141</v>
      </c>
      <c r="DA30" s="49">
        <f t="shared" ref="DA30" si="222">+DA29*DA15*DA18</f>
        <v>0</v>
      </c>
      <c r="DB30" s="49">
        <f t="shared" ref="DB30" si="223">+DB29*DB15*DB18</f>
        <v>119.22328579508726</v>
      </c>
      <c r="DC30" s="49">
        <f t="shared" ref="DC30" si="224">+DC29*DC15*DC18</f>
        <v>7631.7975775694886</v>
      </c>
      <c r="DD30" s="49">
        <f t="shared" ref="DD30" si="225">+DD29*DD15*DD18</f>
        <v>5379.5803167420818</v>
      </c>
      <c r="DE30" s="49">
        <f t="shared" ref="DE30" si="226">+DE29*DE15*DE18</f>
        <v>9427.1885051712998</v>
      </c>
      <c r="DF30" s="49">
        <f t="shared" ref="DF30:DG30" si="227">+DF29*DF15*DF18</f>
        <v>263.33911401098902</v>
      </c>
      <c r="DG30" s="49">
        <f t="shared" si="227"/>
        <v>37712.209072398189</v>
      </c>
      <c r="DH30" s="49">
        <f t="shared" ref="DH30" si="228">+DH29*DH15*DH18</f>
        <v>87058.105597931484</v>
      </c>
      <c r="DI30" s="469">
        <f>+DI29*DI15*DI18</f>
        <v>24486.203135100193</v>
      </c>
      <c r="DJ30" s="454">
        <f t="shared" ref="DJ30:DO30" si="229">+DJ29*DJ15*DJ18</f>
        <v>0</v>
      </c>
      <c r="DK30" s="49">
        <f t="shared" ref="DK30" si="230">+DK29*DK15*DK18</f>
        <v>0</v>
      </c>
      <c r="DL30" s="49">
        <f t="shared" si="229"/>
        <v>14747.328296703296</v>
      </c>
      <c r="DM30" s="49">
        <f t="shared" si="229"/>
        <v>71.309389140271492</v>
      </c>
      <c r="DN30" s="49">
        <f t="shared" ref="DN30" si="231">+DN29*DN15*DN18</f>
        <v>795.81278280542983</v>
      </c>
      <c r="DO30" s="49">
        <f t="shared" si="229"/>
        <v>710.03280542986431</v>
      </c>
      <c r="DP30" s="49">
        <f t="shared" ref="DP30:DR30" si="232">+DP29*DP15*DP18</f>
        <v>41152.474547511309</v>
      </c>
      <c r="DQ30" s="49">
        <f t="shared" si="232"/>
        <v>2338.4510342598578</v>
      </c>
      <c r="DR30" s="49">
        <f t="shared" si="232"/>
        <v>7835.4359243697472</v>
      </c>
      <c r="DS30" s="49">
        <f t="shared" ref="DS30" si="233">+DS29*DS15*DS18</f>
        <v>2830.0296380090499</v>
      </c>
      <c r="DT30" s="469">
        <f t="shared" ref="DT30" si="234">+DT29*DT15*DT18</f>
        <v>24486.203135100193</v>
      </c>
      <c r="DU30" s="454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69"/>
      <c r="EO30" s="454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70"/>
    </row>
    <row r="31" spans="1:158" x14ac:dyDescent="0.25">
      <c r="A31" s="397">
        <f t="shared" si="1"/>
        <v>25</v>
      </c>
      <c r="B31" s="90" t="s">
        <v>72</v>
      </c>
      <c r="C31" s="78">
        <f>SUM(D31:FB31)</f>
        <v>10482273.901168847</v>
      </c>
      <c r="D31" s="454">
        <f t="shared" ref="D31:BD31" si="235">+D30*D9</f>
        <v>15137.505843568197</v>
      </c>
      <c r="E31" s="49">
        <f t="shared" si="235"/>
        <v>97695.269590430733</v>
      </c>
      <c r="F31" s="49">
        <f t="shared" si="235"/>
        <v>62374.412545173072</v>
      </c>
      <c r="G31" s="49">
        <f t="shared" si="235"/>
        <v>1896.4181041716026</v>
      </c>
      <c r="H31" s="49">
        <f t="shared" ref="H31" si="236">+H30*H9</f>
        <v>111515.41332095742</v>
      </c>
      <c r="I31" s="49">
        <f t="shared" ref="I31" si="237">+I30*I9</f>
        <v>23779.489944512774</v>
      </c>
      <c r="J31" s="49">
        <f t="shared" si="235"/>
        <v>86603.56771538312</v>
      </c>
      <c r="K31" s="49">
        <f t="shared" si="235"/>
        <v>55766.049288946349</v>
      </c>
      <c r="L31" s="49">
        <f t="shared" si="235"/>
        <v>63176.05466750676</v>
      </c>
      <c r="M31" s="49">
        <f t="shared" ref="M31:O31" si="238">+M30*M9</f>
        <v>36311.991368321258</v>
      </c>
      <c r="N31" s="49">
        <f t="shared" ref="N31" si="239">+N30*N9</f>
        <v>0</v>
      </c>
      <c r="O31" s="49">
        <f t="shared" si="238"/>
        <v>76002.735359631915</v>
      </c>
      <c r="P31" s="49">
        <f t="shared" ref="P31:T31" si="240">+P30*P9</f>
        <v>237374.66829912856</v>
      </c>
      <c r="Q31" s="49">
        <f t="shared" si="240"/>
        <v>55020.370391325116</v>
      </c>
      <c r="R31" s="49">
        <f t="shared" ref="R31:S31" si="241">+R30*R9</f>
        <v>96869.654912480342</v>
      </c>
      <c r="S31" s="49">
        <f t="shared" si="241"/>
        <v>814033.04929702647</v>
      </c>
      <c r="T31" s="49">
        <f t="shared" si="240"/>
        <v>470174.27811893984</v>
      </c>
      <c r="U31" s="49">
        <f t="shared" ref="U31" si="242">+U30*U9</f>
        <v>0</v>
      </c>
      <c r="V31" s="49">
        <f t="shared" si="235"/>
        <v>232072.63029250162</v>
      </c>
      <c r="W31" s="49">
        <f>+W30*W9</f>
        <v>176280.16671380089</v>
      </c>
      <c r="X31" s="49">
        <f>+X30*X9</f>
        <v>65142.557142857135</v>
      </c>
      <c r="Y31" s="49">
        <f t="shared" si="235"/>
        <v>218627.48562175047</v>
      </c>
      <c r="Z31" s="49">
        <f t="shared" si="235"/>
        <v>132500.85904412775</v>
      </c>
      <c r="AA31" s="469">
        <f t="shared" si="235"/>
        <v>264745.85703202861</v>
      </c>
      <c r="AB31" s="454">
        <f t="shared" si="235"/>
        <v>1040496.5873949579</v>
      </c>
      <c r="AC31" s="49">
        <f t="shared" si="235"/>
        <v>1900696.7230462192</v>
      </c>
      <c r="AD31" s="49">
        <f t="shared" si="235"/>
        <v>0</v>
      </c>
      <c r="AE31" s="49">
        <f t="shared" si="235"/>
        <v>0</v>
      </c>
      <c r="AF31" s="49">
        <f t="shared" ref="AF31:AL31" si="243">+AF30*AF9</f>
        <v>227790.02613054123</v>
      </c>
      <c r="AG31" s="49">
        <f t="shared" si="243"/>
        <v>112629.42053364641</v>
      </c>
      <c r="AH31" s="49">
        <f t="shared" si="243"/>
        <v>48298.842332844797</v>
      </c>
      <c r="AI31" s="49">
        <f t="shared" si="243"/>
        <v>0</v>
      </c>
      <c r="AJ31" s="49">
        <f t="shared" si="243"/>
        <v>413958.86985177337</v>
      </c>
      <c r="AK31" s="49">
        <f t="shared" si="243"/>
        <v>12504.400296767146</v>
      </c>
      <c r="AL31" s="49">
        <f t="shared" si="243"/>
        <v>44894.632723545925</v>
      </c>
      <c r="AM31" s="49">
        <f t="shared" si="235"/>
        <v>188331.19792352719</v>
      </c>
      <c r="AN31" s="49">
        <f t="shared" si="235"/>
        <v>8526.4033829919936</v>
      </c>
      <c r="AO31" s="49">
        <f t="shared" si="235"/>
        <v>146555.08386134414</v>
      </c>
      <c r="AP31" s="49">
        <f t="shared" si="235"/>
        <v>5701.2492659169302</v>
      </c>
      <c r="AQ31" s="469">
        <f t="shared" si="235"/>
        <v>44161.084961447494</v>
      </c>
      <c r="AR31" s="546">
        <f t="shared" si="235"/>
        <v>209817.3252591897</v>
      </c>
      <c r="AS31" s="454">
        <f t="shared" si="235"/>
        <v>0</v>
      </c>
      <c r="AT31" s="49">
        <f t="shared" ref="AT31:AX31" si="244">+AT30*AT9</f>
        <v>0</v>
      </c>
      <c r="AU31" s="49">
        <f t="shared" si="244"/>
        <v>13388.49237598394</v>
      </c>
      <c r="AV31" s="49">
        <f t="shared" ref="AV31:AW31" si="245">+AV30*AV9</f>
        <v>7580.3364792250304</v>
      </c>
      <c r="AW31" s="49">
        <f t="shared" si="245"/>
        <v>10248.164837433787</v>
      </c>
      <c r="AX31" s="469">
        <f t="shared" si="244"/>
        <v>27791.747024837299</v>
      </c>
      <c r="AY31" s="454">
        <f t="shared" si="235"/>
        <v>0</v>
      </c>
      <c r="AZ31" s="49">
        <f t="shared" ref="AZ31:BA31" si="246">+AZ30*AZ9</f>
        <v>0</v>
      </c>
      <c r="BA31" s="49">
        <f t="shared" si="246"/>
        <v>0</v>
      </c>
      <c r="BB31" s="49">
        <f t="shared" ref="BB31" si="247">+BB30*BB9</f>
        <v>0</v>
      </c>
      <c r="BC31" s="49">
        <f t="shared" si="235"/>
        <v>14.931825087077689</v>
      </c>
      <c r="BD31" s="49">
        <f t="shared" si="235"/>
        <v>340.09745655453617</v>
      </c>
      <c r="BE31" s="49">
        <f t="shared" ref="BE31" si="248">+BE30*BE9</f>
        <v>21.289898530825287</v>
      </c>
      <c r="BF31" s="49">
        <f t="shared" ref="BF31:CA31" si="249">+BF30*BF9</f>
        <v>428.99827892695532</v>
      </c>
      <c r="BG31" s="49">
        <f t="shared" ref="BG31" si="250">+BG30*BG9</f>
        <v>0</v>
      </c>
      <c r="BH31" s="49">
        <f t="shared" si="249"/>
        <v>161.2364472415409</v>
      </c>
      <c r="BI31" s="49">
        <f t="shared" si="249"/>
        <v>12.778078715398282</v>
      </c>
      <c r="BJ31" s="49">
        <f t="shared" si="249"/>
        <v>503.7791921048551</v>
      </c>
      <c r="BK31" s="49">
        <f t="shared" si="249"/>
        <v>9670.77561409179</v>
      </c>
      <c r="BL31" s="49">
        <f t="shared" si="249"/>
        <v>735.17514715855918</v>
      </c>
      <c r="BM31" s="49">
        <f t="shared" ref="BM31:BN31" si="251">+BM30*BM9</f>
        <v>3897.6635397442733</v>
      </c>
      <c r="BN31" s="49">
        <f t="shared" si="251"/>
        <v>1181.9445607771668</v>
      </c>
      <c r="BO31" s="49">
        <f t="shared" si="249"/>
        <v>0</v>
      </c>
      <c r="BP31" s="49">
        <f>+BP30*BP9</f>
        <v>12266.608322559794</v>
      </c>
      <c r="BQ31" s="469">
        <f>+BQ30*BQ9</f>
        <v>590375.52646856802</v>
      </c>
      <c r="BR31" s="454">
        <f t="shared" si="249"/>
        <v>0</v>
      </c>
      <c r="BS31" s="49">
        <f t="shared" si="249"/>
        <v>0</v>
      </c>
      <c r="BT31" s="49">
        <f t="shared" si="249"/>
        <v>0</v>
      </c>
      <c r="BU31" s="49">
        <f>+BU30*BU9</f>
        <v>3633.7296026742683</v>
      </c>
      <c r="BV31" s="469">
        <f t="shared" si="249"/>
        <v>107719.96753888905</v>
      </c>
      <c r="BW31" s="454">
        <f t="shared" ref="BW31:BY31" si="252">+BW30*BW9</f>
        <v>14357.369043867922</v>
      </c>
      <c r="BX31" s="49">
        <f t="shared" si="252"/>
        <v>2621.284047020712</v>
      </c>
      <c r="BY31" s="49">
        <f t="shared" si="252"/>
        <v>2829.2895806664542</v>
      </c>
      <c r="BZ31" s="469">
        <f t="shared" ref="BZ31" si="253">+BZ30*BZ9</f>
        <v>13594.328825586452</v>
      </c>
      <c r="CA31" s="454">
        <f t="shared" si="249"/>
        <v>2996.5579600322758</v>
      </c>
      <c r="CB31" s="469">
        <f t="shared" ref="CB31" si="254">+CB30*CB9</f>
        <v>493523.32662436337</v>
      </c>
      <c r="CC31" s="454">
        <f>+CC30*CC9</f>
        <v>9081.4276405099099</v>
      </c>
      <c r="CD31" s="49">
        <f t="shared" ref="CD31:CE31" si="255">+CD30*CD9</f>
        <v>315131.41522776277</v>
      </c>
      <c r="CE31" s="49">
        <f t="shared" si="255"/>
        <v>61770.2317238084</v>
      </c>
      <c r="CF31" s="49">
        <f>+CF30*CF9</f>
        <v>14669.360051712994</v>
      </c>
      <c r="CG31" s="49">
        <f t="shared" ref="CG31:CI31" si="256">+CG30*CG9</f>
        <v>263696.32236990955</v>
      </c>
      <c r="CH31" s="49">
        <f t="shared" si="256"/>
        <v>87976.822373949573</v>
      </c>
      <c r="CI31" s="49">
        <f t="shared" si="256"/>
        <v>106063.91154977372</v>
      </c>
      <c r="CJ31" s="49">
        <f t="shared" ref="CJ31:CL31" si="257">+CJ30*CJ9</f>
        <v>221.0715352634262</v>
      </c>
      <c r="CK31" s="49">
        <f t="shared" si="257"/>
        <v>17046.393858409567</v>
      </c>
      <c r="CL31" s="49">
        <f t="shared" si="257"/>
        <v>148779.90514465229</v>
      </c>
      <c r="CM31" s="469">
        <f>+CM30*CM9</f>
        <v>56525.075859601653</v>
      </c>
      <c r="CN31" s="454">
        <f>+CN30*CN9</f>
        <v>0</v>
      </c>
      <c r="CO31" s="49">
        <f>+CO30*CO9</f>
        <v>674.2867448578271</v>
      </c>
      <c r="CP31" s="49">
        <f t="shared" ref="CP31:CR31" si="258">+CP30*CP9</f>
        <v>4035.2804257578805</v>
      </c>
      <c r="CQ31" s="49">
        <f t="shared" si="258"/>
        <v>10807.981673890856</v>
      </c>
      <c r="CR31" s="469">
        <f t="shared" si="258"/>
        <v>92997.838985960596</v>
      </c>
      <c r="CS31" s="454">
        <f>+CS30*CS9</f>
        <v>0</v>
      </c>
      <c r="CT31" s="49">
        <f t="shared" ref="CT31:CZ31" si="259">+CT30*CT9</f>
        <v>0</v>
      </c>
      <c r="CU31" s="49">
        <f t="shared" si="259"/>
        <v>1292.2948568686002</v>
      </c>
      <c r="CV31" s="49">
        <f t="shared" si="259"/>
        <v>2803.3909593445824</v>
      </c>
      <c r="CW31" s="49">
        <f t="shared" si="259"/>
        <v>53275.246190918064</v>
      </c>
      <c r="CX31" s="49">
        <f t="shared" si="259"/>
        <v>36489.679698692657</v>
      </c>
      <c r="CY31" s="49">
        <f t="shared" ref="CY31" si="260">+CY30*CY9</f>
        <v>29443.114156044929</v>
      </c>
      <c r="CZ31" s="49">
        <f t="shared" si="259"/>
        <v>547.78454703848149</v>
      </c>
      <c r="DA31" s="49">
        <f t="shared" ref="DA31" si="261">+DA30*DA9</f>
        <v>0</v>
      </c>
      <c r="DB31" s="49">
        <f t="shared" ref="DB31" si="262">+DB30*DB9</f>
        <v>17.802466790685234</v>
      </c>
      <c r="DC31" s="49">
        <f t="shared" ref="DC31" si="263">+DC30*DC9</f>
        <v>1139.5829432299649</v>
      </c>
      <c r="DD31" s="49">
        <f t="shared" ref="DD31" si="264">+DD30*DD9</f>
        <v>803.28099748255022</v>
      </c>
      <c r="DE31" s="49">
        <f t="shared" ref="DE31" si="265">+DE30*DE9</f>
        <v>1407.6714055783652</v>
      </c>
      <c r="DF31" s="49">
        <f t="shared" ref="DF31:DG31" si="266">+DF30*DF9</f>
        <v>39.321897568958647</v>
      </c>
      <c r="DG31" s="49">
        <f t="shared" si="266"/>
        <v>5631.201531961231</v>
      </c>
      <c r="DH31" s="49">
        <f t="shared" ref="DH31" si="267">+DH30*DH9</f>
        <v>12999.54973922558</v>
      </c>
      <c r="DI31" s="469">
        <f>+DI30*DI9</f>
        <v>3656.2892494995822</v>
      </c>
      <c r="DJ31" s="454">
        <f t="shared" ref="DJ31:DO31" si="268">+DJ30*DJ9</f>
        <v>0</v>
      </c>
      <c r="DK31" s="49">
        <f t="shared" ref="DK31" si="269">+DK30*DK9</f>
        <v>0</v>
      </c>
      <c r="DL31" s="49">
        <f t="shared" si="268"/>
        <v>2172.5972037245083</v>
      </c>
      <c r="DM31" s="49">
        <f t="shared" si="268"/>
        <v>71.309389140271492</v>
      </c>
      <c r="DN31" s="49">
        <f t="shared" ref="DN31" si="270">+DN30*DN9</f>
        <v>117.24026154607292</v>
      </c>
      <c r="DO31" s="49">
        <f t="shared" si="268"/>
        <v>104.6030342983845</v>
      </c>
      <c r="DP31" s="49">
        <f t="shared" ref="DP31:DR31" si="271">+DP30*DP9</f>
        <v>6062.6405901775306</v>
      </c>
      <c r="DQ31" s="49">
        <f t="shared" si="271"/>
        <v>751.40414556857786</v>
      </c>
      <c r="DR31" s="49">
        <f t="shared" si="271"/>
        <v>7835.4359243697472</v>
      </c>
      <c r="DS31" s="49">
        <f t="shared" ref="DS31" si="272">+DS30*DS9</f>
        <v>909.36092777969941</v>
      </c>
      <c r="DT31" s="469">
        <f>+DT30*DT9</f>
        <v>7868.0435362513654</v>
      </c>
      <c r="DU31" s="454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69"/>
      <c r="EO31" s="454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70"/>
    </row>
    <row r="32" spans="1:158" x14ac:dyDescent="0.25">
      <c r="A32" s="397">
        <f t="shared" si="1"/>
        <v>26</v>
      </c>
      <c r="D32" s="48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94"/>
      <c r="AB32" s="484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94"/>
      <c r="AR32" s="533"/>
      <c r="AS32" s="484"/>
      <c r="AT32" s="57"/>
      <c r="AU32" s="57"/>
      <c r="AV32" s="57"/>
      <c r="AW32" s="57"/>
      <c r="AX32" s="94"/>
      <c r="AY32" s="484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94"/>
      <c r="BR32" s="484"/>
      <c r="BS32" s="57"/>
      <c r="BT32" s="57"/>
      <c r="BU32" s="57"/>
      <c r="BV32" s="94"/>
      <c r="BW32" s="484"/>
      <c r="BX32" s="57"/>
      <c r="BY32" s="57"/>
      <c r="BZ32" s="94"/>
      <c r="CA32" s="484"/>
      <c r="CB32" s="94"/>
      <c r="CC32" s="484"/>
      <c r="CD32" s="57"/>
      <c r="CE32" s="57"/>
      <c r="CF32" s="57"/>
      <c r="CG32" s="57"/>
      <c r="CH32" s="57"/>
      <c r="CI32" s="57"/>
      <c r="CJ32" s="57"/>
      <c r="CK32" s="57"/>
      <c r="CL32" s="57"/>
      <c r="CM32" s="94"/>
      <c r="CN32" s="484"/>
      <c r="CO32" s="57"/>
      <c r="CP32" s="57"/>
      <c r="CQ32" s="57"/>
      <c r="CR32" s="94"/>
      <c r="CS32" s="484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94"/>
      <c r="DJ32" s="484"/>
      <c r="DK32" s="57"/>
      <c r="DL32" s="57"/>
      <c r="DM32" s="57"/>
      <c r="DN32" s="57"/>
      <c r="DO32" s="57"/>
      <c r="DP32" s="57"/>
      <c r="DQ32" s="57"/>
      <c r="DR32" s="57"/>
      <c r="DS32" s="57"/>
      <c r="DT32" s="94"/>
      <c r="DU32" s="484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94"/>
      <c r="EO32" s="484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485"/>
    </row>
    <row r="33" spans="1:158" x14ac:dyDescent="0.25">
      <c r="A33" s="397">
        <f t="shared" si="1"/>
        <v>27</v>
      </c>
      <c r="B33" s="87" t="s">
        <v>73</v>
      </c>
      <c r="C33" s="78"/>
      <c r="D33" s="454">
        <f t="shared" ref="D33:BD33" ca="1" si="273">+D31*D20</f>
        <v>1954.9029171559278</v>
      </c>
      <c r="E33" s="49">
        <f t="shared" ca="1" si="273"/>
        <v>12616.660200716997</v>
      </c>
      <c r="F33" s="49">
        <f t="shared" ca="1" si="273"/>
        <v>8055.2187593212866</v>
      </c>
      <c r="G33" s="49">
        <f ca="1">+G31*G20</f>
        <v>174.72648202785061</v>
      </c>
      <c r="H33" s="49">
        <f t="shared" ref="H33" ca="1" si="274">+H31*H20</f>
        <v>11242.649424778965</v>
      </c>
      <c r="I33" s="49">
        <f t="shared" ref="I33" ca="1" si="275">+I31*I20</f>
        <v>2190.9233060376841</v>
      </c>
      <c r="J33" s="49">
        <f t="shared" ca="1" si="273"/>
        <v>11184.244545467724</v>
      </c>
      <c r="K33" s="49">
        <f t="shared" ca="1" si="273"/>
        <v>7201.7949033223986</v>
      </c>
      <c r="L33" s="49">
        <f t="shared" ca="1" si="273"/>
        <v>8158.7452279258259</v>
      </c>
      <c r="M33" s="49">
        <f t="shared" ref="M33:O33" ca="1" si="276">+M31*M20</f>
        <v>3272.8724060095319</v>
      </c>
      <c r="N33" s="49">
        <f t="shared" ref="N33" ca="1" si="277">+N31*N20</f>
        <v>0</v>
      </c>
      <c r="O33" s="49">
        <f t="shared" ca="1" si="276"/>
        <v>9815.2212525489449</v>
      </c>
      <c r="P33" s="49">
        <f t="shared" ref="P33:T33" ca="1" si="278">+P31*P20</f>
        <v>21395.053603137058</v>
      </c>
      <c r="Q33" s="49">
        <f t="shared" ca="1" si="278"/>
        <v>5211.6395242070976</v>
      </c>
      <c r="R33" s="49">
        <f t="shared" ref="R33:S33" ca="1" si="279">+R31*R20</f>
        <v>8731.0557365716777</v>
      </c>
      <c r="S33" s="49">
        <f t="shared" ca="1" si="279"/>
        <v>73370.426799239591</v>
      </c>
      <c r="T33" s="49">
        <f t="shared" ca="1" si="278"/>
        <v>42377.748035416291</v>
      </c>
      <c r="U33" s="49">
        <f t="shared" ref="U33" ca="1" si="280">+U31*U20</f>
        <v>0</v>
      </c>
      <c r="V33" s="49">
        <f t="shared" ca="1" si="273"/>
        <v>29970.555693864539</v>
      </c>
      <c r="W33" s="49">
        <f ca="1">+W31*W20</f>
        <v>16370.081401710406</v>
      </c>
      <c r="X33" s="49">
        <f ca="1">+X31*X20</f>
        <v>6001.9095023571417</v>
      </c>
      <c r="Y33" s="49">
        <f t="shared" ca="1" si="273"/>
        <v>28234.209375649723</v>
      </c>
      <c r="Z33" s="49">
        <f t="shared" ca="1" si="273"/>
        <v>12304.559774273879</v>
      </c>
      <c r="AA33" s="469">
        <f t="shared" ca="1" si="273"/>
        <v>26690.88306839803</v>
      </c>
      <c r="AB33" s="454">
        <f t="shared" ref="AB33:AH33" ca="1" si="281">+AB31*AB20</f>
        <v>95866.153079634445</v>
      </c>
      <c r="AC33" s="49">
        <f t="shared" ca="1" si="281"/>
        <v>175120.6925778634</v>
      </c>
      <c r="AD33" s="49">
        <f t="shared" ca="1" si="281"/>
        <v>0</v>
      </c>
      <c r="AE33" s="49">
        <f t="shared" ca="1" si="281"/>
        <v>0</v>
      </c>
      <c r="AF33" s="49">
        <f t="shared" ca="1" si="281"/>
        <v>24830.251798359648</v>
      </c>
      <c r="AG33" s="49">
        <f ca="1">+AG31*AG20</f>
        <v>10377.111660867511</v>
      </c>
      <c r="AH33" s="49">
        <f t="shared" ca="1" si="281"/>
        <v>4420.0202572479584</v>
      </c>
      <c r="AI33" s="49">
        <f t="shared" ref="AI33:AJ33" ca="1" si="282">+AI31*AI20</f>
        <v>0</v>
      </c>
      <c r="AJ33" s="49">
        <f t="shared" ca="1" si="282"/>
        <v>37310.94085748004</v>
      </c>
      <c r="AK33" s="49">
        <f t="shared" ref="AK33:AL33" ca="1" si="283">+AK31*AK20</f>
        <v>1614.8557675253996</v>
      </c>
      <c r="AL33" s="49">
        <f t="shared" ca="1" si="283"/>
        <v>4893.7394400301237</v>
      </c>
      <c r="AM33" s="49">
        <f t="shared" ca="1" si="273"/>
        <v>24321.655893438074</v>
      </c>
      <c r="AN33" s="49">
        <f t="shared" ca="1" si="273"/>
        <v>1101.1253120897352</v>
      </c>
      <c r="AO33" s="49">
        <f ca="1">+AO31*AO20</f>
        <v>13502.852651564943</v>
      </c>
      <c r="AP33" s="49">
        <f t="shared" ca="1" si="273"/>
        <v>736.27643394831011</v>
      </c>
      <c r="AQ33" s="469">
        <f ca="1">+AQ31*AQ20</f>
        <v>4068.7815629229644</v>
      </c>
      <c r="AR33" s="546">
        <f t="shared" ca="1" si="273"/>
        <v>22194.476665917085</v>
      </c>
      <c r="AS33" s="454">
        <f t="shared" ca="1" si="273"/>
        <v>0</v>
      </c>
      <c r="AT33" s="49">
        <f t="shared" ref="AT33:AX33" ca="1" si="284">+AT31*AT20</f>
        <v>0</v>
      </c>
      <c r="AU33" s="49">
        <f t="shared" ca="1" si="284"/>
        <v>1646.4766269213771</v>
      </c>
      <c r="AV33" s="49">
        <f t="shared" ref="AV33:AW33" ca="1" si="285">+AV31*AV20</f>
        <v>826.29457791792447</v>
      </c>
      <c r="AW33" s="49">
        <f t="shared" ca="1" si="285"/>
        <v>996.920979055884</v>
      </c>
      <c r="AX33" s="469">
        <f t="shared" ca="1" si="284"/>
        <v>2504.9257428426354</v>
      </c>
      <c r="AY33" s="454">
        <f t="shared" ca="1" si="273"/>
        <v>0</v>
      </c>
      <c r="AZ33" s="49">
        <f t="shared" ref="AZ33:BA33" ca="1" si="286">+AZ31*AZ20</f>
        <v>0</v>
      </c>
      <c r="BA33" s="49">
        <f t="shared" ca="1" si="286"/>
        <v>0</v>
      </c>
      <c r="BB33" s="49">
        <f t="shared" ref="BB33" ca="1" si="287">+BB31*BB20</f>
        <v>0</v>
      </c>
      <c r="BC33" s="49">
        <f t="shared" ca="1" si="273"/>
        <v>4.3193589065891365</v>
      </c>
      <c r="BD33" s="49">
        <f t="shared" ca="1" si="273"/>
        <v>63.681888350010681</v>
      </c>
      <c r="BE33" s="49">
        <f t="shared" ref="BE33" ca="1" si="288">+BE31*BE20</f>
        <v>3.6148970311429487</v>
      </c>
      <c r="BF33" s="49">
        <f t="shared" ref="BF33:CA33" ca="1" si="289">+BF31*BF20</f>
        <v>67.008673171832569</v>
      </c>
      <c r="BG33" s="49">
        <f t="shared" ref="BG33" ca="1" si="290">+BG31*BG20</f>
        <v>0</v>
      </c>
      <c r="BH33" s="49">
        <f t="shared" ca="1" si="289"/>
        <v>80.654985530741527</v>
      </c>
      <c r="BI33" s="49">
        <f t="shared" ca="1" si="289"/>
        <v>3.6963403861606916</v>
      </c>
      <c r="BJ33" s="49">
        <f t="shared" ca="1" si="289"/>
        <v>94.330638604865698</v>
      </c>
      <c r="BK33" s="49">
        <f t="shared" ca="1" si="289"/>
        <v>956.45904978490626</v>
      </c>
      <c r="BL33" s="49">
        <f t="shared" ca="1" si="289"/>
        <v>66.883294187897079</v>
      </c>
      <c r="BM33" s="49">
        <f t="shared" ref="BM33:BN33" ca="1" si="291">+BM31*BM20</f>
        <v>351.30421016423088</v>
      </c>
      <c r="BN33" s="49">
        <f t="shared" ca="1" si="291"/>
        <v>105.65875206611405</v>
      </c>
      <c r="BO33" s="49">
        <f t="shared" ca="1" si="289"/>
        <v>0</v>
      </c>
      <c r="BP33" s="49">
        <f ca="1">+BP31*BP20</f>
        <v>1916.0196867671948</v>
      </c>
      <c r="BQ33" s="469">
        <f ca="1">+BQ31*BQ20</f>
        <v>54027.625929244532</v>
      </c>
      <c r="BR33" s="454">
        <f ca="1">+BR31*BR20</f>
        <v>0</v>
      </c>
      <c r="BS33" s="49">
        <f t="shared" ca="1" si="289"/>
        <v>0</v>
      </c>
      <c r="BT33" s="49">
        <f t="shared" ca="1" si="289"/>
        <v>0</v>
      </c>
      <c r="BU33" s="49">
        <f ca="1">+BU31*BU20</f>
        <v>469.27074207816304</v>
      </c>
      <c r="BV33" s="469">
        <f t="shared" ca="1" si="289"/>
        <v>10330.129447044381</v>
      </c>
      <c r="BW33" s="454">
        <f ca="1">+BW31*BW20</f>
        <v>2437.7951194345101</v>
      </c>
      <c r="BX33" s="49">
        <f t="shared" ref="BX33:BY33" ca="1" si="292">+BX31*BX20</f>
        <v>409.43932557654119</v>
      </c>
      <c r="BY33" s="49">
        <f t="shared" ca="1" si="292"/>
        <v>411.19763049573976</v>
      </c>
      <c r="BZ33" s="469">
        <f t="shared" ref="BZ33" ca="1" si="293">+BZ31*BZ20</f>
        <v>1401.3577926567536</v>
      </c>
      <c r="CA33" s="454">
        <f t="shared" ca="1" si="289"/>
        <v>1090.9029184656699</v>
      </c>
      <c r="CB33" s="469">
        <f t="shared" ref="CB33" ca="1" si="294">+CB31*CB20</f>
        <v>44482.244475307118</v>
      </c>
      <c r="CC33" s="454">
        <f ca="1">+CC31*CC20</f>
        <v>898.1713565017111</v>
      </c>
      <c r="CD33" s="49">
        <f t="shared" ref="CD33:CE33" ca="1" si="295">+CD31*CD20</f>
        <v>29034.632942009921</v>
      </c>
      <c r="CE33" s="49">
        <f t="shared" ca="1" si="295"/>
        <v>5567.4745257302993</v>
      </c>
      <c r="CF33" s="49">
        <f ca="1">+CF31*CF20</f>
        <v>1450.8290478345186</v>
      </c>
      <c r="CG33" s="49">
        <f t="shared" ref="CG33:CI33" ca="1" si="296">+CG31*CG20</f>
        <v>25651.850847500064</v>
      </c>
      <c r="CH33" s="49">
        <f t="shared" ca="1" si="296"/>
        <v>8105.7445294238432</v>
      </c>
      <c r="CI33" s="49">
        <f t="shared" ca="1" si="296"/>
        <v>9706.3328015659918</v>
      </c>
      <c r="CJ33" s="49">
        <f t="shared" ref="CJ33:CK33" ca="1" si="297">+CJ31*CJ20</f>
        <v>110.58617194175316</v>
      </c>
      <c r="CK33" s="49">
        <f t="shared" ca="1" si="297"/>
        <v>1570.5694981445654</v>
      </c>
      <c r="CL33" s="49">
        <f t="shared" ref="CL33" ca="1" si="298">+CL31*CL20</f>
        <v>13615.44423940771</v>
      </c>
      <c r="CM33" s="469">
        <f ca="1">+CM31*CM20</f>
        <v>5094.7181373776166</v>
      </c>
      <c r="CN33" s="454">
        <f ca="1">+CN31*CN20</f>
        <v>0</v>
      </c>
      <c r="CO33" s="49">
        <f ca="1">+CO31*CO20</f>
        <v>337.29710980674116</v>
      </c>
      <c r="CP33" s="49">
        <f t="shared" ref="CP33:CR33" ca="1" si="299">+CP31*CP20</f>
        <v>848.94633125136875</v>
      </c>
      <c r="CQ33" s="49">
        <f t="shared" ca="1" si="299"/>
        <v>1835.1304403366239</v>
      </c>
      <c r="CR33" s="469">
        <f t="shared" ca="1" si="299"/>
        <v>8330.0954314894479</v>
      </c>
      <c r="CS33" s="454">
        <f ca="1">+CS31*CS20</f>
        <v>0</v>
      </c>
      <c r="CT33" s="49">
        <f t="shared" ref="CT33:CZ33" ca="1" si="300">+CT31*CT20</f>
        <v>0</v>
      </c>
      <c r="CU33" s="49">
        <f t="shared" ca="1" si="300"/>
        <v>241.97704276921789</v>
      </c>
      <c r="CV33" s="49">
        <f t="shared" ca="1" si="300"/>
        <v>475.99896455095404</v>
      </c>
      <c r="CW33" s="49">
        <f t="shared" ca="1" si="300"/>
        <v>7742.8111804032669</v>
      </c>
      <c r="CX33" s="49">
        <f t="shared" ca="1" si="300"/>
        <v>4980.1844646369709</v>
      </c>
      <c r="CY33" s="49">
        <f t="shared" ref="CY33" ca="1" si="301">+CY31*CY20</f>
        <v>2911.9828762611555</v>
      </c>
      <c r="CZ33" s="49">
        <f t="shared" ca="1" si="300"/>
        <v>49.066705231877904</v>
      </c>
      <c r="DA33" s="49">
        <f t="shared" ref="DA33:DF33" ca="1" si="302">+DA31*DA20</f>
        <v>0</v>
      </c>
      <c r="DB33" s="49">
        <f t="shared" ca="1" si="302"/>
        <v>14.512695545034138</v>
      </c>
      <c r="DC33" s="49">
        <f t="shared" ca="1" si="302"/>
        <v>570.05129652603887</v>
      </c>
      <c r="DD33" s="49">
        <f t="shared" ca="1" si="302"/>
        <v>136.39229368655214</v>
      </c>
      <c r="DE33" s="49">
        <f t="shared" ca="1" si="302"/>
        <v>181.79090833060684</v>
      </c>
      <c r="DF33" s="49">
        <f t="shared" ca="1" si="302"/>
        <v>4.1594703248444453</v>
      </c>
      <c r="DG33" s="49">
        <f t="shared" ref="DG33:DH33" ca="1" si="303">+DG31*DG20</f>
        <v>547.79202262612466</v>
      </c>
      <c r="DH33" s="49">
        <f t="shared" ca="1" si="303"/>
        <v>1218.304802010482</v>
      </c>
      <c r="DI33" s="469">
        <f ca="1">+DI31*DI20</f>
        <v>329.54866263589633</v>
      </c>
      <c r="DJ33" s="454">
        <f t="shared" ref="DJ33:DO33" ca="1" si="304">+DJ31*DJ20</f>
        <v>0</v>
      </c>
      <c r="DK33" s="49">
        <f t="shared" ref="DK33" ca="1" si="305">+DK31*DK20</f>
        <v>0</v>
      </c>
      <c r="DL33" s="49">
        <f t="shared" ca="1" si="304"/>
        <v>526.58541984993144</v>
      </c>
      <c r="DM33" s="49">
        <f t="shared" ca="1" si="304"/>
        <v>12.107906419683257</v>
      </c>
      <c r="DN33" s="49">
        <f t="shared" ref="DN33" ca="1" si="306">+DN31*DN20</f>
        <v>19.906692968953905</v>
      </c>
      <c r="DO33" s="49">
        <f t="shared" ca="1" si="304"/>
        <v>10.175573970478247</v>
      </c>
      <c r="DP33" s="49">
        <f t="shared" ref="DP33:DR33" ca="1" si="307">+DP31*DP20</f>
        <v>541.96369291833014</v>
      </c>
      <c r="DQ33" s="49">
        <f t="shared" ca="1" si="307"/>
        <v>182.12233118632963</v>
      </c>
      <c r="DR33" s="49">
        <f t="shared" ca="1" si="307"/>
        <v>1011.8917015808823</v>
      </c>
      <c r="DS33" s="49">
        <f t="shared" ref="DS33" ca="1" si="308">+DS31*DS20</f>
        <v>117.43759829625373</v>
      </c>
      <c r="DT33" s="469">
        <f t="shared" ref="DT33" ca="1" si="309">+DT31*DT20</f>
        <v>709.16250000940806</v>
      </c>
      <c r="DU33" s="454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69"/>
      <c r="EO33" s="454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70"/>
    </row>
    <row r="34" spans="1:158" x14ac:dyDescent="0.25">
      <c r="A34" s="397">
        <f t="shared" si="1"/>
        <v>28</v>
      </c>
      <c r="B34" s="87" t="s">
        <v>74</v>
      </c>
      <c r="C34" s="78"/>
      <c r="D34" s="454">
        <f ca="1">+D61</f>
        <v>717.5412</v>
      </c>
      <c r="E34" s="49">
        <f t="shared" ref="E34:BQ34" ca="1" si="310">+E61</f>
        <v>4630.7429999999995</v>
      </c>
      <c r="F34" s="49">
        <f t="shared" ca="1" si="310"/>
        <v>2956.5275999999999</v>
      </c>
      <c r="G34" s="49">
        <f t="shared" ca="1" si="310"/>
        <v>89.870399999999989</v>
      </c>
      <c r="H34" s="49">
        <f t="shared" ca="1" si="310"/>
        <v>5285.8109999999997</v>
      </c>
      <c r="I34" s="49">
        <f t="shared" ca="1" si="310"/>
        <v>1127.1245999999999</v>
      </c>
      <c r="J34" s="49">
        <f t="shared" ca="1" si="310"/>
        <v>4105.0295999999998</v>
      </c>
      <c r="K34" s="49">
        <f t="shared" ca="1" si="310"/>
        <v>2643.3083999999999</v>
      </c>
      <c r="L34" s="49">
        <f t="shared" ca="1" si="310"/>
        <v>2994.5423999999998</v>
      </c>
      <c r="M34" s="49">
        <f t="shared" ca="1" si="310"/>
        <v>1721.1887999999999</v>
      </c>
      <c r="N34" s="49">
        <f t="shared" ref="N34" si="311">+N61</f>
        <v>0</v>
      </c>
      <c r="O34" s="49">
        <f t="shared" ca="1" si="310"/>
        <v>3602.5421999999999</v>
      </c>
      <c r="P34" s="49">
        <f t="shared" ca="1" si="310"/>
        <v>11251.574999999999</v>
      </c>
      <c r="Q34" s="49">
        <f t="shared" ca="1" si="310"/>
        <v>2607.9479999999999</v>
      </c>
      <c r="R34" s="49">
        <f t="shared" ca="1" si="310"/>
        <v>4591.6379999999999</v>
      </c>
      <c r="S34" s="49">
        <f t="shared" ca="1" si="310"/>
        <v>38585.164199999999</v>
      </c>
      <c r="T34" s="49">
        <f t="shared" ca="1" si="310"/>
        <v>22286.247599999999</v>
      </c>
      <c r="U34" s="49">
        <f t="shared" ca="1" si="310"/>
        <v>0</v>
      </c>
      <c r="V34" s="49">
        <f t="shared" ca="1" si="310"/>
        <v>11000.260199999999</v>
      </c>
      <c r="W34" s="49">
        <f t="shared" ca="1" si="310"/>
        <v>8355.6720000000005</v>
      </c>
      <c r="X34" s="49">
        <f t="shared" ca="1" si="310"/>
        <v>3087.7781999999997</v>
      </c>
      <c r="Y34" s="49">
        <f t="shared" ca="1" si="310"/>
        <v>10362.9198</v>
      </c>
      <c r="Z34" s="49">
        <f t="shared" ca="1" si="310"/>
        <v>6280.5473999999995</v>
      </c>
      <c r="AA34" s="469">
        <f t="shared" ca="1" si="310"/>
        <v>14755.294900000001</v>
      </c>
      <c r="AB34" s="454">
        <f t="shared" ca="1" si="310"/>
        <v>49319.557799999995</v>
      </c>
      <c r="AC34" s="49">
        <f t="shared" ca="1" si="310"/>
        <v>90093.037799999991</v>
      </c>
      <c r="AD34" s="49">
        <f t="shared" ca="1" si="310"/>
        <v>0</v>
      </c>
      <c r="AE34" s="49">
        <f t="shared" ca="1" si="310"/>
        <v>0</v>
      </c>
      <c r="AF34" s="49">
        <f t="shared" ca="1" si="310"/>
        <v>10797.245999999999</v>
      </c>
      <c r="AG34" s="49">
        <f t="shared" ca="1" si="310"/>
        <v>5338.6145999999999</v>
      </c>
      <c r="AH34" s="49">
        <f t="shared" ca="1" si="310"/>
        <v>2289.3725999999997</v>
      </c>
      <c r="AI34" s="49">
        <f t="shared" ca="1" si="310"/>
        <v>0</v>
      </c>
      <c r="AJ34" s="49">
        <f t="shared" ca="1" si="310"/>
        <v>19621.656599999998</v>
      </c>
      <c r="AK34" s="49">
        <f t="shared" ca="1" si="310"/>
        <v>592.68959999999993</v>
      </c>
      <c r="AL34" s="49">
        <f t="shared" ca="1" si="310"/>
        <v>2128.0229999999997</v>
      </c>
      <c r="AM34" s="49">
        <f t="shared" ca="1" si="310"/>
        <v>8926.8894</v>
      </c>
      <c r="AN34" s="49">
        <f t="shared" ca="1" si="310"/>
        <v>404.13239999999996</v>
      </c>
      <c r="AO34" s="49">
        <f t="shared" ca="1" si="310"/>
        <v>6946.7069999999994</v>
      </c>
      <c r="AP34" s="49">
        <f t="shared" ca="1" si="310"/>
        <v>270.22739999999999</v>
      </c>
      <c r="AQ34" s="469">
        <f t="shared" ca="1" si="310"/>
        <v>2093.2314000000001</v>
      </c>
      <c r="AR34" s="546">
        <f t="shared" ca="1" si="310"/>
        <v>9945.3257999999987</v>
      </c>
      <c r="AS34" s="454">
        <f t="shared" ca="1" si="310"/>
        <v>0</v>
      </c>
      <c r="AT34" s="49">
        <f t="shared" ca="1" si="310"/>
        <v>0</v>
      </c>
      <c r="AU34" s="49">
        <f t="shared" ca="1" si="310"/>
        <v>634.59119999999996</v>
      </c>
      <c r="AV34" s="49">
        <f t="shared" ca="1" si="310"/>
        <v>359.29199999999997</v>
      </c>
      <c r="AW34" s="49">
        <f t="shared" ca="1" si="310"/>
        <v>485.7552</v>
      </c>
      <c r="AX34" s="469">
        <f t="shared" ca="1" si="310"/>
        <v>1317.3407999999999</v>
      </c>
      <c r="AY34" s="454">
        <f t="shared" ca="1" si="310"/>
        <v>0</v>
      </c>
      <c r="AZ34" s="49">
        <f t="shared" ca="1" si="310"/>
        <v>0</v>
      </c>
      <c r="BA34" s="49">
        <f t="shared" ca="1" si="310"/>
        <v>0</v>
      </c>
      <c r="BB34" s="49">
        <f t="shared" ca="1" si="310"/>
        <v>0</v>
      </c>
      <c r="BC34" s="49">
        <f t="shared" ca="1" si="310"/>
        <v>0.71099999999999997</v>
      </c>
      <c r="BD34" s="49">
        <f t="shared" ca="1" si="310"/>
        <v>16.116</v>
      </c>
      <c r="BE34" s="49">
        <f t="shared" ca="1" si="310"/>
        <v>0.99539999999999995</v>
      </c>
      <c r="BF34" s="49">
        <f t="shared" ca="1" si="310"/>
        <v>20.334599999999998</v>
      </c>
      <c r="BG34" s="49">
        <f t="shared" ca="1" si="310"/>
        <v>0</v>
      </c>
      <c r="BH34" s="49">
        <f t="shared" ca="1" si="310"/>
        <v>7.6313999999999993</v>
      </c>
      <c r="BI34" s="49">
        <f t="shared" ca="1" si="310"/>
        <v>0.61619999999999997</v>
      </c>
      <c r="BJ34" s="49">
        <f t="shared" ca="1" si="310"/>
        <v>23.889599999999998</v>
      </c>
      <c r="BK34" s="49">
        <f t="shared" ca="1" si="310"/>
        <v>458.40539999999999</v>
      </c>
      <c r="BL34" s="49">
        <f t="shared" ca="1" si="310"/>
        <v>34.838999999999999</v>
      </c>
      <c r="BM34" s="49">
        <f t="shared" ca="1" si="310"/>
        <v>184.76519999999999</v>
      </c>
      <c r="BN34" s="49">
        <f t="shared" ca="1" si="310"/>
        <v>56.026799999999994</v>
      </c>
      <c r="BO34" s="49">
        <f t="shared" ca="1" si="310"/>
        <v>0</v>
      </c>
      <c r="BP34" s="49">
        <f t="shared" ca="1" si="310"/>
        <v>2203.6549</v>
      </c>
      <c r="BQ34" s="469">
        <f t="shared" ca="1" si="310"/>
        <v>42408.750099999997</v>
      </c>
      <c r="BR34" s="454">
        <f t="shared" ref="BR34:DT34" ca="1" si="312">+BR61</f>
        <v>0</v>
      </c>
      <c r="BS34" s="49">
        <f t="shared" ca="1" si="312"/>
        <v>0</v>
      </c>
      <c r="BT34" s="49">
        <f t="shared" ca="1" si="312"/>
        <v>0</v>
      </c>
      <c r="BU34" s="49">
        <f t="shared" ca="1" si="312"/>
        <v>172.2516</v>
      </c>
      <c r="BV34" s="469">
        <f t="shared" ca="1" si="312"/>
        <v>5105.9279999999999</v>
      </c>
      <c r="BW34" s="454">
        <f t="shared" ref="BW34:BZ34" ca="1" si="313">+BW61</f>
        <v>1253.1934999999999</v>
      </c>
      <c r="BX34" s="49">
        <f t="shared" ca="1" si="313"/>
        <v>572.68849999999998</v>
      </c>
      <c r="BY34" s="49">
        <f t="shared" ca="1" si="313"/>
        <v>134.09459999999999</v>
      </c>
      <c r="BZ34" s="469">
        <f t="shared" ca="1" si="313"/>
        <v>644.35559999999998</v>
      </c>
      <c r="CA34" s="454">
        <f t="shared" ca="1" si="312"/>
        <v>142.05779999999999</v>
      </c>
      <c r="CB34" s="469">
        <f t="shared" ca="1" si="312"/>
        <v>23392.9902</v>
      </c>
      <c r="CC34" s="454">
        <f t="shared" ca="1" si="312"/>
        <v>430.43939999999998</v>
      </c>
      <c r="CD34" s="49">
        <f t="shared" ca="1" si="312"/>
        <v>14937.2094</v>
      </c>
      <c r="CE34" s="49">
        <f t="shared" ca="1" si="312"/>
        <v>2927.8979999999997</v>
      </c>
      <c r="CF34" s="49">
        <f t="shared" ca="1" si="312"/>
        <v>695.31060000000002</v>
      </c>
      <c r="CG34" s="49">
        <f t="shared" ca="1" si="312"/>
        <v>12499.190399999999</v>
      </c>
      <c r="CH34" s="49">
        <f t="shared" ca="1" si="312"/>
        <v>4170.1098000000002</v>
      </c>
      <c r="CI34" s="49">
        <f t="shared" ca="1" si="312"/>
        <v>5027.4335999999994</v>
      </c>
      <c r="CJ34" s="49">
        <f t="shared" ca="1" si="312"/>
        <v>10.475399999999999</v>
      </c>
      <c r="CK34" s="49">
        <f t="shared" ca="1" si="312"/>
        <v>807.98039999999992</v>
      </c>
      <c r="CL34" s="49">
        <f t="shared" ca="1" si="312"/>
        <v>7052.1719999999996</v>
      </c>
      <c r="CM34" s="469">
        <f t="shared" ca="1" si="312"/>
        <v>2679.2849999999999</v>
      </c>
      <c r="CN34" s="454">
        <f t="shared" ca="1" si="312"/>
        <v>0</v>
      </c>
      <c r="CO34" s="49">
        <f t="shared" ca="1" si="312"/>
        <v>147.26900000000001</v>
      </c>
      <c r="CP34" s="49">
        <f t="shared" ca="1" si="312"/>
        <v>881.64750000000004</v>
      </c>
      <c r="CQ34" s="49">
        <f t="shared" ca="1" si="312"/>
        <v>2361.5479999999998</v>
      </c>
      <c r="CR34" s="469">
        <f t="shared" ca="1" si="312"/>
        <v>4408.1052</v>
      </c>
      <c r="CS34" s="454">
        <f t="shared" ca="1" si="312"/>
        <v>0</v>
      </c>
      <c r="CT34" s="49">
        <f t="shared" ca="1" si="312"/>
        <v>0</v>
      </c>
      <c r="CU34" s="49">
        <f t="shared" ca="1" si="312"/>
        <v>61.2408</v>
      </c>
      <c r="CV34" s="49">
        <f t="shared" ca="1" si="312"/>
        <v>132.8622</v>
      </c>
      <c r="CW34" s="49">
        <f t="shared" ca="1" si="312"/>
        <v>2525.2349999999997</v>
      </c>
      <c r="CX34" s="49">
        <f t="shared" ca="1" si="312"/>
        <v>1729.626</v>
      </c>
      <c r="CY34" s="49">
        <f t="shared" ca="1" si="312"/>
        <v>1395.5981999999999</v>
      </c>
      <c r="CZ34" s="49">
        <f t="shared" ca="1" si="312"/>
        <v>25.975199999999997</v>
      </c>
      <c r="DA34" s="49">
        <f t="shared" ca="1" si="312"/>
        <v>0</v>
      </c>
      <c r="DB34" s="49">
        <f t="shared" ca="1" si="312"/>
        <v>0.85319999999999996</v>
      </c>
      <c r="DC34" s="49">
        <f t="shared" ca="1" si="312"/>
        <v>54.035999999999994</v>
      </c>
      <c r="DD34" s="49">
        <f t="shared" ca="1" si="312"/>
        <v>38.062199999999997</v>
      </c>
      <c r="DE34" s="49">
        <f t="shared" ca="1" si="312"/>
        <v>66.739199999999997</v>
      </c>
      <c r="DF34" s="49">
        <f t="shared" ca="1" si="312"/>
        <v>1.8485999999999998</v>
      </c>
      <c r="DG34" s="49">
        <f t="shared" ca="1" si="312"/>
        <v>266.90940000000001</v>
      </c>
      <c r="DH34" s="49">
        <f t="shared" ca="1" si="312"/>
        <v>616.19999999999993</v>
      </c>
      <c r="DI34" s="469">
        <f t="shared" ca="1" si="312"/>
        <v>173.2944</v>
      </c>
      <c r="DJ34" s="454">
        <f t="shared" ca="1" si="312"/>
        <v>0</v>
      </c>
      <c r="DK34" s="49">
        <f t="shared" ca="1" si="312"/>
        <v>0</v>
      </c>
      <c r="DL34" s="49">
        <f t="shared" ca="1" si="312"/>
        <v>474.8005</v>
      </c>
      <c r="DM34" s="49">
        <f t="shared" ca="1" si="312"/>
        <v>3.3653999999999997</v>
      </c>
      <c r="DN34" s="49">
        <f t="shared" ca="1" si="312"/>
        <v>22.313600000000001</v>
      </c>
      <c r="DO34" s="49">
        <f t="shared" ca="1" si="312"/>
        <v>22.942499999999999</v>
      </c>
      <c r="DP34" s="49">
        <f t="shared" ca="1" si="312"/>
        <v>1324.7655</v>
      </c>
      <c r="DQ34" s="49">
        <f t="shared" ca="1" si="312"/>
        <v>164.09350000000001</v>
      </c>
      <c r="DR34" s="49">
        <f t="shared" ca="1" si="312"/>
        <v>1711.9475</v>
      </c>
      <c r="DS34" s="49">
        <f t="shared" ca="1" si="312"/>
        <v>43.086599999999997</v>
      </c>
      <c r="DT34" s="469">
        <f t="shared" ca="1" si="312"/>
        <v>372.94319999999999</v>
      </c>
      <c r="DU34" s="454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69"/>
      <c r="EO34" s="454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70"/>
    </row>
    <row r="35" spans="1:158" x14ac:dyDescent="0.25">
      <c r="A35" s="397">
        <f t="shared" si="1"/>
        <v>29</v>
      </c>
      <c r="B35" s="90" t="s">
        <v>75</v>
      </c>
      <c r="C35" s="78"/>
      <c r="D35" s="454">
        <f t="shared" ref="D35:BD35" si="314">+D31*D23</f>
        <v>0</v>
      </c>
      <c r="E35" s="49">
        <f t="shared" si="314"/>
        <v>0</v>
      </c>
      <c r="F35" s="49">
        <f t="shared" si="314"/>
        <v>0</v>
      </c>
      <c r="G35" s="49">
        <f>+G31*G23</f>
        <v>0</v>
      </c>
      <c r="H35" s="49">
        <f t="shared" ref="H35" si="315">+H31*H23</f>
        <v>0</v>
      </c>
      <c r="I35" s="49">
        <f t="shared" ref="I35" si="316">+I31*I23</f>
        <v>0</v>
      </c>
      <c r="J35" s="49">
        <f t="shared" si="314"/>
        <v>0</v>
      </c>
      <c r="K35" s="49">
        <f t="shared" si="314"/>
        <v>0</v>
      </c>
      <c r="L35" s="49">
        <f t="shared" si="314"/>
        <v>0</v>
      </c>
      <c r="M35" s="49">
        <f t="shared" ref="M35:O35" si="317">+M31*M23</f>
        <v>0</v>
      </c>
      <c r="N35" s="49">
        <f t="shared" ref="N35" si="318">+N31*N23</f>
        <v>0</v>
      </c>
      <c r="O35" s="49">
        <f t="shared" si="317"/>
        <v>0</v>
      </c>
      <c r="P35" s="49">
        <f t="shared" ref="P35:T35" si="319">+P31*P23</f>
        <v>0</v>
      </c>
      <c r="Q35" s="49">
        <f t="shared" si="319"/>
        <v>0</v>
      </c>
      <c r="R35" s="49">
        <f t="shared" ref="R35:S35" si="320">+R31*R23</f>
        <v>0</v>
      </c>
      <c r="S35" s="49">
        <f t="shared" si="320"/>
        <v>0</v>
      </c>
      <c r="T35" s="49">
        <f t="shared" si="319"/>
        <v>0</v>
      </c>
      <c r="U35" s="49">
        <f t="shared" ref="U35" si="321">+U31*U23</f>
        <v>0</v>
      </c>
      <c r="V35" s="49">
        <f t="shared" si="314"/>
        <v>0</v>
      </c>
      <c r="W35" s="49">
        <f>+W31*W23</f>
        <v>0</v>
      </c>
      <c r="X35" s="49">
        <f>+X31*X23</f>
        <v>0</v>
      </c>
      <c r="Y35" s="49">
        <f t="shared" si="314"/>
        <v>0</v>
      </c>
      <c r="Z35" s="49">
        <f t="shared" si="314"/>
        <v>0</v>
      </c>
      <c r="AA35" s="469">
        <f t="shared" si="314"/>
        <v>0</v>
      </c>
      <c r="AB35" s="454">
        <f t="shared" ref="AB35:AH35" si="322">+AB31*AB23</f>
        <v>0</v>
      </c>
      <c r="AC35" s="49">
        <f t="shared" si="322"/>
        <v>0</v>
      </c>
      <c r="AD35" s="49">
        <f t="shared" si="322"/>
        <v>0</v>
      </c>
      <c r="AE35" s="49">
        <f t="shared" si="322"/>
        <v>0</v>
      </c>
      <c r="AF35" s="49">
        <f t="shared" si="322"/>
        <v>0</v>
      </c>
      <c r="AG35" s="49">
        <f>+AG31*AG23</f>
        <v>0</v>
      </c>
      <c r="AH35" s="49">
        <f t="shared" si="322"/>
        <v>0</v>
      </c>
      <c r="AI35" s="49">
        <f t="shared" ref="AI35:AJ35" si="323">+AI31*AI23</f>
        <v>0</v>
      </c>
      <c r="AJ35" s="49">
        <f t="shared" si="323"/>
        <v>0</v>
      </c>
      <c r="AK35" s="49">
        <f t="shared" ref="AK35:AL35" si="324">+AK31*AK23</f>
        <v>0</v>
      </c>
      <c r="AL35" s="49">
        <f t="shared" si="324"/>
        <v>0</v>
      </c>
      <c r="AM35" s="49">
        <f t="shared" si="314"/>
        <v>0</v>
      </c>
      <c r="AN35" s="49">
        <f t="shared" si="314"/>
        <v>0</v>
      </c>
      <c r="AO35" s="49">
        <f>+AO31*AO23</f>
        <v>0</v>
      </c>
      <c r="AP35" s="49">
        <f t="shared" si="314"/>
        <v>0</v>
      </c>
      <c r="AQ35" s="469">
        <f>+AQ31*AQ23</f>
        <v>0</v>
      </c>
      <c r="AR35" s="546">
        <f t="shared" si="314"/>
        <v>0</v>
      </c>
      <c r="AS35" s="454">
        <f t="shared" si="314"/>
        <v>0</v>
      </c>
      <c r="AT35" s="49">
        <f t="shared" ref="AT35:AX35" si="325">+AT31*AT23</f>
        <v>0</v>
      </c>
      <c r="AU35" s="49">
        <f t="shared" si="325"/>
        <v>0</v>
      </c>
      <c r="AV35" s="49">
        <f t="shared" ref="AV35:AW35" si="326">+AV31*AV23</f>
        <v>0</v>
      </c>
      <c r="AW35" s="49">
        <f t="shared" si="326"/>
        <v>0</v>
      </c>
      <c r="AX35" s="469">
        <f t="shared" si="325"/>
        <v>0</v>
      </c>
      <c r="AY35" s="454">
        <f t="shared" si="314"/>
        <v>0</v>
      </c>
      <c r="AZ35" s="49">
        <f t="shared" ref="AZ35:BA35" si="327">+AZ31*AZ23</f>
        <v>0</v>
      </c>
      <c r="BA35" s="49">
        <f t="shared" si="327"/>
        <v>0</v>
      </c>
      <c r="BB35" s="49">
        <f t="shared" ref="BB35" si="328">+BB31*BB23</f>
        <v>0</v>
      </c>
      <c r="BC35" s="49">
        <f t="shared" si="314"/>
        <v>0</v>
      </c>
      <c r="BD35" s="49">
        <f t="shared" si="314"/>
        <v>0</v>
      </c>
      <c r="BE35" s="49">
        <f t="shared" ref="BE35" si="329">+BE31*BE23</f>
        <v>0</v>
      </c>
      <c r="BF35" s="49">
        <f t="shared" ref="BF35:CA35" si="330">+BF31*BF23</f>
        <v>0</v>
      </c>
      <c r="BG35" s="49">
        <f t="shared" ref="BG35" si="331">+BG31*BG23</f>
        <v>0</v>
      </c>
      <c r="BH35" s="49">
        <f t="shared" si="330"/>
        <v>0</v>
      </c>
      <c r="BI35" s="49">
        <f t="shared" si="330"/>
        <v>0</v>
      </c>
      <c r="BJ35" s="49">
        <f t="shared" si="330"/>
        <v>0</v>
      </c>
      <c r="BK35" s="49">
        <f t="shared" si="330"/>
        <v>0</v>
      </c>
      <c r="BL35" s="49">
        <f t="shared" si="330"/>
        <v>0</v>
      </c>
      <c r="BM35" s="49">
        <f t="shared" ref="BM35:BN35" si="332">+BM31*BM23</f>
        <v>0</v>
      </c>
      <c r="BN35" s="49">
        <f t="shared" si="332"/>
        <v>0</v>
      </c>
      <c r="BO35" s="49">
        <f t="shared" si="330"/>
        <v>0</v>
      </c>
      <c r="BP35" s="49">
        <f>+BP31*BP23</f>
        <v>0</v>
      </c>
      <c r="BQ35" s="469">
        <f>+BQ31*BQ23</f>
        <v>0</v>
      </c>
      <c r="BR35" s="454">
        <f t="shared" si="330"/>
        <v>0</v>
      </c>
      <c r="BS35" s="49">
        <f t="shared" si="330"/>
        <v>0</v>
      </c>
      <c r="BT35" s="49">
        <f t="shared" si="330"/>
        <v>0</v>
      </c>
      <c r="BU35" s="49">
        <f>+BU31*BU23</f>
        <v>0</v>
      </c>
      <c r="BV35" s="469">
        <f t="shared" si="330"/>
        <v>0</v>
      </c>
      <c r="BW35" s="454">
        <f t="shared" ref="BW35:BY35" si="333">+BW31*BW23</f>
        <v>0</v>
      </c>
      <c r="BX35" s="49">
        <f t="shared" si="333"/>
        <v>0</v>
      </c>
      <c r="BY35" s="49">
        <f t="shared" si="333"/>
        <v>0</v>
      </c>
      <c r="BZ35" s="469">
        <f t="shared" ref="BZ35" si="334">+BZ31*BZ23</f>
        <v>0</v>
      </c>
      <c r="CA35" s="454">
        <f t="shared" si="330"/>
        <v>0</v>
      </c>
      <c r="CB35" s="469">
        <f t="shared" ref="CB35" si="335">+CB31*CB23</f>
        <v>0</v>
      </c>
      <c r="CC35" s="454">
        <f>+CC31*CC23</f>
        <v>0</v>
      </c>
      <c r="CD35" s="49">
        <f t="shared" ref="CD35:CE35" si="336">+CD31*CD23</f>
        <v>0</v>
      </c>
      <c r="CE35" s="49">
        <f t="shared" si="336"/>
        <v>0</v>
      </c>
      <c r="CF35" s="49">
        <f>+CF31*CF23</f>
        <v>0</v>
      </c>
      <c r="CG35" s="49">
        <f t="shared" ref="CG35:CI35" si="337">+CG31*CG23</f>
        <v>0</v>
      </c>
      <c r="CH35" s="49">
        <f t="shared" si="337"/>
        <v>0</v>
      </c>
      <c r="CI35" s="49">
        <f t="shared" si="337"/>
        <v>0</v>
      </c>
      <c r="CJ35" s="49">
        <f t="shared" ref="CJ35:CK35" si="338">+CJ31*CJ23</f>
        <v>0</v>
      </c>
      <c r="CK35" s="49">
        <f t="shared" si="338"/>
        <v>0</v>
      </c>
      <c r="CL35" s="49">
        <f t="shared" ref="CL35" si="339">+CL31*CL23</f>
        <v>0</v>
      </c>
      <c r="CM35" s="469">
        <f>+CM31*CM23</f>
        <v>0</v>
      </c>
      <c r="CN35" s="454">
        <f>+CN31*CN23</f>
        <v>0</v>
      </c>
      <c r="CO35" s="49">
        <f>+CO31*CO23</f>
        <v>0</v>
      </c>
      <c r="CP35" s="49">
        <f t="shared" ref="CP35:CR35" si="340">+CP31*CP23</f>
        <v>0</v>
      </c>
      <c r="CQ35" s="49">
        <f t="shared" si="340"/>
        <v>0</v>
      </c>
      <c r="CR35" s="469">
        <f t="shared" si="340"/>
        <v>0</v>
      </c>
      <c r="CS35" s="454">
        <f>+CS31*CS23</f>
        <v>0</v>
      </c>
      <c r="CT35" s="49">
        <f t="shared" ref="CT35:CZ35" si="341">+CT31*CT23</f>
        <v>0</v>
      </c>
      <c r="CU35" s="49">
        <f t="shared" si="341"/>
        <v>0</v>
      </c>
      <c r="CV35" s="49">
        <f t="shared" si="341"/>
        <v>0</v>
      </c>
      <c r="CW35" s="49">
        <f t="shared" si="341"/>
        <v>0</v>
      </c>
      <c r="CX35" s="49">
        <f t="shared" si="341"/>
        <v>0</v>
      </c>
      <c r="CY35" s="49">
        <f t="shared" ref="CY35" si="342">+CY31*CY23</f>
        <v>0</v>
      </c>
      <c r="CZ35" s="49">
        <f t="shared" si="341"/>
        <v>0</v>
      </c>
      <c r="DA35" s="49">
        <f t="shared" ref="DA35:DF35" si="343">+DA31*DA23</f>
        <v>0</v>
      </c>
      <c r="DB35" s="49">
        <f t="shared" si="343"/>
        <v>0</v>
      </c>
      <c r="DC35" s="49">
        <f t="shared" si="343"/>
        <v>0</v>
      </c>
      <c r="DD35" s="49">
        <f t="shared" si="343"/>
        <v>0</v>
      </c>
      <c r="DE35" s="49">
        <f t="shared" si="343"/>
        <v>0</v>
      </c>
      <c r="DF35" s="49">
        <f t="shared" si="343"/>
        <v>0</v>
      </c>
      <c r="DG35" s="49">
        <f t="shared" ref="DG35:DH35" si="344">+DG31*DG23</f>
        <v>0</v>
      </c>
      <c r="DH35" s="49">
        <f t="shared" si="344"/>
        <v>0</v>
      </c>
      <c r="DI35" s="469">
        <f>+DI31*DI23</f>
        <v>0</v>
      </c>
      <c r="DJ35" s="454">
        <f t="shared" ref="DJ35:DO35" si="345">+DJ31*DJ23</f>
        <v>0</v>
      </c>
      <c r="DK35" s="49">
        <f t="shared" ref="DK35" si="346">+DK31*DK23</f>
        <v>0</v>
      </c>
      <c r="DL35" s="49">
        <f t="shared" si="345"/>
        <v>0</v>
      </c>
      <c r="DM35" s="49">
        <f t="shared" si="345"/>
        <v>0</v>
      </c>
      <c r="DN35" s="49">
        <f t="shared" ref="DN35" si="347">+DN31*DN23</f>
        <v>0</v>
      </c>
      <c r="DO35" s="49">
        <f t="shared" si="345"/>
        <v>0</v>
      </c>
      <c r="DP35" s="49">
        <f t="shared" ref="DP35:DR35" si="348">+DP31*DP23</f>
        <v>0</v>
      </c>
      <c r="DQ35" s="49">
        <f t="shared" si="348"/>
        <v>0</v>
      </c>
      <c r="DR35" s="49">
        <f t="shared" si="348"/>
        <v>0</v>
      </c>
      <c r="DS35" s="49">
        <f t="shared" ref="DS35" si="349">+DS31*DS23</f>
        <v>0</v>
      </c>
      <c r="DT35" s="469">
        <f t="shared" ref="DT35" si="350">+DT31*DT23</f>
        <v>0</v>
      </c>
      <c r="DU35" s="454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69"/>
      <c r="EO35" s="454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70"/>
    </row>
    <row r="36" spans="1:158" ht="13.8" thickBot="1" x14ac:dyDescent="0.3">
      <c r="A36" s="397">
        <f t="shared" si="1"/>
        <v>30</v>
      </c>
      <c r="B36" s="26" t="s">
        <v>76</v>
      </c>
      <c r="C36" s="78">
        <f ca="1">SUM(D36:FB36)</f>
        <v>1548029.052094083</v>
      </c>
      <c r="D36" s="552">
        <f t="shared" ref="D36:BO36" ca="1" si="351">SUM(D33:D35)</f>
        <v>2672.4441171559279</v>
      </c>
      <c r="E36" s="98">
        <f t="shared" ca="1" si="351"/>
        <v>17247.403200716995</v>
      </c>
      <c r="F36" s="98">
        <f ca="1">SUM(F33:F35)</f>
        <v>11011.746359321287</v>
      </c>
      <c r="G36" s="98">
        <f ca="1">SUM(G33:G35)</f>
        <v>264.5968820278506</v>
      </c>
      <c r="H36" s="98">
        <f ca="1">SUM(H33:H35)</f>
        <v>16528.460424778965</v>
      </c>
      <c r="I36" s="98">
        <f ca="1">SUM(I33:I35)</f>
        <v>3318.0479060376838</v>
      </c>
      <c r="J36" s="98">
        <f t="shared" ca="1" si="351"/>
        <v>15289.274145467723</v>
      </c>
      <c r="K36" s="98">
        <f t="shared" ca="1" si="351"/>
        <v>9845.1033033223976</v>
      </c>
      <c r="L36" s="98">
        <f t="shared" ca="1" si="351"/>
        <v>11153.287627925825</v>
      </c>
      <c r="M36" s="98">
        <f t="shared" ref="M36:O36" ca="1" si="352">SUM(M33:M35)</f>
        <v>4994.0612060095318</v>
      </c>
      <c r="N36" s="98">
        <f t="shared" ref="N36" ca="1" si="353">SUM(N33:N35)</f>
        <v>0</v>
      </c>
      <c r="O36" s="98">
        <f t="shared" ca="1" si="352"/>
        <v>13417.763452548945</v>
      </c>
      <c r="P36" s="98">
        <f t="shared" ref="P36:T36" ca="1" si="354">SUM(P33:P35)</f>
        <v>32646.628603137055</v>
      </c>
      <c r="Q36" s="98">
        <f t="shared" ca="1" si="354"/>
        <v>7819.5875242070979</v>
      </c>
      <c r="R36" s="98">
        <f t="shared" ref="R36:S36" ca="1" si="355">SUM(R33:R35)</f>
        <v>13322.693736571677</v>
      </c>
      <c r="S36" s="98">
        <f t="shared" ca="1" si="355"/>
        <v>111955.59099923959</v>
      </c>
      <c r="T36" s="98">
        <f t="shared" ca="1" si="354"/>
        <v>64663.995635416286</v>
      </c>
      <c r="U36" s="98">
        <f t="shared" ref="U36" ca="1" si="356">SUM(U33:U35)</f>
        <v>0</v>
      </c>
      <c r="V36" s="98">
        <f t="shared" ca="1" si="351"/>
        <v>40970.815893864536</v>
      </c>
      <c r="W36" s="98">
        <f ca="1">SUM(W33:W35)</f>
        <v>24725.753401710404</v>
      </c>
      <c r="X36" s="98">
        <f ca="1">SUM(X33:X35)</f>
        <v>9089.6877023571415</v>
      </c>
      <c r="Y36" s="98">
        <f t="shared" ca="1" si="351"/>
        <v>38597.129175649723</v>
      </c>
      <c r="Z36" s="98">
        <f t="shared" ca="1" si="351"/>
        <v>18585.107174273879</v>
      </c>
      <c r="AA36" s="551">
        <f t="shared" ca="1" si="351"/>
        <v>41446.177968398028</v>
      </c>
      <c r="AB36" s="552">
        <f t="shared" ref="AB36:AQ36" ca="1" si="357">SUM(AB33:AB35)</f>
        <v>145185.71087963443</v>
      </c>
      <c r="AC36" s="98">
        <f t="shared" ca="1" si="357"/>
        <v>265213.73037786339</v>
      </c>
      <c r="AD36" s="98">
        <f t="shared" ca="1" si="357"/>
        <v>0</v>
      </c>
      <c r="AE36" s="98">
        <f t="shared" ca="1" si="357"/>
        <v>0</v>
      </c>
      <c r="AF36" s="98">
        <f t="shared" ref="AF36:AL36" ca="1" si="358">SUM(AF33:AF35)</f>
        <v>35627.497798359647</v>
      </c>
      <c r="AG36" s="98">
        <f t="shared" ca="1" si="358"/>
        <v>15715.726260867512</v>
      </c>
      <c r="AH36" s="98">
        <f t="shared" ca="1" si="358"/>
        <v>6709.3928572479581</v>
      </c>
      <c r="AI36" s="98">
        <f t="shared" ca="1" si="358"/>
        <v>0</v>
      </c>
      <c r="AJ36" s="98">
        <f t="shared" ca="1" si="358"/>
        <v>56932.597457480035</v>
      </c>
      <c r="AK36" s="98">
        <f t="shared" ca="1" si="358"/>
        <v>2207.5453675253993</v>
      </c>
      <c r="AL36" s="98">
        <f t="shared" ca="1" si="358"/>
        <v>7021.7624400301229</v>
      </c>
      <c r="AM36" s="98">
        <f t="shared" ca="1" si="357"/>
        <v>33248.545293438074</v>
      </c>
      <c r="AN36" s="98">
        <f t="shared" ca="1" si="357"/>
        <v>1505.2577120897352</v>
      </c>
      <c r="AO36" s="98">
        <f t="shared" ca="1" si="357"/>
        <v>20449.559651564941</v>
      </c>
      <c r="AP36" s="98">
        <f t="shared" ca="1" si="357"/>
        <v>1006.5038339483101</v>
      </c>
      <c r="AQ36" s="551">
        <f t="shared" ca="1" si="357"/>
        <v>6162.012962922965</v>
      </c>
      <c r="AR36" s="553">
        <f t="shared" ca="1" si="351"/>
        <v>32139.802465917084</v>
      </c>
      <c r="AS36" s="552">
        <f t="shared" ca="1" si="351"/>
        <v>0</v>
      </c>
      <c r="AT36" s="98">
        <f t="shared" ref="AT36:AX36" ca="1" si="359">SUM(AT33:AT35)</f>
        <v>0</v>
      </c>
      <c r="AU36" s="98">
        <f t="shared" ca="1" si="359"/>
        <v>2281.0678269213772</v>
      </c>
      <c r="AV36" s="98">
        <f t="shared" ref="AV36:AW36" ca="1" si="360">SUM(AV33:AV35)</f>
        <v>1185.5865779179244</v>
      </c>
      <c r="AW36" s="98">
        <f t="shared" ca="1" si="360"/>
        <v>1482.6761790558839</v>
      </c>
      <c r="AX36" s="566">
        <f t="shared" ca="1" si="359"/>
        <v>3822.2665428426353</v>
      </c>
      <c r="AY36" s="554">
        <f t="shared" ca="1" si="351"/>
        <v>0</v>
      </c>
      <c r="AZ36" s="567">
        <f t="shared" ref="AZ36:BA36" ca="1" si="361">SUM(AZ33:AZ35)</f>
        <v>0</v>
      </c>
      <c r="BA36" s="567">
        <f t="shared" ca="1" si="361"/>
        <v>0</v>
      </c>
      <c r="BB36" s="567">
        <f t="shared" ref="BB36" ca="1" si="362">SUM(BB33:BB35)</f>
        <v>0</v>
      </c>
      <c r="BC36" s="567">
        <f t="shared" ca="1" si="351"/>
        <v>5.0303589065891368</v>
      </c>
      <c r="BD36" s="567">
        <f t="shared" ca="1" si="351"/>
        <v>79.79788835001068</v>
      </c>
      <c r="BE36" s="567">
        <f t="shared" ref="BE36" ca="1" si="363">SUM(BE33:BE35)</f>
        <v>4.6102970311429488</v>
      </c>
      <c r="BF36" s="567">
        <f t="shared" ca="1" si="351"/>
        <v>87.343273171832564</v>
      </c>
      <c r="BG36" s="567">
        <f t="shared" ref="BG36" ca="1" si="364">SUM(BG33:BG35)</f>
        <v>0</v>
      </c>
      <c r="BH36" s="567">
        <f t="shared" ca="1" si="351"/>
        <v>88.286385530741526</v>
      </c>
      <c r="BI36" s="567">
        <f t="shared" ca="1" si="351"/>
        <v>4.3125403861606912</v>
      </c>
      <c r="BJ36" s="567">
        <f t="shared" ca="1" si="351"/>
        <v>118.2202386048657</v>
      </c>
      <c r="BK36" s="567">
        <f t="shared" ca="1" si="351"/>
        <v>1414.8644497849064</v>
      </c>
      <c r="BL36" s="567">
        <f t="shared" ca="1" si="351"/>
        <v>101.72229418789708</v>
      </c>
      <c r="BM36" s="567">
        <f t="shared" ref="BM36:BN36" ca="1" si="365">SUM(BM33:BM35)</f>
        <v>536.06941016423093</v>
      </c>
      <c r="BN36" s="567">
        <f t="shared" ca="1" si="365"/>
        <v>161.68555206611404</v>
      </c>
      <c r="BO36" s="567">
        <f t="shared" ca="1" si="351"/>
        <v>0</v>
      </c>
      <c r="BP36" s="567">
        <f t="shared" ref="BP36:BV36" ca="1" si="366">SUM(BP33:BP35)</f>
        <v>4119.6745867671943</v>
      </c>
      <c r="BQ36" s="566">
        <f t="shared" ca="1" si="366"/>
        <v>96436.376029244537</v>
      </c>
      <c r="BR36" s="552">
        <f t="shared" ca="1" si="366"/>
        <v>0</v>
      </c>
      <c r="BS36" s="98">
        <f t="shared" ca="1" si="366"/>
        <v>0</v>
      </c>
      <c r="BT36" s="98">
        <f t="shared" ca="1" si="366"/>
        <v>0</v>
      </c>
      <c r="BU36" s="98">
        <f t="shared" ca="1" si="366"/>
        <v>641.52234207816309</v>
      </c>
      <c r="BV36" s="551">
        <f t="shared" ca="1" si="366"/>
        <v>15436.057447044381</v>
      </c>
      <c r="BW36" s="552">
        <f t="shared" ref="BW36:BZ36" ca="1" si="367">SUM(BW33:BW35)</f>
        <v>3690.9886194345099</v>
      </c>
      <c r="BX36" s="98">
        <f t="shared" ca="1" si="367"/>
        <v>982.12782557654123</v>
      </c>
      <c r="BY36" s="98">
        <f t="shared" ca="1" si="367"/>
        <v>545.29223049573977</v>
      </c>
      <c r="BZ36" s="551">
        <f t="shared" ca="1" si="367"/>
        <v>2045.7133926567535</v>
      </c>
      <c r="CA36" s="552">
        <f t="shared" ref="CA36:CO36" ca="1" si="368">SUM(CA33:CA35)</f>
        <v>1232.96071846567</v>
      </c>
      <c r="CB36" s="551">
        <f t="shared" ref="CB36" ca="1" si="369">SUM(CB33:CB35)</f>
        <v>67875.234675307118</v>
      </c>
      <c r="CC36" s="552">
        <f t="shared" ca="1" si="368"/>
        <v>1328.610756501711</v>
      </c>
      <c r="CD36" s="98">
        <f t="shared" ca="1" si="368"/>
        <v>43971.842342009921</v>
      </c>
      <c r="CE36" s="98">
        <f t="shared" ca="1" si="368"/>
        <v>8495.3725257302995</v>
      </c>
      <c r="CF36" s="98">
        <f t="shared" ref="CF36:CK36" ca="1" si="370">SUM(CF33:CF35)</f>
        <v>2146.1396478345187</v>
      </c>
      <c r="CG36" s="98">
        <f t="shared" ref="CG36:CI36" ca="1" si="371">SUM(CG33:CG35)</f>
        <v>38151.041247500063</v>
      </c>
      <c r="CH36" s="98">
        <f t="shared" ca="1" si="371"/>
        <v>12275.854329423844</v>
      </c>
      <c r="CI36" s="98">
        <f t="shared" ca="1" si="371"/>
        <v>14733.76640156599</v>
      </c>
      <c r="CJ36" s="98">
        <f t="shared" ca="1" si="370"/>
        <v>121.06157194175316</v>
      </c>
      <c r="CK36" s="98">
        <f t="shared" ca="1" si="370"/>
        <v>2378.5498981445653</v>
      </c>
      <c r="CL36" s="98">
        <f t="shared" ref="CL36" ca="1" si="372">SUM(CL33:CL35)</f>
        <v>20667.616239407711</v>
      </c>
      <c r="CM36" s="551">
        <f t="shared" ca="1" si="368"/>
        <v>7774.0031373776164</v>
      </c>
      <c r="CN36" s="552">
        <f t="shared" ca="1" si="368"/>
        <v>0</v>
      </c>
      <c r="CO36" s="98">
        <f t="shared" ca="1" si="368"/>
        <v>484.56610980674117</v>
      </c>
      <c r="CP36" s="98">
        <f t="shared" ref="CP36:DT36" ca="1" si="373">SUM(CP33:CP35)</f>
        <v>1730.5938312513688</v>
      </c>
      <c r="CQ36" s="98">
        <f t="shared" ca="1" si="373"/>
        <v>4196.6784403366237</v>
      </c>
      <c r="CR36" s="551">
        <f t="shared" ca="1" si="373"/>
        <v>12738.200631489448</v>
      </c>
      <c r="CS36" s="552">
        <f t="shared" ca="1" si="373"/>
        <v>0</v>
      </c>
      <c r="CT36" s="98">
        <f t="shared" ref="CT36:CZ36" ca="1" si="374">SUM(CT33:CT35)</f>
        <v>0</v>
      </c>
      <c r="CU36" s="98">
        <f t="shared" ca="1" si="374"/>
        <v>303.2178427692179</v>
      </c>
      <c r="CV36" s="98">
        <f t="shared" ca="1" si="374"/>
        <v>608.86116455095407</v>
      </c>
      <c r="CW36" s="98">
        <f t="shared" ca="1" si="374"/>
        <v>10268.046180403267</v>
      </c>
      <c r="CX36" s="98">
        <f t="shared" ca="1" si="374"/>
        <v>6709.8104646369711</v>
      </c>
      <c r="CY36" s="98">
        <f t="shared" ref="CY36" ca="1" si="375">SUM(CY33:CY35)</f>
        <v>4307.5810762611554</v>
      </c>
      <c r="CZ36" s="98">
        <f t="shared" ca="1" si="374"/>
        <v>75.041905231877905</v>
      </c>
      <c r="DA36" s="98">
        <f t="shared" ref="DA36:DF36" ca="1" si="376">SUM(DA33:DA35)</f>
        <v>0</v>
      </c>
      <c r="DB36" s="98">
        <f t="shared" ca="1" si="376"/>
        <v>15.365895545034137</v>
      </c>
      <c r="DC36" s="98">
        <f t="shared" ca="1" si="376"/>
        <v>624.08729652603881</v>
      </c>
      <c r="DD36" s="98">
        <f t="shared" ca="1" si="376"/>
        <v>174.45449368655213</v>
      </c>
      <c r="DE36" s="98">
        <f t="shared" ca="1" si="376"/>
        <v>248.53010833060682</v>
      </c>
      <c r="DF36" s="98">
        <f t="shared" ca="1" si="376"/>
        <v>6.0080703248444447</v>
      </c>
      <c r="DG36" s="98">
        <f t="shared" ref="DG36:DH36" ca="1" si="377">SUM(DG33:DG35)</f>
        <v>814.70142262612467</v>
      </c>
      <c r="DH36" s="98">
        <f t="shared" ca="1" si="377"/>
        <v>1834.5048020104819</v>
      </c>
      <c r="DI36" s="551">
        <f t="shared" ca="1" si="373"/>
        <v>502.84306263589633</v>
      </c>
      <c r="DJ36" s="552">
        <f t="shared" ca="1" si="373"/>
        <v>0</v>
      </c>
      <c r="DK36" s="98">
        <f t="shared" ref="DK36" ca="1" si="378">SUM(DK33:DK35)</f>
        <v>0</v>
      </c>
      <c r="DL36" s="98">
        <f t="shared" ref="DL36:DO36" ca="1" si="379">SUM(DL33:DL35)</f>
        <v>1001.3859198499315</v>
      </c>
      <c r="DM36" s="98">
        <f t="shared" ca="1" si="379"/>
        <v>15.473306419683256</v>
      </c>
      <c r="DN36" s="98">
        <f t="shared" ref="DN36" ca="1" si="380">SUM(DN33:DN35)</f>
        <v>42.220292968953906</v>
      </c>
      <c r="DO36" s="98">
        <f t="shared" ca="1" si="379"/>
        <v>33.11807397047825</v>
      </c>
      <c r="DP36" s="98">
        <f t="shared" ref="DP36:DR36" ca="1" si="381">SUM(DP33:DP35)</f>
        <v>1866.7291929183302</v>
      </c>
      <c r="DQ36" s="98">
        <f t="shared" ca="1" si="381"/>
        <v>346.21583118632964</v>
      </c>
      <c r="DR36" s="98">
        <f t="shared" ca="1" si="381"/>
        <v>2723.8392015808822</v>
      </c>
      <c r="DS36" s="98">
        <f t="shared" ref="DS36" ca="1" si="382">SUM(DS33:DS35)</f>
        <v>160.52419829625373</v>
      </c>
      <c r="DT36" s="551">
        <f t="shared" ca="1" si="373"/>
        <v>1082.1057000094081</v>
      </c>
      <c r="DU36" s="552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551"/>
      <c r="EO36" s="552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555"/>
    </row>
    <row r="37" spans="1:158" ht="13.8" thickTop="1" x14ac:dyDescent="0.25">
      <c r="A37" s="397">
        <f t="shared" si="1"/>
        <v>31</v>
      </c>
      <c r="D37" s="482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94"/>
      <c r="AB37" s="48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57"/>
      <c r="AN37" s="57"/>
      <c r="AO37" s="57"/>
      <c r="AP37" s="57"/>
      <c r="AQ37" s="94"/>
      <c r="AR37" s="556"/>
      <c r="AS37" s="482"/>
      <c r="AT37" s="93"/>
      <c r="AU37" s="93"/>
      <c r="AV37" s="93"/>
      <c r="AW37" s="93"/>
      <c r="AX37" s="121"/>
      <c r="AY37" s="16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21"/>
      <c r="BR37" s="482"/>
      <c r="BS37" s="57"/>
      <c r="BT37" s="57"/>
      <c r="BU37" s="57"/>
      <c r="BV37" s="94"/>
      <c r="BW37" s="482"/>
      <c r="BX37" s="57"/>
      <c r="BY37" s="57"/>
      <c r="BZ37" s="94"/>
      <c r="CA37" s="482"/>
      <c r="CB37" s="94"/>
      <c r="CC37" s="482"/>
      <c r="CD37" s="93"/>
      <c r="CE37" s="93"/>
      <c r="CF37" s="93"/>
      <c r="CG37" s="93"/>
      <c r="CH37" s="93"/>
      <c r="CI37" s="93"/>
      <c r="CJ37" s="93"/>
      <c r="CK37" s="93"/>
      <c r="CL37" s="93"/>
      <c r="CM37" s="94"/>
      <c r="CN37" s="482"/>
      <c r="CO37" s="93"/>
      <c r="CP37" s="93"/>
      <c r="CQ37" s="93"/>
      <c r="CR37" s="94"/>
      <c r="CS37" s="482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4"/>
      <c r="DJ37" s="482"/>
      <c r="DK37" s="93"/>
      <c r="DL37" s="93"/>
      <c r="DM37" s="93"/>
      <c r="DN37" s="93"/>
      <c r="DO37" s="93"/>
      <c r="DP37" s="93"/>
      <c r="DQ37" s="93"/>
      <c r="DR37" s="93"/>
      <c r="DS37" s="93"/>
      <c r="DT37" s="94"/>
      <c r="DU37" s="482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4"/>
      <c r="EO37" s="482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485"/>
    </row>
    <row r="38" spans="1:158" x14ac:dyDescent="0.25">
      <c r="A38" s="397">
        <f t="shared" si="1"/>
        <v>32</v>
      </c>
      <c r="B38" s="26" t="s">
        <v>82</v>
      </c>
      <c r="C38" s="78">
        <f ca="1">SUM(D38:FB38)</f>
        <v>1548029.0520940826</v>
      </c>
      <c r="D38" s="482">
        <f ca="1">SUM(D36:AA36)</f>
        <v>509565.3564401386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94"/>
      <c r="AB38" s="482">
        <f ca="1">SUM(AB36:AQ36)</f>
        <v>596985.84289297252</v>
      </c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57"/>
      <c r="AN38" s="57"/>
      <c r="AO38" s="57"/>
      <c r="AP38" s="57"/>
      <c r="AQ38" s="94"/>
      <c r="AR38" s="556">
        <f ca="1">+AR36</f>
        <v>32139.802465917084</v>
      </c>
      <c r="AS38" s="482">
        <f ca="1">SUM(AS36:AX36)</f>
        <v>8771.5971267378209</v>
      </c>
      <c r="AT38" s="93"/>
      <c r="AU38" s="93"/>
      <c r="AV38" s="93"/>
      <c r="AW38" s="93"/>
      <c r="AX38" s="94"/>
      <c r="AY38" s="482">
        <f ca="1">SUM(AY36:BQ36)</f>
        <v>103157.99330419622</v>
      </c>
      <c r="AZ38" s="93"/>
      <c r="BA38" s="93"/>
      <c r="BB38" s="93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94"/>
      <c r="BR38" s="482">
        <f ca="1">SUM(BR36:BV36)</f>
        <v>16077.579789122545</v>
      </c>
      <c r="BS38" s="57"/>
      <c r="BT38" s="57"/>
      <c r="BU38" s="57"/>
      <c r="BV38" s="94"/>
      <c r="BW38" s="482">
        <f ca="1">SUM(BW36:BZ36)</f>
        <v>7264.1220681635441</v>
      </c>
      <c r="BX38" s="57"/>
      <c r="BY38" s="57"/>
      <c r="BZ38" s="94"/>
      <c r="CA38" s="482">
        <f ca="1">SUM(CA36:CB36)</f>
        <v>69108.195393772781</v>
      </c>
      <c r="CB38" s="94"/>
      <c r="CC38" s="482">
        <f ca="1">SUM(CC36:CM36)</f>
        <v>152043.858097438</v>
      </c>
      <c r="CD38" s="93"/>
      <c r="CE38" s="93"/>
      <c r="CF38" s="93"/>
      <c r="CG38" s="93"/>
      <c r="CH38" s="93"/>
      <c r="CI38" s="93"/>
      <c r="CJ38" s="93"/>
      <c r="CK38" s="93"/>
      <c r="CL38" s="93"/>
      <c r="CM38" s="94"/>
      <c r="CN38" s="482">
        <f ca="1">SUM(CN36:CR36)</f>
        <v>19150.039012884183</v>
      </c>
      <c r="CO38" s="93"/>
      <c r="CP38" s="93"/>
      <c r="CQ38" s="93"/>
      <c r="CR38" s="94"/>
      <c r="CS38" s="482">
        <f ca="1">SUM(CS36:DI36)</f>
        <v>26493.053785539025</v>
      </c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4"/>
      <c r="DJ38" s="482">
        <f ca="1">SUM(DJ36:DT36)</f>
        <v>7271.6117172002496</v>
      </c>
      <c r="DK38" s="93"/>
      <c r="DL38" s="93"/>
      <c r="DM38" s="93"/>
      <c r="DN38" s="93"/>
      <c r="DO38" s="93"/>
      <c r="DP38" s="93"/>
      <c r="DQ38" s="93"/>
      <c r="DR38" s="93"/>
      <c r="DS38" s="93"/>
      <c r="DT38" s="94"/>
      <c r="DU38" s="482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4"/>
      <c r="EO38" s="482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485"/>
    </row>
    <row r="39" spans="1:158" x14ac:dyDescent="0.25">
      <c r="A39" s="397">
        <f t="shared" si="1"/>
        <v>33</v>
      </c>
      <c r="D39" s="48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94"/>
      <c r="AB39" s="484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94"/>
      <c r="AR39" s="533"/>
      <c r="AS39" s="484"/>
      <c r="AT39" s="57"/>
      <c r="AU39" s="57"/>
      <c r="AV39" s="57"/>
      <c r="AW39" s="57"/>
      <c r="AX39" s="94"/>
      <c r="AY39" s="484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94"/>
      <c r="BR39" s="484"/>
      <c r="BS39" s="57"/>
      <c r="BT39" s="57"/>
      <c r="BU39" s="57"/>
      <c r="BV39" s="94"/>
      <c r="BW39" s="484"/>
      <c r="BX39" s="57"/>
      <c r="BY39" s="57"/>
      <c r="BZ39" s="94"/>
      <c r="CA39" s="484"/>
      <c r="CB39" s="94"/>
      <c r="CC39" s="484"/>
      <c r="CD39" s="57"/>
      <c r="CE39" s="57"/>
      <c r="CF39" s="57"/>
      <c r="CG39" s="57"/>
      <c r="CH39" s="57"/>
      <c r="CI39" s="57"/>
      <c r="CJ39" s="57"/>
      <c r="CK39" s="57"/>
      <c r="CL39" s="57"/>
      <c r="CM39" s="94"/>
      <c r="CN39" s="484"/>
      <c r="CO39" s="93"/>
      <c r="CP39" s="93"/>
      <c r="CQ39" s="93"/>
      <c r="CR39" s="94"/>
      <c r="CS39" s="484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94"/>
      <c r="DJ39" s="484"/>
      <c r="DK39" s="57"/>
      <c r="DL39" s="57"/>
      <c r="DM39" s="57"/>
      <c r="DN39" s="57"/>
      <c r="DO39" s="57"/>
      <c r="DP39" s="57"/>
      <c r="DQ39" s="57"/>
      <c r="DR39" s="57"/>
      <c r="DS39" s="57"/>
      <c r="DT39" s="94"/>
      <c r="DU39" s="484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94"/>
      <c r="EO39" s="484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485"/>
    </row>
    <row r="40" spans="1:158" x14ac:dyDescent="0.25">
      <c r="A40" s="397">
        <f t="shared" si="1"/>
        <v>34</v>
      </c>
      <c r="B40" s="26" t="str">
        <f>+'Dist Line Transformers 2017'!B27</f>
        <v>Sec Voltage Billed Demand</v>
      </c>
      <c r="D40" s="452">
        <f>+'Dist Line Transformers 2017'!F27</f>
        <v>273811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94"/>
      <c r="AB40" s="452">
        <f>+'Dist Line Transformers 2017'!H27</f>
        <v>193363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57"/>
      <c r="AN40" s="57"/>
      <c r="AO40" s="57"/>
      <c r="AP40" s="57"/>
      <c r="AQ40" s="94"/>
      <c r="AR40" s="557">
        <f>+'Dist Line Transformers 2017'!J27</f>
        <v>0</v>
      </c>
      <c r="AS40" s="452">
        <f>+'Dist Line Transformers 2017'!L27</f>
        <v>0</v>
      </c>
      <c r="AT40" s="73"/>
      <c r="AU40" s="73"/>
      <c r="AV40" s="73"/>
      <c r="AW40" s="73"/>
      <c r="AX40" s="94"/>
      <c r="AY40" s="452">
        <f>+'Dist Line Transformers 2017'!N27</f>
        <v>3319</v>
      </c>
      <c r="AZ40" s="73"/>
      <c r="BA40" s="73"/>
      <c r="BB40" s="73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94"/>
      <c r="BR40" s="452">
        <f>+'Dist Line Transformers 2017'!P27</f>
        <v>0</v>
      </c>
      <c r="BS40" s="57"/>
      <c r="BT40" s="57"/>
      <c r="BU40" s="57"/>
      <c r="BV40" s="94"/>
      <c r="BW40" s="452">
        <f>+'Dist Line Transformers 2017'!R27</f>
        <v>0</v>
      </c>
      <c r="BX40" s="57"/>
      <c r="BY40" s="57"/>
      <c r="BZ40" s="94"/>
      <c r="CA40" s="452">
        <f>+'Dist Line Transformers 2017'!T27</f>
        <v>1040</v>
      </c>
      <c r="CB40" s="94"/>
      <c r="CC40" s="452">
        <f>+'Dist Line Transformers 2017'!V27</f>
        <v>47677</v>
      </c>
      <c r="CD40" s="73"/>
      <c r="CE40" s="73"/>
      <c r="CF40" s="73"/>
      <c r="CG40" s="73"/>
      <c r="CH40" s="73"/>
      <c r="CI40" s="73"/>
      <c r="CJ40" s="73"/>
      <c r="CK40" s="73"/>
      <c r="CL40" s="73"/>
      <c r="CM40" s="94"/>
      <c r="CN40" s="452">
        <f>+'Dist Line Transformers 2017'!X27</f>
        <v>47824</v>
      </c>
      <c r="CO40" s="93"/>
      <c r="CP40" s="93"/>
      <c r="CQ40" s="93"/>
      <c r="CR40" s="94"/>
      <c r="CS40" s="452">
        <f>+'Dist Line Transformers 2017'!Z27</f>
        <v>53929</v>
      </c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94"/>
      <c r="DJ40" s="452">
        <f>+'Dist Line Transformers 2017'!AB27</f>
        <v>8557</v>
      </c>
      <c r="DK40" s="73"/>
      <c r="DL40" s="73"/>
      <c r="DM40" s="73"/>
      <c r="DN40" s="73"/>
      <c r="DO40" s="73"/>
      <c r="DP40" s="73"/>
      <c r="DQ40" s="73"/>
      <c r="DR40" s="73"/>
      <c r="DS40" s="73"/>
      <c r="DT40" s="94"/>
      <c r="DU40" s="452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94"/>
      <c r="EO40" s="452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485"/>
    </row>
    <row r="41" spans="1:158" x14ac:dyDescent="0.25">
      <c r="A41" s="397">
        <f t="shared" si="1"/>
        <v>35</v>
      </c>
      <c r="B41" s="26" t="str">
        <f>+'Dist Line Transformers 2017'!B28</f>
        <v>Primary Voltage Billed Demand</v>
      </c>
      <c r="D41" s="452">
        <f>+'Dist Line Transformers 2017'!F28</f>
        <v>264056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94"/>
      <c r="AB41" s="452">
        <f>+'Dist Line Transformers 2017'!H28</f>
        <v>83914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57"/>
      <c r="AN41" s="57"/>
      <c r="AO41" s="57"/>
      <c r="AP41" s="57"/>
      <c r="AQ41" s="94"/>
      <c r="AR41" s="557">
        <f>+'Dist Line Transformers 2017'!J28</f>
        <v>56070</v>
      </c>
      <c r="AS41" s="452">
        <f>+'Dist Line Transformers 2017'!L28</f>
        <v>41376</v>
      </c>
      <c r="AT41" s="73"/>
      <c r="AU41" s="73"/>
      <c r="AV41" s="73"/>
      <c r="AW41" s="73"/>
      <c r="AX41" s="94"/>
      <c r="AY41" s="452">
        <f>+'Dist Line Transformers 2017'!N28</f>
        <v>51915</v>
      </c>
      <c r="AZ41" s="73"/>
      <c r="BA41" s="73"/>
      <c r="BB41" s="73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94"/>
      <c r="BR41" s="452">
        <f>+'Dist Line Transformers 2017'!P28</f>
        <v>67312</v>
      </c>
      <c r="BS41" s="57"/>
      <c r="BT41" s="57"/>
      <c r="BU41" s="57"/>
      <c r="BV41" s="94"/>
      <c r="BW41" s="452">
        <f>+'Dist Line Transformers 2017'!R28</f>
        <v>11290</v>
      </c>
      <c r="BX41" s="57"/>
      <c r="BY41" s="57"/>
      <c r="BZ41" s="94"/>
      <c r="CA41" s="452">
        <f>+'Dist Line Transformers 2017'!T28</f>
        <v>50976</v>
      </c>
      <c r="CB41" s="94"/>
      <c r="CC41" s="452">
        <f>+'Dist Line Transformers 2017'!V28</f>
        <v>22692</v>
      </c>
      <c r="CD41" s="73"/>
      <c r="CE41" s="73"/>
      <c r="CF41" s="73"/>
      <c r="CG41" s="73"/>
      <c r="CH41" s="73"/>
      <c r="CI41" s="73"/>
      <c r="CJ41" s="73"/>
      <c r="CK41" s="73"/>
      <c r="CL41" s="73"/>
      <c r="CM41" s="94"/>
      <c r="CN41" s="452">
        <f>+'Dist Line Transformers 2017'!X28</f>
        <v>0</v>
      </c>
      <c r="CO41" s="93"/>
      <c r="CP41" s="93"/>
      <c r="CQ41" s="93"/>
      <c r="CR41" s="94"/>
      <c r="CS41" s="452">
        <f>+'Dist Line Transformers 2017'!Z28</f>
        <v>0</v>
      </c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94"/>
      <c r="DJ41" s="452">
        <f>+'Dist Line Transformers 2017'!AB28</f>
        <v>18816</v>
      </c>
      <c r="DK41" s="73"/>
      <c r="DL41" s="73"/>
      <c r="DM41" s="73"/>
      <c r="DN41" s="73"/>
      <c r="DO41" s="73"/>
      <c r="DP41" s="73"/>
      <c r="DQ41" s="73"/>
      <c r="DR41" s="73"/>
      <c r="DS41" s="73"/>
      <c r="DT41" s="94"/>
      <c r="DU41" s="452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94"/>
      <c r="EO41" s="452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485"/>
    </row>
    <row r="42" spans="1:158" x14ac:dyDescent="0.25">
      <c r="A42" s="397">
        <f t="shared" si="1"/>
        <v>36</v>
      </c>
      <c r="D42" s="452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94"/>
      <c r="AB42" s="484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94"/>
      <c r="AR42" s="557"/>
      <c r="AS42" s="484"/>
      <c r="AT42" s="57"/>
      <c r="AU42" s="57"/>
      <c r="AV42" s="57"/>
      <c r="AW42" s="57"/>
      <c r="AX42" s="94"/>
      <c r="AY42" s="452"/>
      <c r="AZ42" s="73"/>
      <c r="BA42" s="73"/>
      <c r="BB42" s="73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94"/>
      <c r="BR42" s="452"/>
      <c r="BS42" s="57"/>
      <c r="BT42" s="57"/>
      <c r="BU42" s="57"/>
      <c r="BV42" s="94"/>
      <c r="BW42" s="452"/>
      <c r="BX42" s="57"/>
      <c r="BY42" s="57"/>
      <c r="BZ42" s="94"/>
      <c r="CA42" s="452"/>
      <c r="CB42" s="94"/>
      <c r="CC42" s="452"/>
      <c r="CD42" s="73"/>
      <c r="CE42" s="73"/>
      <c r="CF42" s="73"/>
      <c r="CG42" s="73"/>
      <c r="CH42" s="73"/>
      <c r="CI42" s="73"/>
      <c r="CJ42" s="73"/>
      <c r="CK42" s="73"/>
      <c r="CL42" s="73"/>
      <c r="CM42" s="94"/>
      <c r="CN42" s="452"/>
      <c r="CO42" s="93"/>
      <c r="CP42" s="93"/>
      <c r="CQ42" s="93"/>
      <c r="CR42" s="94"/>
      <c r="CS42" s="452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94"/>
      <c r="DJ42" s="452"/>
      <c r="DK42" s="73"/>
      <c r="DL42" s="73"/>
      <c r="DM42" s="73"/>
      <c r="DN42" s="73"/>
      <c r="DO42" s="73"/>
      <c r="DP42" s="73"/>
      <c r="DQ42" s="73"/>
      <c r="DR42" s="73"/>
      <c r="DS42" s="73"/>
      <c r="DT42" s="94"/>
      <c r="DU42" s="452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94"/>
      <c r="EO42" s="452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485"/>
    </row>
    <row r="43" spans="1:158" x14ac:dyDescent="0.25">
      <c r="A43" s="397">
        <f t="shared" si="1"/>
        <v>37</v>
      </c>
      <c r="B43" s="26" t="s">
        <v>28</v>
      </c>
      <c r="C43" s="77">
        <f>SUM(D43:FB43)</f>
        <v>1297937</v>
      </c>
      <c r="D43" s="452">
        <f>SUM(D40:D42)</f>
        <v>537867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94"/>
      <c r="AB43" s="452">
        <f>SUM(AB40:AB42)</f>
        <v>277277</v>
      </c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57"/>
      <c r="AN43" s="57"/>
      <c r="AO43" s="57"/>
      <c r="AP43" s="57"/>
      <c r="AQ43" s="94"/>
      <c r="AR43" s="557">
        <f>SUM(AR40:AR42)</f>
        <v>56070</v>
      </c>
      <c r="AS43" s="452">
        <f>SUM(AS40:AS42)</f>
        <v>41376</v>
      </c>
      <c r="AT43" s="73"/>
      <c r="AU43" s="73"/>
      <c r="AV43" s="73"/>
      <c r="AW43" s="73"/>
      <c r="AX43" s="94"/>
      <c r="AY43" s="452">
        <f>SUM(AY40:AY42)</f>
        <v>55234</v>
      </c>
      <c r="AZ43" s="73"/>
      <c r="BA43" s="73"/>
      <c r="BB43" s="73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94"/>
      <c r="BR43" s="452">
        <f>SUM(BR40:BR42)</f>
        <v>67312</v>
      </c>
      <c r="BS43" s="57"/>
      <c r="BT43" s="57"/>
      <c r="BU43" s="57"/>
      <c r="BV43" s="94"/>
      <c r="BW43" s="452">
        <f>SUM(BW40:BW42)</f>
        <v>11290</v>
      </c>
      <c r="BX43" s="57"/>
      <c r="BY43" s="57"/>
      <c r="BZ43" s="94"/>
      <c r="CA43" s="452">
        <f>SUM(CA40:CA42)</f>
        <v>52016</v>
      </c>
      <c r="CB43" s="94"/>
      <c r="CC43" s="452">
        <f>SUM(CC40:CC42)</f>
        <v>70369</v>
      </c>
      <c r="CD43" s="73"/>
      <c r="CE43" s="73"/>
      <c r="CF43" s="73"/>
      <c r="CG43" s="73"/>
      <c r="CH43" s="73"/>
      <c r="CI43" s="73"/>
      <c r="CJ43" s="73"/>
      <c r="CK43" s="73"/>
      <c r="CL43" s="73"/>
      <c r="CM43" s="94"/>
      <c r="CN43" s="452">
        <f>SUM(CN40:CN42)</f>
        <v>47824</v>
      </c>
      <c r="CO43" s="93"/>
      <c r="CP43" s="93"/>
      <c r="CQ43" s="93"/>
      <c r="CR43" s="94"/>
      <c r="CS43" s="452">
        <f>SUM(CS40:CS42)</f>
        <v>53929</v>
      </c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94"/>
      <c r="DJ43" s="452">
        <f>SUM(DJ40:DJ42)</f>
        <v>27373</v>
      </c>
      <c r="DK43" s="73"/>
      <c r="DL43" s="73"/>
      <c r="DM43" s="73"/>
      <c r="DN43" s="73"/>
      <c r="DO43" s="73"/>
      <c r="DP43" s="73"/>
      <c r="DQ43" s="73"/>
      <c r="DR43" s="73"/>
      <c r="DS43" s="73"/>
      <c r="DT43" s="94"/>
      <c r="DU43" s="452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94"/>
      <c r="EO43" s="452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485"/>
    </row>
    <row r="44" spans="1:158" x14ac:dyDescent="0.25">
      <c r="A44" s="397">
        <f t="shared" si="1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94"/>
      <c r="AB44" s="48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94"/>
      <c r="AR44" s="533"/>
      <c r="AS44" s="484"/>
      <c r="AT44" s="57"/>
      <c r="AU44" s="57"/>
      <c r="AV44" s="57"/>
      <c r="AW44" s="57"/>
      <c r="AX44" s="94"/>
      <c r="AY44" s="484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94"/>
      <c r="BR44" s="484"/>
      <c r="BS44" s="57"/>
      <c r="BT44" s="57"/>
      <c r="BU44" s="57"/>
      <c r="BV44" s="94"/>
      <c r="BW44" s="484"/>
      <c r="BX44" s="57"/>
      <c r="BY44" s="57"/>
      <c r="BZ44" s="94"/>
      <c r="CA44" s="484"/>
      <c r="CB44" s="94"/>
      <c r="CC44" s="484"/>
      <c r="CD44" s="57"/>
      <c r="CE44" s="57"/>
      <c r="CF44" s="57"/>
      <c r="CG44" s="57"/>
      <c r="CH44" s="57"/>
      <c r="CI44" s="57"/>
      <c r="CJ44" s="57"/>
      <c r="CK44" s="57"/>
      <c r="CL44" s="57"/>
      <c r="CM44" s="94"/>
      <c r="CN44" s="484"/>
      <c r="CO44" s="93"/>
      <c r="CP44" s="93"/>
      <c r="CQ44" s="93"/>
      <c r="CR44" s="94"/>
      <c r="CS44" s="484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94"/>
      <c r="DJ44" s="484"/>
      <c r="DK44" s="57"/>
      <c r="DL44" s="57"/>
      <c r="DM44" s="57"/>
      <c r="DN44" s="57"/>
      <c r="DO44" s="57"/>
      <c r="DP44" s="57"/>
      <c r="DQ44" s="57"/>
      <c r="DR44" s="57"/>
      <c r="DS44" s="57"/>
      <c r="DT44" s="94"/>
      <c r="DU44" s="484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94"/>
      <c r="EO44" s="484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485"/>
    </row>
    <row r="45" spans="1:158" x14ac:dyDescent="0.25">
      <c r="A45" s="397">
        <f t="shared" si="1"/>
        <v>39</v>
      </c>
      <c r="B45" s="26" t="s">
        <v>29</v>
      </c>
      <c r="D45" s="464">
        <f>+'Dist Line Transformers 2017'!F32</f>
        <v>0.88980000000000004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94"/>
      <c r="AB45" s="464">
        <f>+'Dist Line Transformers 2017'!H32</f>
        <v>0.89859999999999995</v>
      </c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57"/>
      <c r="AN45" s="57"/>
      <c r="AO45" s="57"/>
      <c r="AP45" s="57"/>
      <c r="AQ45" s="94"/>
      <c r="AR45" s="534">
        <f>+'Dist Line Transformers 2017'!J32</f>
        <v>1</v>
      </c>
      <c r="AS45" s="464">
        <f>+'Dist Line Transformers 2017'!L32</f>
        <v>1</v>
      </c>
      <c r="AT45" s="60"/>
      <c r="AU45" s="60"/>
      <c r="AV45" s="60"/>
      <c r="AW45" s="60"/>
      <c r="AX45" s="94"/>
      <c r="AY45" s="464">
        <f>+'Dist Line Transformers 2017'!N32</f>
        <v>0.98680000000000001</v>
      </c>
      <c r="AZ45" s="60"/>
      <c r="BA45" s="60"/>
      <c r="BB45" s="60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94"/>
      <c r="BR45" s="464">
        <f>+'Dist Line Transformers 2017'!P32</f>
        <v>1</v>
      </c>
      <c r="BS45" s="57"/>
      <c r="BT45" s="57"/>
      <c r="BU45" s="57"/>
      <c r="BV45" s="94"/>
      <c r="BW45" s="464">
        <f>+'Dist Line Transformers 2017'!R32</f>
        <v>1</v>
      </c>
      <c r="BX45" s="57"/>
      <c r="BY45" s="57"/>
      <c r="BZ45" s="94"/>
      <c r="CA45" s="464">
        <f>+'Dist Line Transformers 2017'!T32</f>
        <v>0.99770000000000003</v>
      </c>
      <c r="CB45" s="94"/>
      <c r="CC45" s="464">
        <f>+'Dist Line Transformers 2017'!V32</f>
        <v>0.91700000000000004</v>
      </c>
      <c r="CD45" s="60"/>
      <c r="CE45" s="60"/>
      <c r="CF45" s="60"/>
      <c r="CG45" s="60"/>
      <c r="CH45" s="60"/>
      <c r="CI45" s="60"/>
      <c r="CJ45" s="60"/>
      <c r="CK45" s="60"/>
      <c r="CL45" s="60"/>
      <c r="CM45" s="94"/>
      <c r="CN45" s="464">
        <f>+'Dist Line Transformers 2017'!X32</f>
        <v>0.95850000000000002</v>
      </c>
      <c r="CO45" s="93"/>
      <c r="CP45" s="93"/>
      <c r="CQ45" s="93"/>
      <c r="CR45" s="94"/>
      <c r="CS45" s="464">
        <f>+'Dist Line Transformers 2017'!Z32</f>
        <v>0.94930000000000003</v>
      </c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94"/>
      <c r="DJ45" s="464">
        <f>+'Dist Line Transformers 2017'!AB32</f>
        <v>0.97319999999999995</v>
      </c>
      <c r="DK45" s="60"/>
      <c r="DL45" s="60"/>
      <c r="DM45" s="60"/>
      <c r="DN45" s="60"/>
      <c r="DO45" s="60"/>
      <c r="DP45" s="60"/>
      <c r="DQ45" s="60"/>
      <c r="DR45" s="60"/>
      <c r="DS45" s="60"/>
      <c r="DT45" s="94"/>
      <c r="DU45" s="464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94"/>
      <c r="EO45" s="464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485"/>
    </row>
    <row r="46" spans="1:158" x14ac:dyDescent="0.25">
      <c r="A46" s="397">
        <f t="shared" si="1"/>
        <v>40</v>
      </c>
      <c r="D46" s="48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94"/>
      <c r="AB46" s="4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94"/>
      <c r="AR46" s="533"/>
      <c r="AS46" s="484"/>
      <c r="AT46" s="57"/>
      <c r="AU46" s="57"/>
      <c r="AV46" s="57"/>
      <c r="AW46" s="57"/>
      <c r="AX46" s="94"/>
      <c r="AY46" s="484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94"/>
      <c r="BR46" s="484"/>
      <c r="BS46" s="57"/>
      <c r="BT46" s="57"/>
      <c r="BU46" s="57"/>
      <c r="BV46" s="94"/>
      <c r="BW46" s="484"/>
      <c r="BX46" s="57"/>
      <c r="BY46" s="57"/>
      <c r="BZ46" s="94"/>
      <c r="CA46" s="484"/>
      <c r="CB46" s="94"/>
      <c r="CC46" s="484"/>
      <c r="CD46" s="57"/>
      <c r="CE46" s="57"/>
      <c r="CF46" s="57"/>
      <c r="CG46" s="57"/>
      <c r="CH46" s="57"/>
      <c r="CI46" s="57"/>
      <c r="CJ46" s="57"/>
      <c r="CK46" s="57"/>
      <c r="CL46" s="57"/>
      <c r="CM46" s="94"/>
      <c r="CN46" s="484"/>
      <c r="CO46" s="93"/>
      <c r="CP46" s="93"/>
      <c r="CQ46" s="93"/>
      <c r="CR46" s="94"/>
      <c r="CS46" s="484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94"/>
      <c r="DJ46" s="484"/>
      <c r="DK46" s="57"/>
      <c r="DL46" s="57"/>
      <c r="DM46" s="57"/>
      <c r="DN46" s="57"/>
      <c r="DO46" s="57"/>
      <c r="DP46" s="57"/>
      <c r="DQ46" s="57"/>
      <c r="DR46" s="57"/>
      <c r="DS46" s="57"/>
      <c r="DT46" s="94"/>
      <c r="DU46" s="484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94"/>
      <c r="EO46" s="484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485"/>
    </row>
    <row r="47" spans="1:158" x14ac:dyDescent="0.25">
      <c r="A47" s="397">
        <f t="shared" si="1"/>
        <v>41</v>
      </c>
      <c r="B47" s="26" t="s">
        <v>30</v>
      </c>
      <c r="C47" s="77">
        <f>SUM(D47:FB47)</f>
        <v>1198408</v>
      </c>
      <c r="D47" s="452">
        <f>+'Dist Line Transformers 2017'!F34</f>
        <v>478594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453"/>
      <c r="AB47" s="452">
        <f>+'Dist Line Transformers 2017'!H34</f>
        <v>249161</v>
      </c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57"/>
      <c r="AN47" s="57"/>
      <c r="AO47" s="57"/>
      <c r="AP47" s="57"/>
      <c r="AQ47" s="94"/>
      <c r="AR47" s="557">
        <f>+'Dist Line Transformers 2017'!J34</f>
        <v>56070</v>
      </c>
      <c r="AS47" s="452">
        <f>+'Dist Line Transformers 2017'!L34</f>
        <v>41376</v>
      </c>
      <c r="AT47" s="73"/>
      <c r="AU47" s="73"/>
      <c r="AV47" s="73"/>
      <c r="AW47" s="73"/>
      <c r="AX47" s="558"/>
      <c r="AY47" s="452">
        <f>+'Dist Line Transformers 2017'!N34</f>
        <v>54505</v>
      </c>
      <c r="AZ47" s="73"/>
      <c r="BA47" s="73"/>
      <c r="BB47" s="73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558"/>
      <c r="BR47" s="452">
        <f>+'Dist Line Transformers 2017'!P34</f>
        <v>67312</v>
      </c>
      <c r="BS47" s="496"/>
      <c r="BT47" s="496"/>
      <c r="BU47" s="496"/>
      <c r="BV47" s="558"/>
      <c r="BW47" s="452">
        <f>+'Dist Line Transformers 2017'!R34</f>
        <v>11290</v>
      </c>
      <c r="BX47" s="496"/>
      <c r="BY47" s="496"/>
      <c r="BZ47" s="558"/>
      <c r="CA47" s="452">
        <f>+'Dist Line Transformers 2017'!T34</f>
        <v>51897</v>
      </c>
      <c r="CB47" s="558"/>
      <c r="CC47" s="452">
        <f>+'Dist Line Transformers 2017'!V34</f>
        <v>64529</v>
      </c>
      <c r="CD47" s="73"/>
      <c r="CE47" s="73"/>
      <c r="CF47" s="73"/>
      <c r="CG47" s="73"/>
      <c r="CH47" s="73"/>
      <c r="CI47" s="73"/>
      <c r="CJ47" s="73"/>
      <c r="CK47" s="73"/>
      <c r="CL47" s="73"/>
      <c r="CM47" s="558"/>
      <c r="CN47" s="452">
        <f>+'Dist Line Transformers 2017'!X34</f>
        <v>45839</v>
      </c>
      <c r="CO47" s="93"/>
      <c r="CP47" s="93"/>
      <c r="CQ47" s="93"/>
      <c r="CR47" s="558"/>
      <c r="CS47" s="452">
        <f>+'Dist Line Transformers 2017'!Z34</f>
        <v>51195</v>
      </c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558"/>
      <c r="DJ47" s="452">
        <f>+'Dist Line Transformers 2017'!AB34</f>
        <v>26640</v>
      </c>
      <c r="DK47" s="73"/>
      <c r="DL47" s="73"/>
      <c r="DM47" s="73"/>
      <c r="DN47" s="73"/>
      <c r="DO47" s="73"/>
      <c r="DP47" s="73"/>
      <c r="DQ47" s="73"/>
      <c r="DR47" s="73"/>
      <c r="DS47" s="73"/>
      <c r="DT47" s="558"/>
      <c r="DU47" s="452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558"/>
      <c r="EO47" s="452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559"/>
    </row>
    <row r="48" spans="1:158" x14ac:dyDescent="0.25">
      <c r="A48" s="397">
        <f t="shared" si="1"/>
        <v>42</v>
      </c>
      <c r="D48" s="48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94"/>
      <c r="AB48" s="484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94"/>
      <c r="AR48" s="533"/>
      <c r="AS48" s="484"/>
      <c r="AT48" s="57"/>
      <c r="AU48" s="57"/>
      <c r="AV48" s="57"/>
      <c r="AW48" s="57"/>
      <c r="AX48" s="94"/>
      <c r="AY48" s="484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94"/>
      <c r="BR48" s="484"/>
      <c r="BS48" s="57"/>
      <c r="BT48" s="57"/>
      <c r="BU48" s="57"/>
      <c r="BV48" s="94"/>
      <c r="BW48" s="484"/>
      <c r="BX48" s="57"/>
      <c r="BY48" s="57"/>
      <c r="BZ48" s="94"/>
      <c r="CA48" s="484"/>
      <c r="CB48" s="94"/>
      <c r="CC48" s="484"/>
      <c r="CD48" s="57"/>
      <c r="CE48" s="57"/>
      <c r="CF48" s="57"/>
      <c r="CG48" s="57"/>
      <c r="CH48" s="57"/>
      <c r="CI48" s="57"/>
      <c r="CJ48" s="57"/>
      <c r="CK48" s="57"/>
      <c r="CL48" s="57"/>
      <c r="CM48" s="94"/>
      <c r="CN48" s="484"/>
      <c r="CO48" s="93"/>
      <c r="CP48" s="93"/>
      <c r="CQ48" s="93"/>
      <c r="CR48" s="94"/>
      <c r="CS48" s="484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94"/>
      <c r="DJ48" s="484"/>
      <c r="DK48" s="57"/>
      <c r="DL48" s="57"/>
      <c r="DM48" s="57"/>
      <c r="DN48" s="57"/>
      <c r="DO48" s="57"/>
      <c r="DP48" s="57"/>
      <c r="DQ48" s="57"/>
      <c r="DR48" s="57"/>
      <c r="DS48" s="57"/>
      <c r="DT48" s="94"/>
      <c r="DU48" s="484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94"/>
      <c r="EO48" s="484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485"/>
    </row>
    <row r="49" spans="1:158" x14ac:dyDescent="0.25">
      <c r="A49" s="397">
        <f t="shared" si="1"/>
        <v>43</v>
      </c>
      <c r="B49" s="68" t="s">
        <v>252</v>
      </c>
      <c r="C49" s="108"/>
      <c r="D49" s="489">
        <f ca="1">IF(D47=0,0,ROUND(+D38/D47,2))</f>
        <v>1.06</v>
      </c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1"/>
      <c r="AB49" s="489">
        <f ca="1">IF(AB47=0,0,ROUND(+AB38/AB47,2))</f>
        <v>2.4</v>
      </c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57"/>
      <c r="AN49" s="57"/>
      <c r="AO49" s="57"/>
      <c r="AP49" s="57"/>
      <c r="AQ49" s="94"/>
      <c r="AR49" s="562">
        <f ca="1">IF(AR47=0,0,ROUND(+AR38/AR47,2))</f>
        <v>0.56999999999999995</v>
      </c>
      <c r="AS49" s="489">
        <f ca="1">IF(AS47=0,0,ROUND(+AS38/AS47,2))</f>
        <v>0.21</v>
      </c>
      <c r="AT49" s="95"/>
      <c r="AU49" s="95"/>
      <c r="AV49" s="95"/>
      <c r="AW49" s="95"/>
      <c r="AX49" s="561"/>
      <c r="AY49" s="489">
        <f ca="1">IF(AY47=0,0,ROUND(+AY38/AY47,2))</f>
        <v>1.89</v>
      </c>
      <c r="AZ49" s="95"/>
      <c r="BA49" s="95"/>
      <c r="BB49" s="95"/>
      <c r="BC49" s="560"/>
      <c r="BD49" s="560"/>
      <c r="BE49" s="560"/>
      <c r="BF49" s="560"/>
      <c r="BG49" s="560"/>
      <c r="BH49" s="560"/>
      <c r="BI49" s="560"/>
      <c r="BJ49" s="560"/>
      <c r="BK49" s="560"/>
      <c r="BL49" s="560"/>
      <c r="BM49" s="560"/>
      <c r="BN49" s="560"/>
      <c r="BO49" s="560"/>
      <c r="BP49" s="560"/>
      <c r="BQ49" s="561"/>
      <c r="BR49" s="489">
        <f ca="1">IF(BR47=0,0,ROUND(+BR38/BR47,2))</f>
        <v>0.24</v>
      </c>
      <c r="BS49" s="560"/>
      <c r="BT49" s="560"/>
      <c r="BU49" s="560"/>
      <c r="BV49" s="561"/>
      <c r="BW49" s="489">
        <f ca="1">IF(BW47=0,0,ROUND(+BW38/BW47,2))</f>
        <v>0.64</v>
      </c>
      <c r="BX49" s="560"/>
      <c r="BY49" s="560"/>
      <c r="BZ49" s="561"/>
      <c r="CA49" s="489">
        <f ca="1">IF(CA47=0,0,ROUND(+CA38/CA47,2))</f>
        <v>1.33</v>
      </c>
      <c r="CB49" s="561"/>
      <c r="CC49" s="489">
        <f ca="1">IF(CC47=0,0,ROUND(+CC38/CC47,2))</f>
        <v>2.36</v>
      </c>
      <c r="CD49" s="95"/>
      <c r="CE49" s="95"/>
      <c r="CF49" s="95"/>
      <c r="CG49" s="95"/>
      <c r="CH49" s="95"/>
      <c r="CI49" s="95"/>
      <c r="CJ49" s="95"/>
      <c r="CK49" s="95"/>
      <c r="CL49" s="95"/>
      <c r="CM49" s="561"/>
      <c r="CN49" s="489">
        <f ca="1">IF(CN47=0,0,ROUND(+CN38/CN47,2))</f>
        <v>0.42</v>
      </c>
      <c r="CO49" s="93"/>
      <c r="CP49" s="93"/>
      <c r="CQ49" s="93"/>
      <c r="CR49" s="561"/>
      <c r="CS49" s="489">
        <f ca="1">IF(CS47=0,0,ROUND(+CS38/CS47,2))</f>
        <v>0.52</v>
      </c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561"/>
      <c r="DJ49" s="489">
        <f ca="1">IF(DJ47=0,0,ROUND(+DJ38/DJ47,2))</f>
        <v>0.27</v>
      </c>
      <c r="DK49" s="95"/>
      <c r="DL49" s="95"/>
      <c r="DM49" s="95"/>
      <c r="DN49" s="95"/>
      <c r="DO49" s="95"/>
      <c r="DP49" s="95"/>
      <c r="DQ49" s="95"/>
      <c r="DR49" s="95"/>
      <c r="DS49" s="95"/>
      <c r="DT49" s="561"/>
      <c r="DU49" s="489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561"/>
      <c r="EO49" s="489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563"/>
    </row>
    <row r="50" spans="1:158" ht="13.8" thickBot="1" x14ac:dyDescent="0.3">
      <c r="A50" s="397">
        <f t="shared" si="1"/>
        <v>44</v>
      </c>
      <c r="D50" s="494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7"/>
      <c r="AB50" s="494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7"/>
      <c r="AR50" s="568"/>
      <c r="AS50" s="494"/>
      <c r="AT50" s="96"/>
      <c r="AU50" s="96"/>
      <c r="AV50" s="96"/>
      <c r="AW50" s="96"/>
      <c r="AX50" s="97"/>
      <c r="AY50" s="494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494"/>
      <c r="BS50" s="96"/>
      <c r="BT50" s="96"/>
      <c r="BU50" s="96"/>
      <c r="BV50" s="97"/>
      <c r="BW50" s="494"/>
      <c r="BX50" s="96"/>
      <c r="BY50" s="96"/>
      <c r="BZ50" s="97"/>
      <c r="CA50" s="494"/>
      <c r="CB50" s="97"/>
      <c r="CC50" s="494"/>
      <c r="CD50" s="96"/>
      <c r="CE50" s="96"/>
      <c r="CF50" s="96"/>
      <c r="CG50" s="96"/>
      <c r="CH50" s="96"/>
      <c r="CI50" s="96"/>
      <c r="CJ50" s="96"/>
      <c r="CK50" s="96"/>
      <c r="CL50" s="96"/>
      <c r="CM50" s="97"/>
      <c r="CN50" s="494"/>
      <c r="CO50" s="506"/>
      <c r="CP50" s="506"/>
      <c r="CQ50" s="506"/>
      <c r="CR50" s="97"/>
      <c r="CS50" s="494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7"/>
      <c r="DJ50" s="494"/>
      <c r="DK50" s="96"/>
      <c r="DL50" s="96"/>
      <c r="DM50" s="96"/>
      <c r="DN50" s="96"/>
      <c r="DO50" s="96"/>
      <c r="DP50" s="96"/>
      <c r="DQ50" s="96"/>
      <c r="DR50" s="96"/>
      <c r="DS50" s="96"/>
      <c r="DT50" s="97"/>
      <c r="DU50" s="526"/>
      <c r="DV50" s="497"/>
      <c r="DW50" s="497"/>
      <c r="DX50" s="497"/>
      <c r="DY50" s="497"/>
      <c r="DZ50" s="497"/>
      <c r="EA50" s="497"/>
      <c r="EB50" s="497"/>
      <c r="EC50" s="497"/>
      <c r="ED50" s="497"/>
      <c r="EE50" s="497"/>
      <c r="EF50" s="497"/>
      <c r="EG50" s="497"/>
      <c r="EH50" s="497"/>
      <c r="EI50" s="497"/>
      <c r="EJ50" s="497"/>
      <c r="EK50" s="497"/>
      <c r="EL50" s="497"/>
      <c r="EM50" s="497"/>
      <c r="EN50" s="498"/>
      <c r="EO50" s="526"/>
      <c r="EP50" s="497"/>
      <c r="EQ50" s="497"/>
      <c r="ER50" s="497"/>
      <c r="ES50" s="497"/>
      <c r="ET50" s="497"/>
      <c r="EU50" s="497"/>
      <c r="EV50" s="497"/>
      <c r="EW50" s="497"/>
      <c r="EX50" s="497"/>
      <c r="EY50" s="497"/>
      <c r="EZ50" s="497"/>
      <c r="FA50" s="497"/>
      <c r="FB50" s="499"/>
    </row>
    <row r="51" spans="1:158" x14ac:dyDescent="0.25">
      <c r="A51" s="211">
        <f t="shared" si="1"/>
        <v>45</v>
      </c>
    </row>
    <row r="52" spans="1:158" x14ac:dyDescent="0.25">
      <c r="A52" s="211">
        <f t="shared" si="1"/>
        <v>46</v>
      </c>
      <c r="C52" s="78">
        <f>SUM(D52:EO52)</f>
        <v>33999739</v>
      </c>
      <c r="D52" s="78">
        <f>SUM(D26:AA27)</f>
        <v>12330682</v>
      </c>
      <c r="AB52" s="78">
        <f>SUM(AB26:AQ27)</f>
        <v>10604565</v>
      </c>
      <c r="AR52" s="78">
        <f>SUM(AR26:AR27)</f>
        <v>814000</v>
      </c>
      <c r="AS52" s="78">
        <f>SUM(AS26:AX27)</f>
        <v>528475</v>
      </c>
      <c r="AY52" s="78">
        <f>SUM(AY26:BQ27)</f>
        <v>1958550</v>
      </c>
      <c r="BR52" s="78">
        <f>SUM(BR26:BV27)</f>
        <v>876222</v>
      </c>
      <c r="BW52" s="78">
        <f>SUM(BW26:BZ27)</f>
        <v>542125</v>
      </c>
      <c r="CA52" s="78">
        <f>SUM(CA26:CB27)</f>
        <v>812872</v>
      </c>
      <c r="CC52" s="78">
        <f>SUM(CC26:CM27)</f>
        <v>2505654</v>
      </c>
      <c r="CD52" s="78"/>
      <c r="CE52" s="78"/>
      <c r="CN52" s="78">
        <f>SUM(CN26:CR27)</f>
        <v>515950</v>
      </c>
      <c r="CS52" s="78">
        <f>SUM(CS26:DI27)</f>
        <v>1879434</v>
      </c>
      <c r="DJ52" s="78">
        <f>SUM(DJ26:DT27)</f>
        <v>631210</v>
      </c>
      <c r="DU52" s="78"/>
      <c r="EO52" s="78"/>
      <c r="EP52" s="78"/>
    </row>
    <row r="53" spans="1:158" x14ac:dyDescent="0.25">
      <c r="A53" s="211">
        <f t="shared" si="1"/>
        <v>47</v>
      </c>
      <c r="C53" s="78">
        <f>SUM(D53:EO53)</f>
        <v>33999739</v>
      </c>
      <c r="D53" s="78">
        <v>12330682</v>
      </c>
      <c r="AB53" s="78">
        <v>10604565</v>
      </c>
      <c r="AR53" s="78">
        <v>814000</v>
      </c>
      <c r="AS53" s="78">
        <v>528475</v>
      </c>
      <c r="AY53" s="78">
        <v>1958550</v>
      </c>
      <c r="BR53" s="78">
        <v>876222</v>
      </c>
      <c r="BW53" s="78">
        <v>542125</v>
      </c>
      <c r="CA53" s="78">
        <v>812872</v>
      </c>
      <c r="CC53" s="78">
        <v>2505654</v>
      </c>
      <c r="CD53" s="78"/>
      <c r="CE53" s="78"/>
      <c r="CN53" s="78">
        <v>515950</v>
      </c>
      <c r="CS53" s="78">
        <v>1879434</v>
      </c>
      <c r="DJ53" s="78">
        <v>631210</v>
      </c>
      <c r="DU53" s="78"/>
      <c r="EO53" s="78"/>
      <c r="EP53" s="78"/>
    </row>
    <row r="54" spans="1:158" x14ac:dyDescent="0.25">
      <c r="A54" s="211">
        <f t="shared" si="1"/>
        <v>48</v>
      </c>
      <c r="C54" s="78">
        <f>SUM(D54:EO54)</f>
        <v>0</v>
      </c>
      <c r="D54" s="78">
        <f>+D52-D53</f>
        <v>0</v>
      </c>
      <c r="AB54" s="78">
        <f>+AB52-AB53</f>
        <v>0</v>
      </c>
      <c r="AR54" s="78">
        <f>+AR52-AR53</f>
        <v>0</v>
      </c>
      <c r="AS54" s="78">
        <f>+AS52-AS53</f>
        <v>0</v>
      </c>
      <c r="AY54" s="78">
        <f>+AY52-AY53</f>
        <v>0</v>
      </c>
      <c r="BR54" s="78">
        <f>+BR52-BR53</f>
        <v>0</v>
      </c>
      <c r="BW54" s="78">
        <f>+BW52-BW53</f>
        <v>0</v>
      </c>
      <c r="CA54" s="78">
        <f>+CA52-CA53</f>
        <v>0</v>
      </c>
      <c r="CC54" s="78">
        <f>+CC52-CC53</f>
        <v>0</v>
      </c>
      <c r="CD54" s="78"/>
      <c r="CE54" s="78"/>
      <c r="CN54" s="78">
        <f>+CN52-CN53</f>
        <v>0</v>
      </c>
      <c r="CS54" s="78">
        <f>+CS52-CS53</f>
        <v>0</v>
      </c>
      <c r="DJ54" s="78">
        <f>+DJ52-DJ53</f>
        <v>0</v>
      </c>
      <c r="DU54" s="78"/>
      <c r="EO54" s="78"/>
      <c r="EP54" s="78"/>
    </row>
    <row r="55" spans="1:158" x14ac:dyDescent="0.25">
      <c r="A55" s="211">
        <f t="shared" si="1"/>
        <v>49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</row>
    <row r="56" spans="1:158" x14ac:dyDescent="0.25">
      <c r="A56" s="211">
        <f t="shared" si="1"/>
        <v>50</v>
      </c>
    </row>
    <row r="57" spans="1:158" x14ac:dyDescent="0.25">
      <c r="A57" s="211">
        <f t="shared" si="1"/>
        <v>51</v>
      </c>
      <c r="B57" s="26" t="s">
        <v>72</v>
      </c>
      <c r="C57" s="78">
        <f>SUM(D57:FB57)</f>
        <v>10482273.901168847</v>
      </c>
      <c r="D57" s="78">
        <f>+D31</f>
        <v>15137.505843568197</v>
      </c>
      <c r="E57" s="78">
        <f t="shared" ref="E57:BQ57" si="383">+E31</f>
        <v>97695.269590430733</v>
      </c>
      <c r="F57" s="78">
        <f t="shared" si="383"/>
        <v>62374.412545173072</v>
      </c>
      <c r="G57" s="78">
        <f t="shared" si="383"/>
        <v>1896.4181041716026</v>
      </c>
      <c r="H57" s="78">
        <f t="shared" si="383"/>
        <v>111515.41332095742</v>
      </c>
      <c r="I57" s="78">
        <f t="shared" si="383"/>
        <v>23779.489944512774</v>
      </c>
      <c r="J57" s="78">
        <f t="shared" si="383"/>
        <v>86603.56771538312</v>
      </c>
      <c r="K57" s="78">
        <f t="shared" si="383"/>
        <v>55766.049288946349</v>
      </c>
      <c r="L57" s="78">
        <f t="shared" si="383"/>
        <v>63176.05466750676</v>
      </c>
      <c r="M57" s="78">
        <f t="shared" si="383"/>
        <v>36311.991368321258</v>
      </c>
      <c r="N57" s="78"/>
      <c r="O57" s="78">
        <f t="shared" si="383"/>
        <v>76002.735359631915</v>
      </c>
      <c r="P57" s="78">
        <f t="shared" si="383"/>
        <v>237374.66829912856</v>
      </c>
      <c r="Q57" s="78">
        <f t="shared" si="383"/>
        <v>55020.370391325116</v>
      </c>
      <c r="R57" s="78">
        <f t="shared" si="383"/>
        <v>96869.654912480342</v>
      </c>
      <c r="S57" s="78">
        <f t="shared" si="383"/>
        <v>814033.04929702647</v>
      </c>
      <c r="T57" s="78">
        <f t="shared" si="383"/>
        <v>470174.27811893984</v>
      </c>
      <c r="U57" s="78">
        <f t="shared" si="383"/>
        <v>0</v>
      </c>
      <c r="V57" s="78">
        <f t="shared" si="383"/>
        <v>232072.63029250162</v>
      </c>
      <c r="W57" s="78">
        <f t="shared" si="383"/>
        <v>176280.16671380089</v>
      </c>
      <c r="X57" s="78">
        <f t="shared" si="383"/>
        <v>65142.557142857135</v>
      </c>
      <c r="Y57" s="78">
        <f t="shared" si="383"/>
        <v>218627.48562175047</v>
      </c>
      <c r="Z57" s="78">
        <f t="shared" si="383"/>
        <v>132500.85904412775</v>
      </c>
      <c r="AA57" s="78">
        <f t="shared" si="383"/>
        <v>264745.85703202861</v>
      </c>
      <c r="AB57" s="78">
        <f t="shared" si="383"/>
        <v>1040496.5873949579</v>
      </c>
      <c r="AC57" s="78">
        <f t="shared" si="383"/>
        <v>1900696.7230462192</v>
      </c>
      <c r="AD57" s="78">
        <f t="shared" si="383"/>
        <v>0</v>
      </c>
      <c r="AE57" s="78">
        <f t="shared" si="383"/>
        <v>0</v>
      </c>
      <c r="AF57" s="78">
        <f t="shared" si="383"/>
        <v>227790.02613054123</v>
      </c>
      <c r="AG57" s="78">
        <f t="shared" si="383"/>
        <v>112629.42053364641</v>
      </c>
      <c r="AH57" s="78">
        <f t="shared" si="383"/>
        <v>48298.842332844797</v>
      </c>
      <c r="AI57" s="78">
        <f t="shared" si="383"/>
        <v>0</v>
      </c>
      <c r="AJ57" s="78">
        <f t="shared" si="383"/>
        <v>413958.86985177337</v>
      </c>
      <c r="AK57" s="78">
        <f t="shared" si="383"/>
        <v>12504.400296767146</v>
      </c>
      <c r="AL57" s="78">
        <f t="shared" si="383"/>
        <v>44894.632723545925</v>
      </c>
      <c r="AM57" s="78">
        <f t="shared" si="383"/>
        <v>188331.19792352719</v>
      </c>
      <c r="AN57" s="78">
        <f t="shared" si="383"/>
        <v>8526.4033829919936</v>
      </c>
      <c r="AO57" s="78">
        <f t="shared" si="383"/>
        <v>146555.08386134414</v>
      </c>
      <c r="AP57" s="78">
        <f t="shared" si="383"/>
        <v>5701.2492659169302</v>
      </c>
      <c r="AQ57" s="78">
        <f t="shared" si="383"/>
        <v>44161.084961447494</v>
      </c>
      <c r="AR57" s="78">
        <f t="shared" si="383"/>
        <v>209817.3252591897</v>
      </c>
      <c r="AS57" s="78">
        <f t="shared" si="383"/>
        <v>0</v>
      </c>
      <c r="AT57" s="78">
        <f t="shared" si="383"/>
        <v>0</v>
      </c>
      <c r="AU57" s="78">
        <f t="shared" si="383"/>
        <v>13388.49237598394</v>
      </c>
      <c r="AV57" s="78">
        <f t="shared" si="383"/>
        <v>7580.3364792250304</v>
      </c>
      <c r="AW57" s="78">
        <f t="shared" si="383"/>
        <v>10248.164837433787</v>
      </c>
      <c r="AX57" s="78">
        <f t="shared" si="383"/>
        <v>27791.747024837299</v>
      </c>
      <c r="AY57" s="78">
        <f t="shared" si="383"/>
        <v>0</v>
      </c>
      <c r="AZ57" s="78">
        <f t="shared" si="383"/>
        <v>0</v>
      </c>
      <c r="BA57" s="78">
        <f t="shared" si="383"/>
        <v>0</v>
      </c>
      <c r="BB57" s="78">
        <f t="shared" si="383"/>
        <v>0</v>
      </c>
      <c r="BC57" s="78">
        <f t="shared" si="383"/>
        <v>14.931825087077689</v>
      </c>
      <c r="BD57" s="78">
        <f t="shared" si="383"/>
        <v>340.09745655453617</v>
      </c>
      <c r="BE57" s="78">
        <f t="shared" si="383"/>
        <v>21.289898530825287</v>
      </c>
      <c r="BF57" s="78">
        <f t="shared" si="383"/>
        <v>428.99827892695532</v>
      </c>
      <c r="BG57" s="78">
        <f t="shared" si="383"/>
        <v>0</v>
      </c>
      <c r="BH57" s="78">
        <f t="shared" si="383"/>
        <v>161.2364472415409</v>
      </c>
      <c r="BI57" s="78">
        <f t="shared" si="383"/>
        <v>12.778078715398282</v>
      </c>
      <c r="BJ57" s="78">
        <f t="shared" si="383"/>
        <v>503.7791921048551</v>
      </c>
      <c r="BK57" s="78">
        <f t="shared" si="383"/>
        <v>9670.77561409179</v>
      </c>
      <c r="BL57" s="78">
        <f t="shared" si="383"/>
        <v>735.17514715855918</v>
      </c>
      <c r="BM57" s="78">
        <f t="shared" si="383"/>
        <v>3897.6635397442733</v>
      </c>
      <c r="BN57" s="78">
        <f t="shared" si="383"/>
        <v>1181.9445607771668</v>
      </c>
      <c r="BO57" s="78">
        <f t="shared" si="383"/>
        <v>0</v>
      </c>
      <c r="BP57" s="78">
        <f t="shared" si="383"/>
        <v>12266.608322559794</v>
      </c>
      <c r="BQ57" s="78">
        <f t="shared" si="383"/>
        <v>590375.52646856802</v>
      </c>
      <c r="BR57" s="78">
        <f t="shared" ref="BR57:DT57" si="384">+BR31</f>
        <v>0</v>
      </c>
      <c r="BS57" s="78">
        <f t="shared" si="384"/>
        <v>0</v>
      </c>
      <c r="BT57" s="78">
        <f t="shared" si="384"/>
        <v>0</v>
      </c>
      <c r="BU57" s="78">
        <f t="shared" si="384"/>
        <v>3633.7296026742683</v>
      </c>
      <c r="BV57" s="78">
        <f t="shared" si="384"/>
        <v>107719.96753888905</v>
      </c>
      <c r="BW57" s="78">
        <f>+BW31</f>
        <v>14357.369043867922</v>
      </c>
      <c r="BX57" s="78">
        <f t="shared" ref="BX57:BZ57" si="385">+BX31</f>
        <v>2621.284047020712</v>
      </c>
      <c r="BY57" s="78">
        <f t="shared" si="385"/>
        <v>2829.2895806664542</v>
      </c>
      <c r="BZ57" s="78">
        <f t="shared" si="385"/>
        <v>13594.328825586452</v>
      </c>
      <c r="CA57" s="78">
        <f t="shared" si="384"/>
        <v>2996.5579600322758</v>
      </c>
      <c r="CB57" s="78">
        <f t="shared" si="384"/>
        <v>493523.32662436337</v>
      </c>
      <c r="CC57" s="78">
        <f t="shared" si="384"/>
        <v>9081.4276405099099</v>
      </c>
      <c r="CD57" s="78">
        <f t="shared" si="384"/>
        <v>315131.41522776277</v>
      </c>
      <c r="CE57" s="78">
        <f t="shared" si="384"/>
        <v>61770.2317238084</v>
      </c>
      <c r="CF57" s="78">
        <f t="shared" si="384"/>
        <v>14669.360051712994</v>
      </c>
      <c r="CG57" s="78">
        <f t="shared" si="384"/>
        <v>263696.32236990955</v>
      </c>
      <c r="CH57" s="78">
        <f t="shared" si="384"/>
        <v>87976.822373949573</v>
      </c>
      <c r="CI57" s="78">
        <f t="shared" si="384"/>
        <v>106063.91154977372</v>
      </c>
      <c r="CJ57" s="78">
        <f t="shared" si="384"/>
        <v>221.0715352634262</v>
      </c>
      <c r="CK57" s="78">
        <f t="shared" si="384"/>
        <v>17046.393858409567</v>
      </c>
      <c r="CL57" s="78">
        <f t="shared" si="384"/>
        <v>148779.90514465229</v>
      </c>
      <c r="CM57" s="78">
        <f t="shared" si="384"/>
        <v>56525.075859601653</v>
      </c>
      <c r="CN57" s="78">
        <f t="shared" si="384"/>
        <v>0</v>
      </c>
      <c r="CO57" s="78">
        <f t="shared" si="384"/>
        <v>674.2867448578271</v>
      </c>
      <c r="CP57" s="78">
        <f t="shared" si="384"/>
        <v>4035.2804257578805</v>
      </c>
      <c r="CQ57" s="78">
        <f t="shared" si="384"/>
        <v>10807.981673890856</v>
      </c>
      <c r="CR57" s="78">
        <f t="shared" si="384"/>
        <v>92997.838985960596</v>
      </c>
      <c r="CS57" s="78">
        <f t="shared" si="384"/>
        <v>0</v>
      </c>
      <c r="CT57" s="78">
        <f t="shared" si="384"/>
        <v>0</v>
      </c>
      <c r="CU57" s="78">
        <f t="shared" si="384"/>
        <v>1292.2948568686002</v>
      </c>
      <c r="CV57" s="78">
        <f t="shared" si="384"/>
        <v>2803.3909593445824</v>
      </c>
      <c r="CW57" s="78">
        <f t="shared" si="384"/>
        <v>53275.246190918064</v>
      </c>
      <c r="CX57" s="78">
        <f t="shared" si="384"/>
        <v>36489.679698692657</v>
      </c>
      <c r="CY57" s="78">
        <f t="shared" si="384"/>
        <v>29443.114156044929</v>
      </c>
      <c r="CZ57" s="78">
        <f t="shared" si="384"/>
        <v>547.78454703848149</v>
      </c>
      <c r="DA57" s="78">
        <f t="shared" si="384"/>
        <v>0</v>
      </c>
      <c r="DB57" s="78">
        <f t="shared" si="384"/>
        <v>17.802466790685234</v>
      </c>
      <c r="DC57" s="78">
        <f t="shared" si="384"/>
        <v>1139.5829432299649</v>
      </c>
      <c r="DD57" s="78">
        <f t="shared" si="384"/>
        <v>803.28099748255022</v>
      </c>
      <c r="DE57" s="78">
        <f t="shared" si="384"/>
        <v>1407.6714055783652</v>
      </c>
      <c r="DF57" s="78">
        <f t="shared" si="384"/>
        <v>39.321897568958647</v>
      </c>
      <c r="DG57" s="78">
        <f t="shared" si="384"/>
        <v>5631.201531961231</v>
      </c>
      <c r="DH57" s="78">
        <f t="shared" si="384"/>
        <v>12999.54973922558</v>
      </c>
      <c r="DI57" s="78">
        <f t="shared" si="384"/>
        <v>3656.2892494995822</v>
      </c>
      <c r="DJ57" s="78">
        <f t="shared" si="384"/>
        <v>0</v>
      </c>
      <c r="DK57" s="78">
        <f t="shared" si="384"/>
        <v>0</v>
      </c>
      <c r="DL57" s="78">
        <f t="shared" si="384"/>
        <v>2172.5972037245083</v>
      </c>
      <c r="DM57" s="78">
        <f t="shared" si="384"/>
        <v>71.309389140271492</v>
      </c>
      <c r="DN57" s="78">
        <f t="shared" si="384"/>
        <v>117.24026154607292</v>
      </c>
      <c r="DO57" s="78">
        <f t="shared" si="384"/>
        <v>104.6030342983845</v>
      </c>
      <c r="DP57" s="78">
        <f t="shared" si="384"/>
        <v>6062.6405901775306</v>
      </c>
      <c r="DQ57" s="78">
        <f t="shared" si="384"/>
        <v>751.40414556857786</v>
      </c>
      <c r="DR57" s="78">
        <f t="shared" si="384"/>
        <v>7835.4359243697472</v>
      </c>
      <c r="DS57" s="78">
        <f t="shared" si="384"/>
        <v>909.36092777969941</v>
      </c>
      <c r="DT57" s="78">
        <f t="shared" si="384"/>
        <v>7868.0435362513654</v>
      </c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</row>
    <row r="58" spans="1:158" x14ac:dyDescent="0.25">
      <c r="A58" s="211">
        <f t="shared" si="1"/>
        <v>52</v>
      </c>
      <c r="B58" s="50" t="s">
        <v>263</v>
      </c>
      <c r="C58" s="78">
        <f>SUM(D58:FB58)</f>
        <v>145193</v>
      </c>
      <c r="D58" s="34">
        <f>ROUND(IF(D26=0,0,D26/D28*D31),0)</f>
        <v>0</v>
      </c>
      <c r="E58" s="34">
        <f t="shared" ref="E58:BQ58" si="386">ROUND(IF(E26=0,0,E26/E28*E31),0)</f>
        <v>0</v>
      </c>
      <c r="F58" s="34">
        <f t="shared" si="386"/>
        <v>0</v>
      </c>
      <c r="G58" s="34">
        <f t="shared" si="386"/>
        <v>0</v>
      </c>
      <c r="H58" s="34">
        <f t="shared" si="386"/>
        <v>0</v>
      </c>
      <c r="I58" s="34">
        <f t="shared" si="386"/>
        <v>0</v>
      </c>
      <c r="J58" s="34">
        <f t="shared" si="386"/>
        <v>0</v>
      </c>
      <c r="K58" s="34">
        <f t="shared" si="386"/>
        <v>0</v>
      </c>
      <c r="L58" s="34">
        <f t="shared" si="386"/>
        <v>0</v>
      </c>
      <c r="M58" s="34">
        <f t="shared" si="386"/>
        <v>0</v>
      </c>
      <c r="N58" s="34"/>
      <c r="O58" s="34">
        <f t="shared" si="386"/>
        <v>0</v>
      </c>
      <c r="P58" s="34">
        <f t="shared" si="386"/>
        <v>0</v>
      </c>
      <c r="Q58" s="34">
        <f t="shared" si="386"/>
        <v>0</v>
      </c>
      <c r="R58" s="34">
        <f t="shared" si="386"/>
        <v>0</v>
      </c>
      <c r="S58" s="34">
        <f t="shared" si="386"/>
        <v>0</v>
      </c>
      <c r="T58" s="34">
        <f t="shared" si="386"/>
        <v>0</v>
      </c>
      <c r="U58" s="34">
        <f t="shared" si="386"/>
        <v>0</v>
      </c>
      <c r="V58" s="34">
        <f t="shared" si="386"/>
        <v>0</v>
      </c>
      <c r="W58" s="34">
        <f t="shared" si="386"/>
        <v>0</v>
      </c>
      <c r="X58" s="34">
        <f t="shared" si="386"/>
        <v>0</v>
      </c>
      <c r="Y58" s="34">
        <f t="shared" si="386"/>
        <v>0</v>
      </c>
      <c r="Z58" s="34">
        <f t="shared" si="386"/>
        <v>0</v>
      </c>
      <c r="AA58" s="34">
        <f t="shared" si="386"/>
        <v>12895</v>
      </c>
      <c r="AB58" s="34">
        <f t="shared" si="386"/>
        <v>0</v>
      </c>
      <c r="AC58" s="34">
        <f t="shared" si="386"/>
        <v>0</v>
      </c>
      <c r="AD58" s="34">
        <f t="shared" si="386"/>
        <v>0</v>
      </c>
      <c r="AE58" s="34">
        <f t="shared" si="386"/>
        <v>0</v>
      </c>
      <c r="AF58" s="34">
        <f t="shared" si="386"/>
        <v>0</v>
      </c>
      <c r="AG58" s="34">
        <f t="shared" si="386"/>
        <v>0</v>
      </c>
      <c r="AH58" s="34">
        <f t="shared" si="386"/>
        <v>0</v>
      </c>
      <c r="AI58" s="34">
        <f t="shared" si="386"/>
        <v>0</v>
      </c>
      <c r="AJ58" s="34">
        <f t="shared" si="386"/>
        <v>0</v>
      </c>
      <c r="AK58" s="34">
        <f t="shared" si="386"/>
        <v>0</v>
      </c>
      <c r="AL58" s="34">
        <f t="shared" si="386"/>
        <v>0</v>
      </c>
      <c r="AM58" s="34">
        <f t="shared" si="386"/>
        <v>0</v>
      </c>
      <c r="AN58" s="34">
        <f t="shared" si="386"/>
        <v>0</v>
      </c>
      <c r="AO58" s="34">
        <f t="shared" si="386"/>
        <v>0</v>
      </c>
      <c r="AP58" s="34">
        <f t="shared" si="386"/>
        <v>0</v>
      </c>
      <c r="AQ58" s="34">
        <f t="shared" si="386"/>
        <v>0</v>
      </c>
      <c r="AR58" s="34">
        <f t="shared" si="386"/>
        <v>0</v>
      </c>
      <c r="AS58" s="34">
        <f t="shared" si="386"/>
        <v>0</v>
      </c>
      <c r="AT58" s="34">
        <f t="shared" si="386"/>
        <v>0</v>
      </c>
      <c r="AU58" s="34">
        <f t="shared" si="386"/>
        <v>0</v>
      </c>
      <c r="AV58" s="34">
        <f t="shared" si="386"/>
        <v>0</v>
      </c>
      <c r="AW58" s="34">
        <f t="shared" si="386"/>
        <v>0</v>
      </c>
      <c r="AX58" s="34">
        <f t="shared" si="386"/>
        <v>0</v>
      </c>
      <c r="AY58" s="34">
        <f t="shared" si="386"/>
        <v>0</v>
      </c>
      <c r="AZ58" s="34">
        <f t="shared" si="386"/>
        <v>0</v>
      </c>
      <c r="BA58" s="34">
        <f t="shared" si="386"/>
        <v>0</v>
      </c>
      <c r="BB58" s="34">
        <f t="shared" si="386"/>
        <v>0</v>
      </c>
      <c r="BC58" s="34">
        <f t="shared" si="386"/>
        <v>0</v>
      </c>
      <c r="BD58" s="34">
        <f t="shared" si="386"/>
        <v>0</v>
      </c>
      <c r="BE58" s="34">
        <f t="shared" si="386"/>
        <v>0</v>
      </c>
      <c r="BF58" s="34">
        <f t="shared" si="386"/>
        <v>0</v>
      </c>
      <c r="BG58" s="34">
        <f t="shared" si="386"/>
        <v>0</v>
      </c>
      <c r="BH58" s="34">
        <f t="shared" si="386"/>
        <v>0</v>
      </c>
      <c r="BI58" s="34">
        <f t="shared" si="386"/>
        <v>0</v>
      </c>
      <c r="BJ58" s="34">
        <f t="shared" si="386"/>
        <v>0</v>
      </c>
      <c r="BK58" s="34">
        <f t="shared" si="386"/>
        <v>0</v>
      </c>
      <c r="BL58" s="34">
        <f t="shared" si="386"/>
        <v>0</v>
      </c>
      <c r="BM58" s="34">
        <f t="shared" si="386"/>
        <v>0</v>
      </c>
      <c r="BN58" s="34">
        <f t="shared" si="386"/>
        <v>0</v>
      </c>
      <c r="BO58" s="34">
        <f t="shared" si="386"/>
        <v>0</v>
      </c>
      <c r="BP58" s="34">
        <f t="shared" si="386"/>
        <v>9481</v>
      </c>
      <c r="BQ58" s="34">
        <f t="shared" si="386"/>
        <v>84307</v>
      </c>
      <c r="BR58" s="34">
        <f t="shared" ref="BR58:DT58" si="387">ROUND(IF(BR26=0,0,BR26/BR28*BR31),0)</f>
        <v>0</v>
      </c>
      <c r="BS58" s="34">
        <f t="shared" si="387"/>
        <v>0</v>
      </c>
      <c r="BT58" s="34">
        <f t="shared" si="387"/>
        <v>0</v>
      </c>
      <c r="BU58" s="34">
        <f t="shared" si="387"/>
        <v>0</v>
      </c>
      <c r="BV58" s="34">
        <f t="shared" si="387"/>
        <v>0</v>
      </c>
      <c r="BW58" s="34">
        <f t="shared" ref="BW58:BZ58" si="388">ROUND(IF(BW26=0,0,BW26/BW28*BW31),0)</f>
        <v>3347</v>
      </c>
      <c r="BX58" s="34">
        <f t="shared" si="388"/>
        <v>2621</v>
      </c>
      <c r="BY58" s="34">
        <f t="shared" si="388"/>
        <v>0</v>
      </c>
      <c r="BZ58" s="34">
        <f t="shared" si="388"/>
        <v>0</v>
      </c>
      <c r="CA58" s="34">
        <f t="shared" si="387"/>
        <v>0</v>
      </c>
      <c r="CB58" s="34">
        <f t="shared" si="387"/>
        <v>0</v>
      </c>
      <c r="CC58" s="34">
        <f t="shared" si="387"/>
        <v>0</v>
      </c>
      <c r="CD58" s="34">
        <f t="shared" si="387"/>
        <v>0</v>
      </c>
      <c r="CE58" s="34">
        <f t="shared" si="387"/>
        <v>0</v>
      </c>
      <c r="CF58" s="34">
        <f t="shared" si="387"/>
        <v>0</v>
      </c>
      <c r="CG58" s="34">
        <f t="shared" si="387"/>
        <v>0</v>
      </c>
      <c r="CH58" s="34">
        <f t="shared" si="387"/>
        <v>0</v>
      </c>
      <c r="CI58" s="34">
        <f t="shared" si="387"/>
        <v>0</v>
      </c>
      <c r="CJ58" s="34">
        <f t="shared" si="387"/>
        <v>0</v>
      </c>
      <c r="CK58" s="34">
        <f t="shared" si="387"/>
        <v>0</v>
      </c>
      <c r="CL58" s="34">
        <f t="shared" si="387"/>
        <v>0</v>
      </c>
      <c r="CM58" s="34">
        <f t="shared" si="387"/>
        <v>0</v>
      </c>
      <c r="CN58" s="34">
        <f t="shared" si="387"/>
        <v>0</v>
      </c>
      <c r="CO58" s="34">
        <f t="shared" si="387"/>
        <v>674</v>
      </c>
      <c r="CP58" s="34">
        <f t="shared" si="387"/>
        <v>4035</v>
      </c>
      <c r="CQ58" s="34">
        <f t="shared" si="387"/>
        <v>10808</v>
      </c>
      <c r="CR58" s="34">
        <f t="shared" si="387"/>
        <v>0</v>
      </c>
      <c r="CS58" s="34">
        <f t="shared" si="387"/>
        <v>0</v>
      </c>
      <c r="CT58" s="34">
        <f t="shared" si="387"/>
        <v>0</v>
      </c>
      <c r="CU58" s="34">
        <f t="shared" si="387"/>
        <v>0</v>
      </c>
      <c r="CV58" s="34">
        <f t="shared" si="387"/>
        <v>0</v>
      </c>
      <c r="CW58" s="34">
        <f t="shared" si="387"/>
        <v>0</v>
      </c>
      <c r="CX58" s="34">
        <f t="shared" si="387"/>
        <v>0</v>
      </c>
      <c r="CY58" s="34">
        <f t="shared" si="387"/>
        <v>0</v>
      </c>
      <c r="CZ58" s="34">
        <f t="shared" si="387"/>
        <v>0</v>
      </c>
      <c r="DA58" s="34">
        <f t="shared" si="387"/>
        <v>0</v>
      </c>
      <c r="DB58" s="34">
        <f t="shared" si="387"/>
        <v>0</v>
      </c>
      <c r="DC58" s="34">
        <f t="shared" si="387"/>
        <v>0</v>
      </c>
      <c r="DD58" s="34">
        <f t="shared" si="387"/>
        <v>0</v>
      </c>
      <c r="DE58" s="34">
        <f t="shared" si="387"/>
        <v>0</v>
      </c>
      <c r="DF58" s="34">
        <f t="shared" si="387"/>
        <v>0</v>
      </c>
      <c r="DG58" s="34">
        <f t="shared" si="387"/>
        <v>0</v>
      </c>
      <c r="DH58" s="34">
        <f t="shared" si="387"/>
        <v>0</v>
      </c>
      <c r="DI58" s="34">
        <f t="shared" si="387"/>
        <v>0</v>
      </c>
      <c r="DJ58" s="34">
        <f t="shared" si="387"/>
        <v>0</v>
      </c>
      <c r="DK58" s="34">
        <f t="shared" si="387"/>
        <v>0</v>
      </c>
      <c r="DL58" s="34">
        <f t="shared" si="387"/>
        <v>2173</v>
      </c>
      <c r="DM58" s="34">
        <f t="shared" si="387"/>
        <v>0</v>
      </c>
      <c r="DN58" s="34">
        <f t="shared" si="387"/>
        <v>98</v>
      </c>
      <c r="DO58" s="34">
        <f t="shared" si="387"/>
        <v>105</v>
      </c>
      <c r="DP58" s="34">
        <f t="shared" si="387"/>
        <v>6063</v>
      </c>
      <c r="DQ58" s="34">
        <f t="shared" si="387"/>
        <v>751</v>
      </c>
      <c r="DR58" s="34">
        <f t="shared" si="387"/>
        <v>7835</v>
      </c>
      <c r="DS58" s="34">
        <f t="shared" si="387"/>
        <v>0</v>
      </c>
      <c r="DT58" s="34">
        <f t="shared" si="387"/>
        <v>0</v>
      </c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</row>
    <row r="59" spans="1:158" x14ac:dyDescent="0.25">
      <c r="A59" s="211">
        <f t="shared" si="1"/>
        <v>53</v>
      </c>
      <c r="B59" s="50" t="s">
        <v>264</v>
      </c>
      <c r="C59" s="78">
        <f>SUM(D59:FB59)</f>
        <v>10337076</v>
      </c>
      <c r="D59" s="34">
        <f>ROUND(IF(D27=0,0,D27/D28*D31),0)</f>
        <v>15138</v>
      </c>
      <c r="E59" s="34">
        <f t="shared" ref="E59:BQ59" si="389">ROUND(IF(E27=0,0,E27/E28*E31),0)</f>
        <v>97695</v>
      </c>
      <c r="F59" s="34">
        <f t="shared" si="389"/>
        <v>62374</v>
      </c>
      <c r="G59" s="34">
        <f t="shared" si="389"/>
        <v>1896</v>
      </c>
      <c r="H59" s="34">
        <f t="shared" si="389"/>
        <v>111515</v>
      </c>
      <c r="I59" s="34">
        <f t="shared" si="389"/>
        <v>23779</v>
      </c>
      <c r="J59" s="34">
        <f t="shared" si="389"/>
        <v>86604</v>
      </c>
      <c r="K59" s="34">
        <f t="shared" si="389"/>
        <v>55766</v>
      </c>
      <c r="L59" s="34">
        <f t="shared" si="389"/>
        <v>63176</v>
      </c>
      <c r="M59" s="34">
        <f t="shared" si="389"/>
        <v>36312</v>
      </c>
      <c r="N59" s="34"/>
      <c r="O59" s="34">
        <f t="shared" si="389"/>
        <v>76003</v>
      </c>
      <c r="P59" s="34">
        <f t="shared" si="389"/>
        <v>237375</v>
      </c>
      <c r="Q59" s="34">
        <f t="shared" si="389"/>
        <v>55020</v>
      </c>
      <c r="R59" s="34">
        <f t="shared" si="389"/>
        <v>96870</v>
      </c>
      <c r="S59" s="34">
        <f t="shared" si="389"/>
        <v>814033</v>
      </c>
      <c r="T59" s="34">
        <f t="shared" si="389"/>
        <v>470174</v>
      </c>
      <c r="U59" s="34">
        <f t="shared" si="389"/>
        <v>0</v>
      </c>
      <c r="V59" s="34">
        <f t="shared" si="389"/>
        <v>232073</v>
      </c>
      <c r="W59" s="34">
        <f t="shared" si="389"/>
        <v>176280</v>
      </c>
      <c r="X59" s="34">
        <f t="shared" si="389"/>
        <v>65143</v>
      </c>
      <c r="Y59" s="34">
        <f t="shared" si="389"/>
        <v>218627</v>
      </c>
      <c r="Z59" s="34">
        <f t="shared" si="389"/>
        <v>132501</v>
      </c>
      <c r="AA59" s="34">
        <f t="shared" si="389"/>
        <v>251851</v>
      </c>
      <c r="AB59" s="34">
        <f t="shared" si="389"/>
        <v>1040497</v>
      </c>
      <c r="AC59" s="34">
        <f t="shared" si="389"/>
        <v>1900697</v>
      </c>
      <c r="AD59" s="34">
        <f t="shared" si="389"/>
        <v>0</v>
      </c>
      <c r="AE59" s="34">
        <f t="shared" si="389"/>
        <v>0</v>
      </c>
      <c r="AF59" s="34">
        <f t="shared" si="389"/>
        <v>227790</v>
      </c>
      <c r="AG59" s="34">
        <f t="shared" si="389"/>
        <v>112629</v>
      </c>
      <c r="AH59" s="34">
        <f t="shared" si="389"/>
        <v>48299</v>
      </c>
      <c r="AI59" s="34">
        <f t="shared" si="389"/>
        <v>0</v>
      </c>
      <c r="AJ59" s="34">
        <f t="shared" si="389"/>
        <v>413959</v>
      </c>
      <c r="AK59" s="34">
        <f t="shared" si="389"/>
        <v>12504</v>
      </c>
      <c r="AL59" s="34">
        <f t="shared" si="389"/>
        <v>44895</v>
      </c>
      <c r="AM59" s="34">
        <f t="shared" si="389"/>
        <v>188331</v>
      </c>
      <c r="AN59" s="34">
        <f t="shared" si="389"/>
        <v>8526</v>
      </c>
      <c r="AO59" s="34">
        <f t="shared" si="389"/>
        <v>146555</v>
      </c>
      <c r="AP59" s="34">
        <f t="shared" si="389"/>
        <v>5701</v>
      </c>
      <c r="AQ59" s="34">
        <f t="shared" si="389"/>
        <v>44161</v>
      </c>
      <c r="AR59" s="34">
        <f t="shared" si="389"/>
        <v>209817</v>
      </c>
      <c r="AS59" s="34">
        <f t="shared" si="389"/>
        <v>0</v>
      </c>
      <c r="AT59" s="34">
        <f t="shared" si="389"/>
        <v>0</v>
      </c>
      <c r="AU59" s="34">
        <f t="shared" si="389"/>
        <v>13388</v>
      </c>
      <c r="AV59" s="34">
        <f t="shared" si="389"/>
        <v>7580</v>
      </c>
      <c r="AW59" s="34">
        <f t="shared" si="389"/>
        <v>10248</v>
      </c>
      <c r="AX59" s="34">
        <f t="shared" si="389"/>
        <v>27792</v>
      </c>
      <c r="AY59" s="34">
        <f t="shared" si="389"/>
        <v>0</v>
      </c>
      <c r="AZ59" s="34">
        <f t="shared" si="389"/>
        <v>0</v>
      </c>
      <c r="BA59" s="34">
        <f t="shared" si="389"/>
        <v>0</v>
      </c>
      <c r="BB59" s="34">
        <f t="shared" si="389"/>
        <v>0</v>
      </c>
      <c r="BC59" s="34">
        <f t="shared" si="389"/>
        <v>15</v>
      </c>
      <c r="BD59" s="34">
        <f t="shared" si="389"/>
        <v>340</v>
      </c>
      <c r="BE59" s="34">
        <f t="shared" si="389"/>
        <v>21</v>
      </c>
      <c r="BF59" s="34">
        <f t="shared" si="389"/>
        <v>429</v>
      </c>
      <c r="BG59" s="34">
        <f t="shared" si="389"/>
        <v>0</v>
      </c>
      <c r="BH59" s="34">
        <f t="shared" si="389"/>
        <v>161</v>
      </c>
      <c r="BI59" s="34">
        <f t="shared" si="389"/>
        <v>13</v>
      </c>
      <c r="BJ59" s="34">
        <f t="shared" si="389"/>
        <v>504</v>
      </c>
      <c r="BK59" s="34">
        <f t="shared" si="389"/>
        <v>9671</v>
      </c>
      <c r="BL59" s="34">
        <f t="shared" si="389"/>
        <v>735</v>
      </c>
      <c r="BM59" s="34">
        <f t="shared" si="389"/>
        <v>3898</v>
      </c>
      <c r="BN59" s="34">
        <f t="shared" si="389"/>
        <v>1182</v>
      </c>
      <c r="BO59" s="34">
        <f t="shared" si="389"/>
        <v>0</v>
      </c>
      <c r="BP59" s="34">
        <f t="shared" si="389"/>
        <v>2786</v>
      </c>
      <c r="BQ59" s="34">
        <f t="shared" si="389"/>
        <v>506069</v>
      </c>
      <c r="BR59" s="34">
        <f t="shared" ref="BR59:DT59" si="390">ROUND(IF(BR27=0,0,BR27/BR28*BR31),0)</f>
        <v>0</v>
      </c>
      <c r="BS59" s="34">
        <f t="shared" si="390"/>
        <v>0</v>
      </c>
      <c r="BT59" s="34">
        <f t="shared" si="390"/>
        <v>0</v>
      </c>
      <c r="BU59" s="34">
        <f t="shared" si="390"/>
        <v>3634</v>
      </c>
      <c r="BV59" s="34">
        <f t="shared" si="390"/>
        <v>107720</v>
      </c>
      <c r="BW59" s="34">
        <f t="shared" ref="BW59:BZ59" si="391">ROUND(IF(BW27=0,0,BW27/BW28*BW31),0)</f>
        <v>11010</v>
      </c>
      <c r="BX59" s="34">
        <f t="shared" si="391"/>
        <v>0</v>
      </c>
      <c r="BY59" s="34">
        <f t="shared" si="391"/>
        <v>2829</v>
      </c>
      <c r="BZ59" s="34">
        <f t="shared" si="391"/>
        <v>13594</v>
      </c>
      <c r="CA59" s="34">
        <f t="shared" si="390"/>
        <v>2997</v>
      </c>
      <c r="CB59" s="34">
        <f t="shared" si="390"/>
        <v>493523</v>
      </c>
      <c r="CC59" s="34">
        <f t="shared" si="390"/>
        <v>9081</v>
      </c>
      <c r="CD59" s="34">
        <f t="shared" si="390"/>
        <v>315131</v>
      </c>
      <c r="CE59" s="34">
        <f t="shared" si="390"/>
        <v>61770</v>
      </c>
      <c r="CF59" s="34">
        <f t="shared" si="390"/>
        <v>14669</v>
      </c>
      <c r="CG59" s="34">
        <f t="shared" si="390"/>
        <v>263696</v>
      </c>
      <c r="CH59" s="34">
        <f t="shared" si="390"/>
        <v>87977</v>
      </c>
      <c r="CI59" s="34">
        <f t="shared" si="390"/>
        <v>106064</v>
      </c>
      <c r="CJ59" s="34">
        <f t="shared" si="390"/>
        <v>221</v>
      </c>
      <c r="CK59" s="34">
        <f t="shared" si="390"/>
        <v>17046</v>
      </c>
      <c r="CL59" s="34">
        <f t="shared" si="390"/>
        <v>148780</v>
      </c>
      <c r="CM59" s="34">
        <f t="shared" si="390"/>
        <v>56525</v>
      </c>
      <c r="CN59" s="34">
        <f t="shared" si="390"/>
        <v>0</v>
      </c>
      <c r="CO59" s="34">
        <f t="shared" si="390"/>
        <v>0</v>
      </c>
      <c r="CP59" s="34">
        <f t="shared" si="390"/>
        <v>0</v>
      </c>
      <c r="CQ59" s="34">
        <f t="shared" si="390"/>
        <v>0</v>
      </c>
      <c r="CR59" s="34">
        <f t="shared" si="390"/>
        <v>92998</v>
      </c>
      <c r="CS59" s="34">
        <f t="shared" si="390"/>
        <v>0</v>
      </c>
      <c r="CT59" s="34">
        <f t="shared" si="390"/>
        <v>0</v>
      </c>
      <c r="CU59" s="34">
        <f t="shared" si="390"/>
        <v>1292</v>
      </c>
      <c r="CV59" s="34">
        <f t="shared" si="390"/>
        <v>2803</v>
      </c>
      <c r="CW59" s="34">
        <f t="shared" si="390"/>
        <v>53275</v>
      </c>
      <c r="CX59" s="34">
        <f t="shared" si="390"/>
        <v>36490</v>
      </c>
      <c r="CY59" s="34">
        <f t="shared" si="390"/>
        <v>29443</v>
      </c>
      <c r="CZ59" s="34">
        <f t="shared" si="390"/>
        <v>548</v>
      </c>
      <c r="DA59" s="34">
        <f t="shared" si="390"/>
        <v>0</v>
      </c>
      <c r="DB59" s="34">
        <f t="shared" si="390"/>
        <v>18</v>
      </c>
      <c r="DC59" s="34">
        <f t="shared" si="390"/>
        <v>1140</v>
      </c>
      <c r="DD59" s="34">
        <f t="shared" si="390"/>
        <v>803</v>
      </c>
      <c r="DE59" s="34">
        <f t="shared" si="390"/>
        <v>1408</v>
      </c>
      <c r="DF59" s="34">
        <f t="shared" si="390"/>
        <v>39</v>
      </c>
      <c r="DG59" s="34">
        <f t="shared" si="390"/>
        <v>5631</v>
      </c>
      <c r="DH59" s="34">
        <f t="shared" si="390"/>
        <v>13000</v>
      </c>
      <c r="DI59" s="34">
        <f t="shared" si="390"/>
        <v>3656</v>
      </c>
      <c r="DJ59" s="34">
        <f t="shared" si="390"/>
        <v>0</v>
      </c>
      <c r="DK59" s="34">
        <f t="shared" si="390"/>
        <v>0</v>
      </c>
      <c r="DL59" s="34">
        <f t="shared" si="390"/>
        <v>0</v>
      </c>
      <c r="DM59" s="34">
        <f t="shared" si="390"/>
        <v>71</v>
      </c>
      <c r="DN59" s="34">
        <f t="shared" si="390"/>
        <v>19</v>
      </c>
      <c r="DO59" s="34">
        <f t="shared" si="390"/>
        <v>0</v>
      </c>
      <c r="DP59" s="34">
        <f t="shared" si="390"/>
        <v>0</v>
      </c>
      <c r="DQ59" s="34">
        <f t="shared" si="390"/>
        <v>0</v>
      </c>
      <c r="DR59" s="34">
        <f t="shared" si="390"/>
        <v>0</v>
      </c>
      <c r="DS59" s="34">
        <f t="shared" si="390"/>
        <v>909</v>
      </c>
      <c r="DT59" s="34">
        <f t="shared" si="390"/>
        <v>7868</v>
      </c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</row>
    <row r="60" spans="1:158" x14ac:dyDescent="0.25">
      <c r="A60" s="211">
        <f t="shared" si="1"/>
        <v>54</v>
      </c>
    </row>
    <row r="61" spans="1:158" x14ac:dyDescent="0.25">
      <c r="A61" s="211">
        <f t="shared" si="1"/>
        <v>55</v>
      </c>
      <c r="B61" s="196" t="s">
        <v>295</v>
      </c>
      <c r="C61" s="78">
        <f ca="1">SUM(D61:FB61)</f>
        <v>521702.07289999997</v>
      </c>
      <c r="D61" s="78">
        <f ca="1">SUM(D62:D63)</f>
        <v>717.5412</v>
      </c>
      <c r="E61" s="78">
        <f t="shared" ref="E61:BQ61" ca="1" si="392">SUM(E62:E63)</f>
        <v>4630.7429999999995</v>
      </c>
      <c r="F61" s="78">
        <f t="shared" ca="1" si="392"/>
        <v>2956.5275999999999</v>
      </c>
      <c r="G61" s="78">
        <f t="shared" ca="1" si="392"/>
        <v>89.870399999999989</v>
      </c>
      <c r="H61" s="78">
        <f t="shared" ca="1" si="392"/>
        <v>5285.8109999999997</v>
      </c>
      <c r="I61" s="78">
        <f t="shared" ca="1" si="392"/>
        <v>1127.1245999999999</v>
      </c>
      <c r="J61" s="78">
        <f t="shared" ca="1" si="392"/>
        <v>4105.0295999999998</v>
      </c>
      <c r="K61" s="78">
        <f t="shared" ca="1" si="392"/>
        <v>2643.3083999999999</v>
      </c>
      <c r="L61" s="78">
        <f t="shared" ca="1" si="392"/>
        <v>2994.5423999999998</v>
      </c>
      <c r="M61" s="78">
        <f t="shared" ca="1" si="392"/>
        <v>1721.1887999999999</v>
      </c>
      <c r="N61" s="78"/>
      <c r="O61" s="78">
        <f t="shared" ca="1" si="392"/>
        <v>3602.5421999999999</v>
      </c>
      <c r="P61" s="78">
        <f t="shared" ca="1" si="392"/>
        <v>11251.574999999999</v>
      </c>
      <c r="Q61" s="78">
        <f t="shared" ca="1" si="392"/>
        <v>2607.9479999999999</v>
      </c>
      <c r="R61" s="78">
        <f t="shared" ca="1" si="392"/>
        <v>4591.6379999999999</v>
      </c>
      <c r="S61" s="78">
        <f t="shared" ca="1" si="392"/>
        <v>38585.164199999999</v>
      </c>
      <c r="T61" s="78">
        <f t="shared" ca="1" si="392"/>
        <v>22286.247599999999</v>
      </c>
      <c r="U61" s="78">
        <f t="shared" ca="1" si="392"/>
        <v>0</v>
      </c>
      <c r="V61" s="78">
        <f t="shared" ca="1" si="392"/>
        <v>11000.260199999999</v>
      </c>
      <c r="W61" s="78">
        <f t="shared" ca="1" si="392"/>
        <v>8355.6720000000005</v>
      </c>
      <c r="X61" s="78">
        <f t="shared" ca="1" si="392"/>
        <v>3087.7781999999997</v>
      </c>
      <c r="Y61" s="78">
        <f t="shared" ca="1" si="392"/>
        <v>10362.9198</v>
      </c>
      <c r="Z61" s="78">
        <f t="shared" ca="1" si="392"/>
        <v>6280.5473999999995</v>
      </c>
      <c r="AA61" s="78">
        <f t="shared" ca="1" si="392"/>
        <v>14755.294900000001</v>
      </c>
      <c r="AB61" s="78">
        <f t="shared" ca="1" si="392"/>
        <v>49319.557799999995</v>
      </c>
      <c r="AC61" s="78">
        <f t="shared" ca="1" si="392"/>
        <v>90093.037799999991</v>
      </c>
      <c r="AD61" s="78">
        <f t="shared" ca="1" si="392"/>
        <v>0</v>
      </c>
      <c r="AE61" s="78">
        <f t="shared" ca="1" si="392"/>
        <v>0</v>
      </c>
      <c r="AF61" s="78">
        <f t="shared" ca="1" si="392"/>
        <v>10797.245999999999</v>
      </c>
      <c r="AG61" s="78">
        <f t="shared" ca="1" si="392"/>
        <v>5338.6145999999999</v>
      </c>
      <c r="AH61" s="78">
        <f t="shared" ca="1" si="392"/>
        <v>2289.3725999999997</v>
      </c>
      <c r="AI61" s="78">
        <f t="shared" ca="1" si="392"/>
        <v>0</v>
      </c>
      <c r="AJ61" s="78">
        <f t="shared" ca="1" si="392"/>
        <v>19621.656599999998</v>
      </c>
      <c r="AK61" s="78">
        <f t="shared" ca="1" si="392"/>
        <v>592.68959999999993</v>
      </c>
      <c r="AL61" s="78">
        <f t="shared" ca="1" si="392"/>
        <v>2128.0229999999997</v>
      </c>
      <c r="AM61" s="78">
        <f t="shared" ca="1" si="392"/>
        <v>8926.8894</v>
      </c>
      <c r="AN61" s="78">
        <f t="shared" ca="1" si="392"/>
        <v>404.13239999999996</v>
      </c>
      <c r="AO61" s="78">
        <f t="shared" ca="1" si="392"/>
        <v>6946.7069999999994</v>
      </c>
      <c r="AP61" s="78">
        <f t="shared" ca="1" si="392"/>
        <v>270.22739999999999</v>
      </c>
      <c r="AQ61" s="78">
        <f t="shared" ca="1" si="392"/>
        <v>2093.2314000000001</v>
      </c>
      <c r="AR61" s="78">
        <f t="shared" ca="1" si="392"/>
        <v>9945.3257999999987</v>
      </c>
      <c r="AS61" s="78">
        <f t="shared" ca="1" si="392"/>
        <v>0</v>
      </c>
      <c r="AT61" s="78">
        <f t="shared" ca="1" si="392"/>
        <v>0</v>
      </c>
      <c r="AU61" s="78">
        <f t="shared" ca="1" si="392"/>
        <v>634.59119999999996</v>
      </c>
      <c r="AV61" s="78">
        <f t="shared" ca="1" si="392"/>
        <v>359.29199999999997</v>
      </c>
      <c r="AW61" s="78">
        <f t="shared" ca="1" si="392"/>
        <v>485.7552</v>
      </c>
      <c r="AX61" s="78">
        <f t="shared" ca="1" si="392"/>
        <v>1317.3407999999999</v>
      </c>
      <c r="AY61" s="78">
        <f t="shared" ca="1" si="392"/>
        <v>0</v>
      </c>
      <c r="AZ61" s="78">
        <f t="shared" ca="1" si="392"/>
        <v>0</v>
      </c>
      <c r="BA61" s="78">
        <f t="shared" ca="1" si="392"/>
        <v>0</v>
      </c>
      <c r="BB61" s="78">
        <f t="shared" ca="1" si="392"/>
        <v>0</v>
      </c>
      <c r="BC61" s="78">
        <f t="shared" ca="1" si="392"/>
        <v>0.71099999999999997</v>
      </c>
      <c r="BD61" s="78">
        <f t="shared" ca="1" si="392"/>
        <v>16.116</v>
      </c>
      <c r="BE61" s="78">
        <f t="shared" ca="1" si="392"/>
        <v>0.99539999999999995</v>
      </c>
      <c r="BF61" s="78">
        <f t="shared" ca="1" si="392"/>
        <v>20.334599999999998</v>
      </c>
      <c r="BG61" s="78">
        <f t="shared" ca="1" si="392"/>
        <v>0</v>
      </c>
      <c r="BH61" s="78">
        <f t="shared" ca="1" si="392"/>
        <v>7.6313999999999993</v>
      </c>
      <c r="BI61" s="78">
        <f t="shared" ca="1" si="392"/>
        <v>0.61619999999999997</v>
      </c>
      <c r="BJ61" s="78">
        <f t="shared" ca="1" si="392"/>
        <v>23.889599999999998</v>
      </c>
      <c r="BK61" s="78">
        <f t="shared" ca="1" si="392"/>
        <v>458.40539999999999</v>
      </c>
      <c r="BL61" s="78">
        <f t="shared" ca="1" si="392"/>
        <v>34.838999999999999</v>
      </c>
      <c r="BM61" s="78">
        <f t="shared" ca="1" si="392"/>
        <v>184.76519999999999</v>
      </c>
      <c r="BN61" s="78">
        <f t="shared" ca="1" si="392"/>
        <v>56.026799999999994</v>
      </c>
      <c r="BO61" s="78">
        <f t="shared" ca="1" si="392"/>
        <v>0</v>
      </c>
      <c r="BP61" s="78">
        <f t="shared" ca="1" si="392"/>
        <v>2203.6549</v>
      </c>
      <c r="BQ61" s="78">
        <f t="shared" ca="1" si="392"/>
        <v>42408.750099999997</v>
      </c>
      <c r="BR61" s="78">
        <f t="shared" ref="BR61:DT61" ca="1" si="393">SUM(BR62:BR63)</f>
        <v>0</v>
      </c>
      <c r="BS61" s="78">
        <f t="shared" ca="1" si="393"/>
        <v>0</v>
      </c>
      <c r="BT61" s="78">
        <f t="shared" ca="1" si="393"/>
        <v>0</v>
      </c>
      <c r="BU61" s="78">
        <f t="shared" ca="1" si="393"/>
        <v>172.2516</v>
      </c>
      <c r="BV61" s="78">
        <f t="shared" ca="1" si="393"/>
        <v>5105.9279999999999</v>
      </c>
      <c r="BW61" s="78">
        <f t="shared" ref="BW61:BZ61" ca="1" si="394">SUM(BW62:BW63)</f>
        <v>1253.1934999999999</v>
      </c>
      <c r="BX61" s="78">
        <f t="shared" ca="1" si="394"/>
        <v>572.68849999999998</v>
      </c>
      <c r="BY61" s="78">
        <f t="shared" ca="1" si="394"/>
        <v>134.09459999999999</v>
      </c>
      <c r="BZ61" s="78">
        <f t="shared" ca="1" si="394"/>
        <v>644.35559999999998</v>
      </c>
      <c r="CA61" s="78">
        <f t="shared" ca="1" si="393"/>
        <v>142.05779999999999</v>
      </c>
      <c r="CB61" s="78">
        <f t="shared" ca="1" si="393"/>
        <v>23392.9902</v>
      </c>
      <c r="CC61" s="78">
        <f t="shared" ca="1" si="393"/>
        <v>430.43939999999998</v>
      </c>
      <c r="CD61" s="78">
        <f t="shared" ca="1" si="393"/>
        <v>14937.2094</v>
      </c>
      <c r="CE61" s="78">
        <f t="shared" ca="1" si="393"/>
        <v>2927.8979999999997</v>
      </c>
      <c r="CF61" s="78">
        <f t="shared" ca="1" si="393"/>
        <v>695.31060000000002</v>
      </c>
      <c r="CG61" s="78">
        <f t="shared" ca="1" si="393"/>
        <v>12499.190399999999</v>
      </c>
      <c r="CH61" s="78">
        <f t="shared" ca="1" si="393"/>
        <v>4170.1098000000002</v>
      </c>
      <c r="CI61" s="78">
        <f t="shared" ca="1" si="393"/>
        <v>5027.4335999999994</v>
      </c>
      <c r="CJ61" s="78">
        <f t="shared" ca="1" si="393"/>
        <v>10.475399999999999</v>
      </c>
      <c r="CK61" s="78">
        <f t="shared" ca="1" si="393"/>
        <v>807.98039999999992</v>
      </c>
      <c r="CL61" s="78">
        <f t="shared" ca="1" si="393"/>
        <v>7052.1719999999996</v>
      </c>
      <c r="CM61" s="78">
        <f t="shared" ca="1" si="393"/>
        <v>2679.2849999999999</v>
      </c>
      <c r="CN61" s="78">
        <f t="shared" ca="1" si="393"/>
        <v>0</v>
      </c>
      <c r="CO61" s="78">
        <f t="shared" ca="1" si="393"/>
        <v>147.26900000000001</v>
      </c>
      <c r="CP61" s="78">
        <f t="shared" ca="1" si="393"/>
        <v>881.64750000000004</v>
      </c>
      <c r="CQ61" s="78">
        <f t="shared" ca="1" si="393"/>
        <v>2361.5479999999998</v>
      </c>
      <c r="CR61" s="78">
        <f t="shared" ca="1" si="393"/>
        <v>4408.1052</v>
      </c>
      <c r="CS61" s="78">
        <f t="shared" ca="1" si="393"/>
        <v>0</v>
      </c>
      <c r="CT61" s="78">
        <f t="shared" ca="1" si="393"/>
        <v>0</v>
      </c>
      <c r="CU61" s="78">
        <f t="shared" ca="1" si="393"/>
        <v>61.2408</v>
      </c>
      <c r="CV61" s="78">
        <f t="shared" ca="1" si="393"/>
        <v>132.8622</v>
      </c>
      <c r="CW61" s="78">
        <f t="shared" ca="1" si="393"/>
        <v>2525.2349999999997</v>
      </c>
      <c r="CX61" s="78">
        <f t="shared" ca="1" si="393"/>
        <v>1729.626</v>
      </c>
      <c r="CY61" s="78">
        <f t="shared" ca="1" si="393"/>
        <v>1395.5981999999999</v>
      </c>
      <c r="CZ61" s="78">
        <f t="shared" ca="1" si="393"/>
        <v>25.975199999999997</v>
      </c>
      <c r="DA61" s="78">
        <f t="shared" ca="1" si="393"/>
        <v>0</v>
      </c>
      <c r="DB61" s="78">
        <f t="shared" ca="1" si="393"/>
        <v>0.85319999999999996</v>
      </c>
      <c r="DC61" s="78">
        <f t="shared" ca="1" si="393"/>
        <v>54.035999999999994</v>
      </c>
      <c r="DD61" s="78">
        <f t="shared" ca="1" si="393"/>
        <v>38.062199999999997</v>
      </c>
      <c r="DE61" s="78">
        <f t="shared" ca="1" si="393"/>
        <v>66.739199999999997</v>
      </c>
      <c r="DF61" s="78">
        <f t="shared" ca="1" si="393"/>
        <v>1.8485999999999998</v>
      </c>
      <c r="DG61" s="78">
        <f t="shared" ca="1" si="393"/>
        <v>266.90940000000001</v>
      </c>
      <c r="DH61" s="78">
        <f t="shared" ca="1" si="393"/>
        <v>616.19999999999993</v>
      </c>
      <c r="DI61" s="78">
        <f t="shared" ca="1" si="393"/>
        <v>173.2944</v>
      </c>
      <c r="DJ61" s="78">
        <f t="shared" ca="1" si="393"/>
        <v>0</v>
      </c>
      <c r="DK61" s="78">
        <f t="shared" ca="1" si="393"/>
        <v>0</v>
      </c>
      <c r="DL61" s="78">
        <f t="shared" ca="1" si="393"/>
        <v>474.8005</v>
      </c>
      <c r="DM61" s="78">
        <f t="shared" ca="1" si="393"/>
        <v>3.3653999999999997</v>
      </c>
      <c r="DN61" s="78">
        <f t="shared" ca="1" si="393"/>
        <v>22.313600000000001</v>
      </c>
      <c r="DO61" s="78">
        <f t="shared" ca="1" si="393"/>
        <v>22.942499999999999</v>
      </c>
      <c r="DP61" s="78">
        <f t="shared" ca="1" si="393"/>
        <v>1324.7655</v>
      </c>
      <c r="DQ61" s="78">
        <f t="shared" ca="1" si="393"/>
        <v>164.09350000000001</v>
      </c>
      <c r="DR61" s="78">
        <f t="shared" ca="1" si="393"/>
        <v>1711.9475</v>
      </c>
      <c r="DS61" s="78">
        <f t="shared" ca="1" si="393"/>
        <v>43.086599999999997</v>
      </c>
      <c r="DT61" s="78">
        <f t="shared" ca="1" si="393"/>
        <v>372.94319999999999</v>
      </c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</row>
    <row r="62" spans="1:158" x14ac:dyDescent="0.25">
      <c r="A62" s="211">
        <f t="shared" si="1"/>
        <v>56</v>
      </c>
      <c r="B62" s="50" t="s">
        <v>263</v>
      </c>
      <c r="C62" s="78">
        <f ca="1">SUM(D62:FB62)</f>
        <v>31724.6705</v>
      </c>
      <c r="D62" s="34">
        <f ca="1">+D58*D21</f>
        <v>0</v>
      </c>
      <c r="E62" s="34">
        <f t="shared" ref="E62:BQ62" ca="1" si="395">+E58*E21</f>
        <v>0</v>
      </c>
      <c r="F62" s="34">
        <f t="shared" ca="1" si="395"/>
        <v>0</v>
      </c>
      <c r="G62" s="34">
        <f t="shared" ca="1" si="395"/>
        <v>0</v>
      </c>
      <c r="H62" s="34">
        <f t="shared" ca="1" si="395"/>
        <v>0</v>
      </c>
      <c r="I62" s="34">
        <f t="shared" ca="1" si="395"/>
        <v>0</v>
      </c>
      <c r="J62" s="34">
        <f t="shared" ca="1" si="395"/>
        <v>0</v>
      </c>
      <c r="K62" s="34">
        <f t="shared" ca="1" si="395"/>
        <v>0</v>
      </c>
      <c r="L62" s="34">
        <f t="shared" ca="1" si="395"/>
        <v>0</v>
      </c>
      <c r="M62" s="34">
        <f t="shared" ca="1" si="395"/>
        <v>0</v>
      </c>
      <c r="N62" s="34"/>
      <c r="O62" s="34">
        <f t="shared" ca="1" si="395"/>
        <v>0</v>
      </c>
      <c r="P62" s="34">
        <f t="shared" ca="1" si="395"/>
        <v>0</v>
      </c>
      <c r="Q62" s="34">
        <f t="shared" ca="1" si="395"/>
        <v>0</v>
      </c>
      <c r="R62" s="34">
        <f t="shared" ca="1" si="395"/>
        <v>0</v>
      </c>
      <c r="S62" s="34">
        <f t="shared" ca="1" si="395"/>
        <v>0</v>
      </c>
      <c r="T62" s="34">
        <f t="shared" ca="1" si="395"/>
        <v>0</v>
      </c>
      <c r="U62" s="34">
        <f t="shared" ca="1" si="395"/>
        <v>0</v>
      </c>
      <c r="V62" s="34">
        <f t="shared" ca="1" si="395"/>
        <v>0</v>
      </c>
      <c r="W62" s="34">
        <f t="shared" ca="1" si="395"/>
        <v>0</v>
      </c>
      <c r="X62" s="34">
        <f t="shared" ca="1" si="395"/>
        <v>0</v>
      </c>
      <c r="Y62" s="34">
        <f t="shared" ca="1" si="395"/>
        <v>0</v>
      </c>
      <c r="Z62" s="34">
        <f t="shared" ca="1" si="395"/>
        <v>0</v>
      </c>
      <c r="AA62" s="34">
        <f t="shared" ca="1" si="395"/>
        <v>2817.5574999999999</v>
      </c>
      <c r="AB62" s="34">
        <f t="shared" ca="1" si="395"/>
        <v>0</v>
      </c>
      <c r="AC62" s="34">
        <f t="shared" ca="1" si="395"/>
        <v>0</v>
      </c>
      <c r="AD62" s="34">
        <f t="shared" ca="1" si="395"/>
        <v>0</v>
      </c>
      <c r="AE62" s="34">
        <f t="shared" ca="1" si="395"/>
        <v>0</v>
      </c>
      <c r="AF62" s="34">
        <f t="shared" ca="1" si="395"/>
        <v>0</v>
      </c>
      <c r="AG62" s="34">
        <f t="shared" ca="1" si="395"/>
        <v>0</v>
      </c>
      <c r="AH62" s="34">
        <f t="shared" ca="1" si="395"/>
        <v>0</v>
      </c>
      <c r="AI62" s="34">
        <f t="shared" ca="1" si="395"/>
        <v>0</v>
      </c>
      <c r="AJ62" s="34">
        <f t="shared" ca="1" si="395"/>
        <v>0</v>
      </c>
      <c r="AK62" s="34">
        <f t="shared" ca="1" si="395"/>
        <v>0</v>
      </c>
      <c r="AL62" s="34">
        <f t="shared" ca="1" si="395"/>
        <v>0</v>
      </c>
      <c r="AM62" s="34">
        <f t="shared" ca="1" si="395"/>
        <v>0</v>
      </c>
      <c r="AN62" s="34">
        <f t="shared" ca="1" si="395"/>
        <v>0</v>
      </c>
      <c r="AO62" s="34">
        <f t="shared" ca="1" si="395"/>
        <v>0</v>
      </c>
      <c r="AP62" s="34">
        <f t="shared" ca="1" si="395"/>
        <v>0</v>
      </c>
      <c r="AQ62" s="34">
        <f t="shared" ca="1" si="395"/>
        <v>0</v>
      </c>
      <c r="AR62" s="34">
        <f t="shared" ca="1" si="395"/>
        <v>0</v>
      </c>
      <c r="AS62" s="34">
        <f t="shared" ca="1" si="395"/>
        <v>0</v>
      </c>
      <c r="AT62" s="34">
        <f t="shared" ca="1" si="395"/>
        <v>0</v>
      </c>
      <c r="AU62" s="34">
        <f t="shared" ca="1" si="395"/>
        <v>0</v>
      </c>
      <c r="AV62" s="34">
        <f t="shared" ca="1" si="395"/>
        <v>0</v>
      </c>
      <c r="AW62" s="34">
        <f t="shared" ca="1" si="395"/>
        <v>0</v>
      </c>
      <c r="AX62" s="34">
        <f t="shared" ca="1" si="395"/>
        <v>0</v>
      </c>
      <c r="AY62" s="34">
        <f t="shared" ca="1" si="395"/>
        <v>0</v>
      </c>
      <c r="AZ62" s="34">
        <f t="shared" ca="1" si="395"/>
        <v>0</v>
      </c>
      <c r="BA62" s="34">
        <f t="shared" ca="1" si="395"/>
        <v>0</v>
      </c>
      <c r="BB62" s="34">
        <f t="shared" ca="1" si="395"/>
        <v>0</v>
      </c>
      <c r="BC62" s="34">
        <f t="shared" ca="1" si="395"/>
        <v>0</v>
      </c>
      <c r="BD62" s="34">
        <f t="shared" ca="1" si="395"/>
        <v>0</v>
      </c>
      <c r="BE62" s="34">
        <f t="shared" ca="1" si="395"/>
        <v>0</v>
      </c>
      <c r="BF62" s="34">
        <f t="shared" ca="1" si="395"/>
        <v>0</v>
      </c>
      <c r="BG62" s="34">
        <f t="shared" ca="1" si="395"/>
        <v>0</v>
      </c>
      <c r="BH62" s="34">
        <f t="shared" ca="1" si="395"/>
        <v>0</v>
      </c>
      <c r="BI62" s="34">
        <f t="shared" ca="1" si="395"/>
        <v>0</v>
      </c>
      <c r="BJ62" s="34">
        <f t="shared" ca="1" si="395"/>
        <v>0</v>
      </c>
      <c r="BK62" s="34">
        <f t="shared" ca="1" si="395"/>
        <v>0</v>
      </c>
      <c r="BL62" s="34">
        <f t="shared" ca="1" si="395"/>
        <v>0</v>
      </c>
      <c r="BM62" s="34">
        <f t="shared" ca="1" si="395"/>
        <v>0</v>
      </c>
      <c r="BN62" s="34">
        <f t="shared" ca="1" si="395"/>
        <v>0</v>
      </c>
      <c r="BO62" s="34">
        <f t="shared" ca="1" si="395"/>
        <v>0</v>
      </c>
      <c r="BP62" s="34">
        <f t="shared" ca="1" si="395"/>
        <v>2071.5985000000001</v>
      </c>
      <c r="BQ62" s="34">
        <f t="shared" ca="1" si="395"/>
        <v>18421.0795</v>
      </c>
      <c r="BR62" s="34">
        <f t="shared" ref="BR62:DT62" ca="1" si="396">+BR58*BR21</f>
        <v>0</v>
      </c>
      <c r="BS62" s="34">
        <f t="shared" ca="1" si="396"/>
        <v>0</v>
      </c>
      <c r="BT62" s="34">
        <f t="shared" ca="1" si="396"/>
        <v>0</v>
      </c>
      <c r="BU62" s="34">
        <f t="shared" ca="1" si="396"/>
        <v>0</v>
      </c>
      <c r="BV62" s="34">
        <f t="shared" ca="1" si="396"/>
        <v>0</v>
      </c>
      <c r="BW62" s="34">
        <f t="shared" ref="BW62:BZ62" ca="1" si="397">+BW58*BW21</f>
        <v>731.31949999999995</v>
      </c>
      <c r="BX62" s="34">
        <f t="shared" ca="1" si="397"/>
        <v>572.68849999999998</v>
      </c>
      <c r="BY62" s="34">
        <f t="shared" ca="1" si="397"/>
        <v>0</v>
      </c>
      <c r="BZ62" s="34">
        <f t="shared" ca="1" si="397"/>
        <v>0</v>
      </c>
      <c r="CA62" s="34">
        <f t="shared" ca="1" si="396"/>
        <v>0</v>
      </c>
      <c r="CB62" s="34">
        <f t="shared" ca="1" si="396"/>
        <v>0</v>
      </c>
      <c r="CC62" s="34">
        <f t="shared" ca="1" si="396"/>
        <v>0</v>
      </c>
      <c r="CD62" s="34">
        <f t="shared" ca="1" si="396"/>
        <v>0</v>
      </c>
      <c r="CE62" s="34">
        <f t="shared" ca="1" si="396"/>
        <v>0</v>
      </c>
      <c r="CF62" s="34">
        <f t="shared" ca="1" si="396"/>
        <v>0</v>
      </c>
      <c r="CG62" s="34">
        <f t="shared" ca="1" si="396"/>
        <v>0</v>
      </c>
      <c r="CH62" s="34">
        <f t="shared" ca="1" si="396"/>
        <v>0</v>
      </c>
      <c r="CI62" s="34">
        <f t="shared" ca="1" si="396"/>
        <v>0</v>
      </c>
      <c r="CJ62" s="34">
        <f t="shared" ca="1" si="396"/>
        <v>0</v>
      </c>
      <c r="CK62" s="34">
        <f t="shared" ca="1" si="396"/>
        <v>0</v>
      </c>
      <c r="CL62" s="34">
        <f t="shared" ca="1" si="396"/>
        <v>0</v>
      </c>
      <c r="CM62" s="34">
        <f t="shared" ca="1" si="396"/>
        <v>0</v>
      </c>
      <c r="CN62" s="34">
        <f t="shared" ca="1" si="396"/>
        <v>0</v>
      </c>
      <c r="CO62" s="34">
        <f t="shared" ca="1" si="396"/>
        <v>147.26900000000001</v>
      </c>
      <c r="CP62" s="34">
        <f t="shared" ca="1" si="396"/>
        <v>881.64750000000004</v>
      </c>
      <c r="CQ62" s="34">
        <f t="shared" ca="1" si="396"/>
        <v>2361.5479999999998</v>
      </c>
      <c r="CR62" s="34">
        <f t="shared" ca="1" si="396"/>
        <v>0</v>
      </c>
      <c r="CS62" s="34">
        <f t="shared" ca="1" si="396"/>
        <v>0</v>
      </c>
      <c r="CT62" s="34">
        <f t="shared" ca="1" si="396"/>
        <v>0</v>
      </c>
      <c r="CU62" s="34">
        <f t="shared" ca="1" si="396"/>
        <v>0</v>
      </c>
      <c r="CV62" s="34">
        <f t="shared" ca="1" si="396"/>
        <v>0</v>
      </c>
      <c r="CW62" s="34">
        <f t="shared" ca="1" si="396"/>
        <v>0</v>
      </c>
      <c r="CX62" s="34">
        <f t="shared" ca="1" si="396"/>
        <v>0</v>
      </c>
      <c r="CY62" s="34">
        <f t="shared" ca="1" si="396"/>
        <v>0</v>
      </c>
      <c r="CZ62" s="34">
        <f t="shared" ca="1" si="396"/>
        <v>0</v>
      </c>
      <c r="DA62" s="34">
        <f t="shared" ca="1" si="396"/>
        <v>0</v>
      </c>
      <c r="DB62" s="34">
        <f t="shared" ca="1" si="396"/>
        <v>0</v>
      </c>
      <c r="DC62" s="34">
        <f t="shared" ca="1" si="396"/>
        <v>0</v>
      </c>
      <c r="DD62" s="34">
        <f t="shared" ca="1" si="396"/>
        <v>0</v>
      </c>
      <c r="DE62" s="34">
        <f t="shared" ca="1" si="396"/>
        <v>0</v>
      </c>
      <c r="DF62" s="34">
        <f t="shared" ca="1" si="396"/>
        <v>0</v>
      </c>
      <c r="DG62" s="34">
        <f t="shared" ca="1" si="396"/>
        <v>0</v>
      </c>
      <c r="DH62" s="34">
        <f t="shared" ca="1" si="396"/>
        <v>0</v>
      </c>
      <c r="DI62" s="34">
        <f t="shared" ca="1" si="396"/>
        <v>0</v>
      </c>
      <c r="DJ62" s="34">
        <f t="shared" ca="1" si="396"/>
        <v>0</v>
      </c>
      <c r="DK62" s="34">
        <f t="shared" ca="1" si="396"/>
        <v>0</v>
      </c>
      <c r="DL62" s="34">
        <f t="shared" ca="1" si="396"/>
        <v>474.8005</v>
      </c>
      <c r="DM62" s="34">
        <f t="shared" ca="1" si="396"/>
        <v>0</v>
      </c>
      <c r="DN62" s="34">
        <f t="shared" ca="1" si="396"/>
        <v>21.413</v>
      </c>
      <c r="DO62" s="34">
        <f t="shared" ca="1" si="396"/>
        <v>22.942499999999999</v>
      </c>
      <c r="DP62" s="34">
        <f t="shared" ca="1" si="396"/>
        <v>1324.7655</v>
      </c>
      <c r="DQ62" s="34">
        <f t="shared" ca="1" si="396"/>
        <v>164.09350000000001</v>
      </c>
      <c r="DR62" s="34">
        <f t="shared" ca="1" si="396"/>
        <v>1711.9475</v>
      </c>
      <c r="DS62" s="34">
        <f t="shared" ca="1" si="396"/>
        <v>0</v>
      </c>
      <c r="DT62" s="34">
        <f t="shared" ca="1" si="396"/>
        <v>0</v>
      </c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</row>
    <row r="63" spans="1:158" x14ac:dyDescent="0.25">
      <c r="A63" s="211">
        <f t="shared" si="1"/>
        <v>57</v>
      </c>
      <c r="B63" s="50" t="s">
        <v>264</v>
      </c>
      <c r="C63" s="78">
        <f ca="1">SUM(D63:FB63)</f>
        <v>489977.40239999996</v>
      </c>
      <c r="D63" s="34">
        <f ca="1">+D59*D22</f>
        <v>717.5412</v>
      </c>
      <c r="E63" s="34">
        <f t="shared" ref="E63:BQ63" ca="1" si="398">+E59*E22</f>
        <v>4630.7429999999995</v>
      </c>
      <c r="F63" s="34">
        <f t="shared" ca="1" si="398"/>
        <v>2956.5275999999999</v>
      </c>
      <c r="G63" s="34">
        <f t="shared" ca="1" si="398"/>
        <v>89.870399999999989</v>
      </c>
      <c r="H63" s="34">
        <f t="shared" ca="1" si="398"/>
        <v>5285.8109999999997</v>
      </c>
      <c r="I63" s="34">
        <f t="shared" ca="1" si="398"/>
        <v>1127.1245999999999</v>
      </c>
      <c r="J63" s="34">
        <f t="shared" ca="1" si="398"/>
        <v>4105.0295999999998</v>
      </c>
      <c r="K63" s="34">
        <f t="shared" ca="1" si="398"/>
        <v>2643.3083999999999</v>
      </c>
      <c r="L63" s="34">
        <f t="shared" ca="1" si="398"/>
        <v>2994.5423999999998</v>
      </c>
      <c r="M63" s="34">
        <f t="shared" ca="1" si="398"/>
        <v>1721.1887999999999</v>
      </c>
      <c r="N63" s="34"/>
      <c r="O63" s="34">
        <f t="shared" ca="1" si="398"/>
        <v>3602.5421999999999</v>
      </c>
      <c r="P63" s="34">
        <f t="shared" ca="1" si="398"/>
        <v>11251.574999999999</v>
      </c>
      <c r="Q63" s="34">
        <f t="shared" ca="1" si="398"/>
        <v>2607.9479999999999</v>
      </c>
      <c r="R63" s="34">
        <f t="shared" ca="1" si="398"/>
        <v>4591.6379999999999</v>
      </c>
      <c r="S63" s="34">
        <f t="shared" ca="1" si="398"/>
        <v>38585.164199999999</v>
      </c>
      <c r="T63" s="34">
        <f t="shared" ca="1" si="398"/>
        <v>22286.247599999999</v>
      </c>
      <c r="U63" s="34">
        <f t="shared" ca="1" si="398"/>
        <v>0</v>
      </c>
      <c r="V63" s="34">
        <f t="shared" ca="1" si="398"/>
        <v>11000.260199999999</v>
      </c>
      <c r="W63" s="34">
        <f t="shared" ca="1" si="398"/>
        <v>8355.6720000000005</v>
      </c>
      <c r="X63" s="34">
        <f t="shared" ca="1" si="398"/>
        <v>3087.7781999999997</v>
      </c>
      <c r="Y63" s="34">
        <f t="shared" ca="1" si="398"/>
        <v>10362.9198</v>
      </c>
      <c r="Z63" s="34">
        <f t="shared" ca="1" si="398"/>
        <v>6280.5473999999995</v>
      </c>
      <c r="AA63" s="34">
        <f t="shared" ca="1" si="398"/>
        <v>11937.7374</v>
      </c>
      <c r="AB63" s="34">
        <f t="shared" ca="1" si="398"/>
        <v>49319.557799999995</v>
      </c>
      <c r="AC63" s="34">
        <f t="shared" ca="1" si="398"/>
        <v>90093.037799999991</v>
      </c>
      <c r="AD63" s="34">
        <f t="shared" ca="1" si="398"/>
        <v>0</v>
      </c>
      <c r="AE63" s="34">
        <f t="shared" ca="1" si="398"/>
        <v>0</v>
      </c>
      <c r="AF63" s="34">
        <f t="shared" ca="1" si="398"/>
        <v>10797.245999999999</v>
      </c>
      <c r="AG63" s="34">
        <f t="shared" ca="1" si="398"/>
        <v>5338.6145999999999</v>
      </c>
      <c r="AH63" s="34">
        <f t="shared" ca="1" si="398"/>
        <v>2289.3725999999997</v>
      </c>
      <c r="AI63" s="34">
        <f t="shared" ca="1" si="398"/>
        <v>0</v>
      </c>
      <c r="AJ63" s="34">
        <f t="shared" ca="1" si="398"/>
        <v>19621.656599999998</v>
      </c>
      <c r="AK63" s="34">
        <f t="shared" ca="1" si="398"/>
        <v>592.68959999999993</v>
      </c>
      <c r="AL63" s="34">
        <f t="shared" ca="1" si="398"/>
        <v>2128.0229999999997</v>
      </c>
      <c r="AM63" s="34">
        <f t="shared" ca="1" si="398"/>
        <v>8926.8894</v>
      </c>
      <c r="AN63" s="34">
        <f t="shared" ca="1" si="398"/>
        <v>404.13239999999996</v>
      </c>
      <c r="AO63" s="34">
        <f t="shared" ca="1" si="398"/>
        <v>6946.7069999999994</v>
      </c>
      <c r="AP63" s="34">
        <f t="shared" ca="1" si="398"/>
        <v>270.22739999999999</v>
      </c>
      <c r="AQ63" s="34">
        <f t="shared" ca="1" si="398"/>
        <v>2093.2314000000001</v>
      </c>
      <c r="AR63" s="34">
        <f t="shared" ca="1" si="398"/>
        <v>9945.3257999999987</v>
      </c>
      <c r="AS63" s="34">
        <f t="shared" ca="1" si="398"/>
        <v>0</v>
      </c>
      <c r="AT63" s="34">
        <f t="shared" ca="1" si="398"/>
        <v>0</v>
      </c>
      <c r="AU63" s="34">
        <f t="shared" ca="1" si="398"/>
        <v>634.59119999999996</v>
      </c>
      <c r="AV63" s="34">
        <f t="shared" ca="1" si="398"/>
        <v>359.29199999999997</v>
      </c>
      <c r="AW63" s="34">
        <f t="shared" ca="1" si="398"/>
        <v>485.7552</v>
      </c>
      <c r="AX63" s="34">
        <f t="shared" ca="1" si="398"/>
        <v>1317.3407999999999</v>
      </c>
      <c r="AY63" s="34">
        <f t="shared" ca="1" si="398"/>
        <v>0</v>
      </c>
      <c r="AZ63" s="34">
        <f t="shared" ca="1" si="398"/>
        <v>0</v>
      </c>
      <c r="BA63" s="34">
        <f t="shared" ca="1" si="398"/>
        <v>0</v>
      </c>
      <c r="BB63" s="34">
        <f t="shared" ca="1" si="398"/>
        <v>0</v>
      </c>
      <c r="BC63" s="34">
        <f t="shared" ca="1" si="398"/>
        <v>0.71099999999999997</v>
      </c>
      <c r="BD63" s="34">
        <f t="shared" ca="1" si="398"/>
        <v>16.116</v>
      </c>
      <c r="BE63" s="34">
        <f t="shared" ca="1" si="398"/>
        <v>0.99539999999999995</v>
      </c>
      <c r="BF63" s="34">
        <f t="shared" ca="1" si="398"/>
        <v>20.334599999999998</v>
      </c>
      <c r="BG63" s="34">
        <f t="shared" ca="1" si="398"/>
        <v>0</v>
      </c>
      <c r="BH63" s="34">
        <f t="shared" ca="1" si="398"/>
        <v>7.6313999999999993</v>
      </c>
      <c r="BI63" s="34">
        <f t="shared" ca="1" si="398"/>
        <v>0.61619999999999997</v>
      </c>
      <c r="BJ63" s="34">
        <f t="shared" ca="1" si="398"/>
        <v>23.889599999999998</v>
      </c>
      <c r="BK63" s="34">
        <f t="shared" ca="1" si="398"/>
        <v>458.40539999999999</v>
      </c>
      <c r="BL63" s="34">
        <f t="shared" ca="1" si="398"/>
        <v>34.838999999999999</v>
      </c>
      <c r="BM63" s="34">
        <f t="shared" ca="1" si="398"/>
        <v>184.76519999999999</v>
      </c>
      <c r="BN63" s="34">
        <f t="shared" ca="1" si="398"/>
        <v>56.026799999999994</v>
      </c>
      <c r="BO63" s="34">
        <f t="shared" ca="1" si="398"/>
        <v>0</v>
      </c>
      <c r="BP63" s="34">
        <f t="shared" ca="1" si="398"/>
        <v>132.0564</v>
      </c>
      <c r="BQ63" s="34">
        <f t="shared" ca="1" si="398"/>
        <v>23987.670599999998</v>
      </c>
      <c r="BR63" s="34">
        <f t="shared" ref="BR63:DT63" ca="1" si="399">+BR59*BR22</f>
        <v>0</v>
      </c>
      <c r="BS63" s="34">
        <f t="shared" ca="1" si="399"/>
        <v>0</v>
      </c>
      <c r="BT63" s="34">
        <f t="shared" ca="1" si="399"/>
        <v>0</v>
      </c>
      <c r="BU63" s="34">
        <f t="shared" ca="1" si="399"/>
        <v>172.2516</v>
      </c>
      <c r="BV63" s="34">
        <f t="shared" ca="1" si="399"/>
        <v>5105.9279999999999</v>
      </c>
      <c r="BW63" s="34">
        <f t="shared" ref="BW63:BZ63" ca="1" si="400">+BW59*BW22</f>
        <v>521.87400000000002</v>
      </c>
      <c r="BX63" s="34">
        <f t="shared" ca="1" si="400"/>
        <v>0</v>
      </c>
      <c r="BY63" s="34">
        <f t="shared" ca="1" si="400"/>
        <v>134.09459999999999</v>
      </c>
      <c r="BZ63" s="34">
        <f t="shared" ca="1" si="400"/>
        <v>644.35559999999998</v>
      </c>
      <c r="CA63" s="34">
        <f t="shared" ca="1" si="399"/>
        <v>142.05779999999999</v>
      </c>
      <c r="CB63" s="34">
        <f t="shared" ca="1" si="399"/>
        <v>23392.9902</v>
      </c>
      <c r="CC63" s="34">
        <f t="shared" ca="1" si="399"/>
        <v>430.43939999999998</v>
      </c>
      <c r="CD63" s="34">
        <f t="shared" ca="1" si="399"/>
        <v>14937.2094</v>
      </c>
      <c r="CE63" s="34">
        <f t="shared" ca="1" si="399"/>
        <v>2927.8979999999997</v>
      </c>
      <c r="CF63" s="34">
        <f t="shared" ca="1" si="399"/>
        <v>695.31060000000002</v>
      </c>
      <c r="CG63" s="34">
        <f t="shared" ca="1" si="399"/>
        <v>12499.190399999999</v>
      </c>
      <c r="CH63" s="34">
        <f t="shared" ca="1" si="399"/>
        <v>4170.1098000000002</v>
      </c>
      <c r="CI63" s="34">
        <f t="shared" ca="1" si="399"/>
        <v>5027.4335999999994</v>
      </c>
      <c r="CJ63" s="34">
        <f t="shared" ca="1" si="399"/>
        <v>10.475399999999999</v>
      </c>
      <c r="CK63" s="34">
        <f t="shared" ca="1" si="399"/>
        <v>807.98039999999992</v>
      </c>
      <c r="CL63" s="34">
        <f t="shared" ca="1" si="399"/>
        <v>7052.1719999999996</v>
      </c>
      <c r="CM63" s="34">
        <f t="shared" ca="1" si="399"/>
        <v>2679.2849999999999</v>
      </c>
      <c r="CN63" s="34">
        <f t="shared" ca="1" si="399"/>
        <v>0</v>
      </c>
      <c r="CO63" s="34">
        <f t="shared" ca="1" si="399"/>
        <v>0</v>
      </c>
      <c r="CP63" s="34">
        <f t="shared" ca="1" si="399"/>
        <v>0</v>
      </c>
      <c r="CQ63" s="34">
        <f t="shared" ca="1" si="399"/>
        <v>0</v>
      </c>
      <c r="CR63" s="34">
        <f t="shared" ca="1" si="399"/>
        <v>4408.1052</v>
      </c>
      <c r="CS63" s="34">
        <f t="shared" ca="1" si="399"/>
        <v>0</v>
      </c>
      <c r="CT63" s="34">
        <f t="shared" ca="1" si="399"/>
        <v>0</v>
      </c>
      <c r="CU63" s="34">
        <f t="shared" ca="1" si="399"/>
        <v>61.2408</v>
      </c>
      <c r="CV63" s="34">
        <f t="shared" ca="1" si="399"/>
        <v>132.8622</v>
      </c>
      <c r="CW63" s="34">
        <f t="shared" ca="1" si="399"/>
        <v>2525.2349999999997</v>
      </c>
      <c r="CX63" s="34">
        <f t="shared" ca="1" si="399"/>
        <v>1729.626</v>
      </c>
      <c r="CY63" s="34">
        <f t="shared" ca="1" si="399"/>
        <v>1395.5981999999999</v>
      </c>
      <c r="CZ63" s="34">
        <f t="shared" ca="1" si="399"/>
        <v>25.975199999999997</v>
      </c>
      <c r="DA63" s="34">
        <f t="shared" ca="1" si="399"/>
        <v>0</v>
      </c>
      <c r="DB63" s="34">
        <f t="shared" ca="1" si="399"/>
        <v>0.85319999999999996</v>
      </c>
      <c r="DC63" s="34">
        <f t="shared" ca="1" si="399"/>
        <v>54.035999999999994</v>
      </c>
      <c r="DD63" s="34">
        <f t="shared" ca="1" si="399"/>
        <v>38.062199999999997</v>
      </c>
      <c r="DE63" s="34">
        <f t="shared" ca="1" si="399"/>
        <v>66.739199999999997</v>
      </c>
      <c r="DF63" s="34">
        <f t="shared" ca="1" si="399"/>
        <v>1.8485999999999998</v>
      </c>
      <c r="DG63" s="34">
        <f t="shared" ca="1" si="399"/>
        <v>266.90940000000001</v>
      </c>
      <c r="DH63" s="34">
        <f t="shared" ca="1" si="399"/>
        <v>616.19999999999993</v>
      </c>
      <c r="DI63" s="34">
        <f t="shared" ca="1" si="399"/>
        <v>173.2944</v>
      </c>
      <c r="DJ63" s="34">
        <f t="shared" ca="1" si="399"/>
        <v>0</v>
      </c>
      <c r="DK63" s="34">
        <f t="shared" ca="1" si="399"/>
        <v>0</v>
      </c>
      <c r="DL63" s="34">
        <f t="shared" ca="1" si="399"/>
        <v>0</v>
      </c>
      <c r="DM63" s="34">
        <f t="shared" ca="1" si="399"/>
        <v>3.3653999999999997</v>
      </c>
      <c r="DN63" s="34">
        <f t="shared" ca="1" si="399"/>
        <v>0.90059999999999996</v>
      </c>
      <c r="DO63" s="34">
        <f t="shared" ca="1" si="399"/>
        <v>0</v>
      </c>
      <c r="DP63" s="34">
        <f t="shared" ca="1" si="399"/>
        <v>0</v>
      </c>
      <c r="DQ63" s="34">
        <f t="shared" ca="1" si="399"/>
        <v>0</v>
      </c>
      <c r="DR63" s="34">
        <f t="shared" ca="1" si="399"/>
        <v>0</v>
      </c>
      <c r="DS63" s="34">
        <f t="shared" ca="1" si="399"/>
        <v>43.086599999999997</v>
      </c>
      <c r="DT63" s="34">
        <f t="shared" ca="1" si="399"/>
        <v>372.94319999999999</v>
      </c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</row>
    <row r="64" spans="1:158" x14ac:dyDescent="0.25">
      <c r="A64" s="211">
        <f t="shared" si="1"/>
        <v>58</v>
      </c>
    </row>
    <row r="65" spans="1:145" x14ac:dyDescent="0.25">
      <c r="A65" s="211">
        <f t="shared" si="1"/>
        <v>59</v>
      </c>
      <c r="B65" s="26" t="s">
        <v>371</v>
      </c>
      <c r="D65" s="108">
        <f ca="1">ROUND(+D38/D43,2)</f>
        <v>0.95</v>
      </c>
      <c r="F65" s="108"/>
      <c r="AB65" s="108">
        <f ca="1">ROUND(+AB38/AB43,2)</f>
        <v>2.15</v>
      </c>
      <c r="AR65" s="108">
        <f ca="1">ROUND(+AR38/AR43,2)</f>
        <v>0.56999999999999995</v>
      </c>
      <c r="AS65" s="108">
        <f ca="1">ROUND(+AS38/AS43,2)</f>
        <v>0.21</v>
      </c>
      <c r="AY65" s="108">
        <f ca="1">ROUND(+AY38/AY43,2)</f>
        <v>1.87</v>
      </c>
      <c r="BR65" s="108">
        <f ca="1">ROUND(+BR38/BR43,2)</f>
        <v>0.24</v>
      </c>
      <c r="BW65" s="108">
        <f ca="1">ROUND(+BW38/BW43,2)</f>
        <v>0.64</v>
      </c>
      <c r="CA65" s="108">
        <f ca="1">ROUND(+CA38/CA43,2)</f>
        <v>1.33</v>
      </c>
      <c r="CC65" s="108">
        <f ca="1">ROUND(+CC38/CC43,2)</f>
        <v>2.16</v>
      </c>
      <c r="CN65" s="108">
        <f ca="1">ROUND(+CN38/CN43,2)</f>
        <v>0.4</v>
      </c>
      <c r="CS65" s="108">
        <f ca="1">ROUND(+CS38/CS43,2)</f>
        <v>0.49</v>
      </c>
      <c r="DJ65" s="108">
        <f ca="1">ROUND(+DJ38/DJ43,2)</f>
        <v>0.27</v>
      </c>
      <c r="DU65" s="108"/>
      <c r="EO65" s="108"/>
    </row>
  </sheetData>
  <mergeCells count="17">
    <mergeCell ref="DU6:EN6"/>
    <mergeCell ref="EO6:FB6"/>
    <mergeCell ref="DJ6:DT6"/>
    <mergeCell ref="AB6:AQ6"/>
    <mergeCell ref="AY6:BQ6"/>
    <mergeCell ref="CS6:DI6"/>
    <mergeCell ref="CC6:CM6"/>
    <mergeCell ref="CN6:CR6"/>
    <mergeCell ref="BR6:BV6"/>
    <mergeCell ref="CA6:CB6"/>
    <mergeCell ref="AS6:AX6"/>
    <mergeCell ref="BW6:BZ6"/>
    <mergeCell ref="A1:B1"/>
    <mergeCell ref="A2:B2"/>
    <mergeCell ref="A3:B3"/>
    <mergeCell ref="A4:B4"/>
    <mergeCell ref="D6:AA6"/>
  </mergeCells>
  <phoneticPr fontId="0" type="noConversion"/>
  <pageMargins left="0.5" right="0.25" top="1" bottom="1" header="0.5" footer="0.5"/>
  <pageSetup scale="65" fitToWidth="0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6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09375" defaultRowHeight="13.2" x14ac:dyDescent="0.25"/>
  <cols>
    <col min="1" max="1" width="4.44140625" style="26" bestFit="1" customWidth="1"/>
    <col min="2" max="2" width="40" style="80" bestFit="1" customWidth="1"/>
    <col min="3" max="3" width="12.44140625" style="80" bestFit="1" customWidth="1"/>
    <col min="4" max="4" width="11.44140625" style="26" bestFit="1" customWidth="1"/>
    <col min="5" max="5" width="10.5546875" style="26" bestFit="1" customWidth="1"/>
    <col min="6" max="6" width="9.21875" style="26" bestFit="1" customWidth="1"/>
    <col min="7" max="7" width="9.88671875" style="26" bestFit="1" customWidth="1"/>
    <col min="8" max="8" width="11.44140625" style="26" bestFit="1" customWidth="1"/>
    <col min="9" max="9" width="10.5546875" style="26" bestFit="1" customWidth="1"/>
    <col min="10" max="10" width="9.21875" style="26" bestFit="1" customWidth="1"/>
    <col min="11" max="11" width="9.88671875" style="26" bestFit="1" customWidth="1"/>
    <col min="12" max="12" width="9.21875" style="26" bestFit="1" customWidth="1"/>
    <col min="13" max="13" width="11.44140625" style="26" bestFit="1" customWidth="1"/>
    <col min="14" max="14" width="10.5546875" style="26" bestFit="1" customWidth="1"/>
    <col min="15" max="15" width="9.21875" style="26" bestFit="1" customWidth="1"/>
    <col min="16" max="17" width="9.88671875" style="26" bestFit="1" customWidth="1"/>
    <col min="18" max="18" width="9.21875" style="26" bestFit="1" customWidth="1"/>
    <col min="19" max="19" width="11.44140625" style="26" bestFit="1" customWidth="1"/>
    <col min="20" max="20" width="10.5546875" style="26" bestFit="1" customWidth="1"/>
    <col min="21" max="21" width="9.21875" style="26" bestFit="1" customWidth="1"/>
    <col min="22" max="22" width="13.21875" style="26" bestFit="1" customWidth="1"/>
    <col min="23" max="23" width="10.5546875" style="26" bestFit="1" customWidth="1"/>
    <col min="24" max="24" width="8.44140625" style="26" bestFit="1" customWidth="1"/>
    <col min="25" max="25" width="11.44140625" style="26" bestFit="1" customWidth="1"/>
    <col min="26" max="26" width="10.5546875" style="26" bestFit="1" customWidth="1"/>
    <col min="27" max="27" width="9.21875" style="26" bestFit="1" customWidth="1"/>
    <col min="28" max="28" width="9.88671875" style="26" bestFit="1" customWidth="1"/>
    <col min="29" max="29" width="11.44140625" style="26" bestFit="1" customWidth="1"/>
    <col min="30" max="30" width="10.5546875" style="26" bestFit="1" customWidth="1"/>
    <col min="31" max="31" width="9.21875" style="26" bestFit="1" customWidth="1"/>
    <col min="32" max="32" width="12.44140625" style="26" bestFit="1" customWidth="1"/>
    <col min="33" max="33" width="10.5546875" style="26" bestFit="1" customWidth="1"/>
    <col min="34" max="34" width="8.44140625" style="26" bestFit="1" customWidth="1"/>
    <col min="35" max="35" width="11.44140625" style="26" bestFit="1" customWidth="1"/>
    <col min="36" max="36" width="10.5546875" style="26" bestFit="1" customWidth="1"/>
    <col min="37" max="37" width="9.21875" style="26" bestFit="1" customWidth="1"/>
    <col min="38" max="39" width="9.88671875" style="26" bestFit="1" customWidth="1"/>
    <col min="40" max="40" width="9.21875" style="26" bestFit="1" customWidth="1"/>
    <col min="41" max="41" width="9.88671875" style="26" bestFit="1" customWidth="1"/>
    <col min="42" max="42" width="10.5546875" style="26" bestFit="1" customWidth="1"/>
    <col min="43" max="43" width="9.21875" style="26" bestFit="1" customWidth="1"/>
    <col min="44" max="46" width="9.88671875" style="26" bestFit="1" customWidth="1"/>
    <col min="47" max="47" width="10.5546875" style="26" bestFit="1" customWidth="1"/>
    <col min="48" max="48" width="9.21875" style="26" bestFit="1" customWidth="1"/>
    <col min="49" max="49" width="9.88671875" style="26" bestFit="1" customWidth="1"/>
    <col min="50" max="50" width="9.21875" style="26" bestFit="1" customWidth="1"/>
    <col min="51" max="51" width="9.88671875" style="26" bestFit="1" customWidth="1"/>
    <col min="52" max="54" width="9.21875" style="26" bestFit="1" customWidth="1"/>
    <col min="55" max="55" width="11.44140625" style="26" bestFit="1" customWidth="1"/>
    <col min="56" max="56" width="12.109375" style="26" bestFit="1" customWidth="1"/>
    <col min="57" max="57" width="11.44140625" style="26" bestFit="1" customWidth="1"/>
    <col min="58" max="58" width="9.88671875" style="26" bestFit="1" customWidth="1"/>
    <col min="59" max="59" width="11.44140625" style="26" bestFit="1" customWidth="1"/>
    <col min="60" max="60" width="10.5546875" style="26" bestFit="1" customWidth="1"/>
    <col min="61" max="61" width="9.88671875" style="26" bestFit="1" customWidth="1"/>
    <col min="62" max="62" width="11.44140625" style="26" bestFit="1" customWidth="1"/>
    <col min="63" max="63" width="10.5546875" style="26" bestFit="1" customWidth="1"/>
    <col min="64" max="64" width="8.44140625" style="26" bestFit="1" customWidth="1"/>
    <col min="65" max="65" width="9.88671875" style="26" bestFit="1" customWidth="1"/>
    <col min="66" max="66" width="10.5546875" style="26" bestFit="1" customWidth="1"/>
    <col min="67" max="67" width="11.44140625" style="26" bestFit="1" customWidth="1"/>
    <col min="68" max="68" width="9.88671875" style="26" bestFit="1" customWidth="1"/>
    <col min="69" max="69" width="10.5546875" style="26" bestFit="1" customWidth="1"/>
    <col min="70" max="70" width="9.21875" style="26" bestFit="1" customWidth="1"/>
    <col min="71" max="71" width="9.88671875" style="26" bestFit="1" customWidth="1"/>
    <col min="72" max="72" width="10.5546875" style="26" bestFit="1" customWidth="1"/>
    <col min="73" max="76" width="9.21875" style="26" bestFit="1" customWidth="1"/>
    <col min="77" max="77" width="9.88671875" style="26" bestFit="1" customWidth="1"/>
    <col min="78" max="78" width="10.5546875" style="26" bestFit="1" customWidth="1"/>
    <col min="79" max="79" width="8.44140625" style="26" bestFit="1" customWidth="1"/>
    <col min="80" max="80" width="11.44140625" style="26" bestFit="1" customWidth="1"/>
    <col min="81" max="81" width="10.5546875" style="26" bestFit="1" customWidth="1"/>
    <col min="82" max="82" width="8.44140625" style="26" bestFit="1" customWidth="1"/>
    <col min="83" max="83" width="11.44140625" style="26" bestFit="1" customWidth="1"/>
    <col min="84" max="84" width="10.5546875" style="26" bestFit="1" customWidth="1"/>
    <col min="85" max="85" width="9.21875" style="26" bestFit="1" customWidth="1"/>
    <col min="86" max="87" width="9.88671875" style="26" bestFit="1" customWidth="1"/>
    <col min="88" max="16384" width="9.109375" style="26"/>
  </cols>
  <sheetData>
    <row r="1" spans="1:87" x14ac:dyDescent="0.25">
      <c r="A1" s="592" t="s">
        <v>0</v>
      </c>
      <c r="B1" s="592"/>
      <c r="C1" s="79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2" spans="1:87" x14ac:dyDescent="0.25">
      <c r="A2" s="592" t="s">
        <v>52</v>
      </c>
      <c r="B2" s="592"/>
      <c r="C2" s="79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</row>
    <row r="3" spans="1:87" x14ac:dyDescent="0.25">
      <c r="A3" s="592" t="s">
        <v>19</v>
      </c>
      <c r="B3" s="592"/>
      <c r="C3" s="79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</row>
    <row r="4" spans="1:87" x14ac:dyDescent="0.25">
      <c r="A4" s="593" t="s">
        <v>308</v>
      </c>
      <c r="B4" s="592"/>
      <c r="C4" s="79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</row>
    <row r="5" spans="1:87" ht="13.8" thickBot="1" x14ac:dyDescent="0.3">
      <c r="S5" s="76"/>
      <c r="T5" s="76"/>
      <c r="U5" s="76"/>
      <c r="V5" s="76"/>
      <c r="W5" s="76"/>
      <c r="X5" s="76"/>
      <c r="AC5" s="76"/>
      <c r="AD5" s="76"/>
      <c r="AE5" s="76"/>
      <c r="AF5" s="76"/>
      <c r="AG5" s="76"/>
      <c r="AH5" s="76"/>
    </row>
    <row r="6" spans="1:87" s="84" customFormat="1" ht="12.75" customHeight="1" thickBot="1" x14ac:dyDescent="0.3">
      <c r="A6" s="81" t="s">
        <v>53</v>
      </c>
      <c r="B6" s="82" t="s">
        <v>54</v>
      </c>
      <c r="C6" s="83" t="s">
        <v>38</v>
      </c>
      <c r="D6" s="635" t="s">
        <v>481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1"/>
      <c r="Y6" s="635" t="s">
        <v>482</v>
      </c>
      <c r="Z6" s="620"/>
      <c r="AA6" s="620"/>
      <c r="AB6" s="626"/>
      <c r="AC6" s="626"/>
      <c r="AD6" s="626"/>
      <c r="AE6" s="626"/>
      <c r="AF6" s="626"/>
      <c r="AG6" s="626"/>
      <c r="AH6" s="627"/>
      <c r="AI6" s="635" t="s">
        <v>483</v>
      </c>
      <c r="AJ6" s="620"/>
      <c r="AK6" s="620"/>
      <c r="AL6" s="620"/>
      <c r="AM6" s="620"/>
      <c r="AN6" s="621"/>
      <c r="AO6" s="635" t="s">
        <v>484</v>
      </c>
      <c r="AP6" s="626"/>
      <c r="AQ6" s="626"/>
      <c r="AR6" s="626"/>
      <c r="AS6" s="627"/>
      <c r="AT6" s="635" t="s">
        <v>485</v>
      </c>
      <c r="AU6" s="626"/>
      <c r="AV6" s="626"/>
      <c r="AW6" s="626"/>
      <c r="AX6" s="627"/>
      <c r="AY6" s="635" t="s">
        <v>486</v>
      </c>
      <c r="AZ6" s="620"/>
      <c r="BA6" s="620"/>
      <c r="BB6" s="627"/>
      <c r="BC6" s="635" t="s">
        <v>487</v>
      </c>
      <c r="BD6" s="620"/>
      <c r="BE6" s="620"/>
      <c r="BF6" s="627"/>
      <c r="BG6" s="635" t="s">
        <v>488</v>
      </c>
      <c r="BH6" s="620"/>
      <c r="BI6" s="620"/>
      <c r="BJ6" s="620"/>
      <c r="BK6" s="620"/>
      <c r="BL6" s="621"/>
      <c r="BM6" s="635" t="s">
        <v>489</v>
      </c>
      <c r="BN6" s="620"/>
      <c r="BO6" s="621"/>
      <c r="BP6" s="635" t="s">
        <v>490</v>
      </c>
      <c r="BQ6" s="620"/>
      <c r="BR6" s="621"/>
      <c r="BS6" s="635" t="s">
        <v>491</v>
      </c>
      <c r="BT6" s="620"/>
      <c r="BU6" s="620"/>
      <c r="BV6" s="620"/>
      <c r="BW6" s="620"/>
      <c r="BX6" s="627"/>
      <c r="BY6" s="635"/>
      <c r="BZ6" s="620"/>
      <c r="CA6" s="627"/>
      <c r="CB6" s="635"/>
      <c r="CC6" s="620"/>
      <c r="CD6" s="627"/>
      <c r="CE6" s="635" t="s">
        <v>492</v>
      </c>
      <c r="CF6" s="620"/>
      <c r="CG6" s="620"/>
      <c r="CH6" s="620"/>
      <c r="CI6" s="621"/>
    </row>
    <row r="7" spans="1:87" ht="13.8" thickBot="1" x14ac:dyDescent="0.3">
      <c r="A7" s="397">
        <v>1</v>
      </c>
      <c r="B7" s="80" t="s">
        <v>77</v>
      </c>
      <c r="C7" s="399"/>
      <c r="D7" s="640" t="s">
        <v>223</v>
      </c>
      <c r="E7" s="644"/>
      <c r="F7" s="644"/>
      <c r="G7" s="645"/>
      <c r="H7" s="643" t="s">
        <v>224</v>
      </c>
      <c r="I7" s="644"/>
      <c r="J7" s="644"/>
      <c r="K7" s="644"/>
      <c r="L7" s="645"/>
      <c r="M7" s="643" t="s">
        <v>225</v>
      </c>
      <c r="N7" s="644"/>
      <c r="O7" s="644"/>
      <c r="P7" s="644"/>
      <c r="Q7" s="644"/>
      <c r="R7" s="645"/>
      <c r="S7" s="640" t="s">
        <v>227</v>
      </c>
      <c r="T7" s="644"/>
      <c r="U7" s="645"/>
      <c r="V7" s="643" t="s">
        <v>253</v>
      </c>
      <c r="W7" s="644"/>
      <c r="X7" s="642"/>
      <c r="Y7" s="647" t="str">
        <f>+D7</f>
        <v>Sub 1 - Evergreen</v>
      </c>
      <c r="Z7" s="644"/>
      <c r="AA7" s="644"/>
      <c r="AB7" s="644"/>
      <c r="AC7" s="640" t="s">
        <v>227</v>
      </c>
      <c r="AD7" s="644"/>
      <c r="AE7" s="645"/>
      <c r="AF7" s="647" t="str">
        <f>+V7</f>
        <v>Sub 15 - Ardmore</v>
      </c>
      <c r="AG7" s="644"/>
      <c r="AH7" s="642"/>
      <c r="AI7" s="646" t="str">
        <f>+M7</f>
        <v>Sub 3 - Spiritbrook</v>
      </c>
      <c r="AJ7" s="644"/>
      <c r="AK7" s="644"/>
      <c r="AL7" s="644"/>
      <c r="AM7" s="644"/>
      <c r="AN7" s="642"/>
      <c r="AO7" s="640" t="s">
        <v>222</v>
      </c>
      <c r="AP7" s="644"/>
      <c r="AQ7" s="644"/>
      <c r="AR7" s="644"/>
      <c r="AS7" s="642"/>
      <c r="AT7" s="640" t="s">
        <v>228</v>
      </c>
      <c r="AU7" s="644"/>
      <c r="AV7" s="644"/>
      <c r="AW7" s="644"/>
      <c r="AX7" s="642"/>
      <c r="AY7" s="640" t="s">
        <v>229</v>
      </c>
      <c r="AZ7" s="641"/>
      <c r="BA7" s="641"/>
      <c r="BB7" s="642"/>
      <c r="BC7" s="640" t="s">
        <v>231</v>
      </c>
      <c r="BD7" s="641"/>
      <c r="BE7" s="641"/>
      <c r="BF7" s="642"/>
      <c r="BG7" s="636" t="s">
        <v>233</v>
      </c>
      <c r="BH7" s="637"/>
      <c r="BI7" s="638"/>
      <c r="BJ7" s="636" t="str">
        <f>+BC7</f>
        <v>Sub 10 - North Bellevue</v>
      </c>
      <c r="BK7" s="637"/>
      <c r="BL7" s="638"/>
      <c r="BM7" s="636" t="s">
        <v>234</v>
      </c>
      <c r="BN7" s="637"/>
      <c r="BO7" s="638"/>
      <c r="BP7" s="636" t="s">
        <v>237</v>
      </c>
      <c r="BQ7" s="637"/>
      <c r="BR7" s="638"/>
      <c r="BS7" s="636" t="s">
        <v>238</v>
      </c>
      <c r="BT7" s="637"/>
      <c r="BU7" s="637"/>
      <c r="BV7" s="637"/>
      <c r="BW7" s="637"/>
      <c r="BX7" s="603"/>
      <c r="BY7" s="636"/>
      <c r="BZ7" s="637"/>
      <c r="CA7" s="603"/>
      <c r="CB7" s="636"/>
      <c r="CC7" s="637"/>
      <c r="CD7" s="639"/>
      <c r="CE7" s="636" t="s">
        <v>230</v>
      </c>
      <c r="CF7" s="637"/>
      <c r="CG7" s="637"/>
      <c r="CH7" s="637"/>
      <c r="CI7" s="638"/>
    </row>
    <row r="8" spans="1:87" x14ac:dyDescent="0.25">
      <c r="A8" s="397">
        <f>+A7+1</f>
        <v>2</v>
      </c>
      <c r="B8" s="86" t="s">
        <v>55</v>
      </c>
      <c r="C8" s="399"/>
      <c r="D8" s="435" t="s">
        <v>232</v>
      </c>
      <c r="E8" s="434" t="s">
        <v>114</v>
      </c>
      <c r="F8" s="500" t="s">
        <v>115</v>
      </c>
      <c r="G8" s="501" t="str">
        <f>+F8</f>
        <v>Additions</v>
      </c>
      <c r="H8" s="435" t="s">
        <v>232</v>
      </c>
      <c r="I8" s="434" t="s">
        <v>114</v>
      </c>
      <c r="J8" s="500" t="s">
        <v>115</v>
      </c>
      <c r="K8" s="500" t="str">
        <f>+J8</f>
        <v>Additions</v>
      </c>
      <c r="L8" s="501" t="str">
        <f>+K8</f>
        <v>Additions</v>
      </c>
      <c r="M8" s="435" t="s">
        <v>232</v>
      </c>
      <c r="N8" s="434" t="s">
        <v>114</v>
      </c>
      <c r="O8" s="500" t="s">
        <v>115</v>
      </c>
      <c r="P8" s="500" t="str">
        <f>+O8</f>
        <v>Additions</v>
      </c>
      <c r="Q8" s="500" t="str">
        <f>+P8</f>
        <v>Additions</v>
      </c>
      <c r="R8" s="501" t="str">
        <f>+Q8</f>
        <v>Additions</v>
      </c>
      <c r="S8" s="435" t="s">
        <v>232</v>
      </c>
      <c r="T8" s="434" t="s">
        <v>114</v>
      </c>
      <c r="U8" s="436" t="s">
        <v>115</v>
      </c>
      <c r="V8" s="435" t="s">
        <v>232</v>
      </c>
      <c r="W8" s="434" t="s">
        <v>114</v>
      </c>
      <c r="X8" s="502" t="s">
        <v>115</v>
      </c>
      <c r="Y8" s="435" t="s">
        <v>232</v>
      </c>
      <c r="Z8" s="434" t="s">
        <v>114</v>
      </c>
      <c r="AA8" s="500" t="s">
        <v>115</v>
      </c>
      <c r="AB8" s="501" t="str">
        <f>+AA8</f>
        <v>Additions</v>
      </c>
      <c r="AC8" s="435" t="s">
        <v>232</v>
      </c>
      <c r="AD8" s="434" t="s">
        <v>114</v>
      </c>
      <c r="AE8" s="436" t="s">
        <v>115</v>
      </c>
      <c r="AF8" s="435" t="s">
        <v>232</v>
      </c>
      <c r="AG8" s="434" t="s">
        <v>114</v>
      </c>
      <c r="AH8" s="502" t="s">
        <v>115</v>
      </c>
      <c r="AI8" s="435" t="s">
        <v>232</v>
      </c>
      <c r="AJ8" s="503" t="s">
        <v>114</v>
      </c>
      <c r="AK8" s="500" t="s">
        <v>115</v>
      </c>
      <c r="AL8" s="500" t="str">
        <f>+AK8</f>
        <v>Additions</v>
      </c>
      <c r="AM8" s="500" t="str">
        <f>+AL8</f>
        <v>Additions</v>
      </c>
      <c r="AN8" s="501" t="str">
        <f>+AM8</f>
        <v>Additions</v>
      </c>
      <c r="AO8" s="435" t="s">
        <v>232</v>
      </c>
      <c r="AP8" s="434" t="s">
        <v>114</v>
      </c>
      <c r="AQ8" s="500" t="s">
        <v>115</v>
      </c>
      <c r="AR8" s="500" t="str">
        <f>+AQ8</f>
        <v>Additions</v>
      </c>
      <c r="AS8" s="501" t="str">
        <f>+AR8</f>
        <v>Additions</v>
      </c>
      <c r="AT8" s="435" t="s">
        <v>232</v>
      </c>
      <c r="AU8" s="434" t="s">
        <v>114</v>
      </c>
      <c r="AV8" s="500" t="s">
        <v>115</v>
      </c>
      <c r="AW8" s="500" t="str">
        <f>+AV8</f>
        <v>Additions</v>
      </c>
      <c r="AX8" s="501" t="str">
        <f>+AW8</f>
        <v>Additions</v>
      </c>
      <c r="AY8" s="435" t="s">
        <v>232</v>
      </c>
      <c r="AZ8" s="434" t="s">
        <v>254</v>
      </c>
      <c r="BA8" s="500" t="s">
        <v>115</v>
      </c>
      <c r="BB8" s="501" t="str">
        <f>+BA8</f>
        <v>Additions</v>
      </c>
      <c r="BC8" s="435" t="s">
        <v>232</v>
      </c>
      <c r="BD8" s="434" t="s">
        <v>114</v>
      </c>
      <c r="BE8" s="500" t="s">
        <v>115</v>
      </c>
      <c r="BF8" s="501" t="str">
        <f>+BE8</f>
        <v>Additions</v>
      </c>
      <c r="BG8" s="435" t="s">
        <v>232</v>
      </c>
      <c r="BH8" s="434" t="s">
        <v>114</v>
      </c>
      <c r="BI8" s="437" t="s">
        <v>115</v>
      </c>
      <c r="BJ8" s="435" t="s">
        <v>232</v>
      </c>
      <c r="BK8" s="434" t="s">
        <v>114</v>
      </c>
      <c r="BL8" s="437" t="s">
        <v>115</v>
      </c>
      <c r="BM8" s="435" t="s">
        <v>232</v>
      </c>
      <c r="BN8" s="434" t="s">
        <v>114</v>
      </c>
      <c r="BO8" s="437" t="s">
        <v>115</v>
      </c>
      <c r="BP8" s="435" t="s">
        <v>232</v>
      </c>
      <c r="BQ8" s="434" t="s">
        <v>114</v>
      </c>
      <c r="BR8" s="437" t="s">
        <v>115</v>
      </c>
      <c r="BS8" s="435" t="s">
        <v>232</v>
      </c>
      <c r="BT8" s="434" t="s">
        <v>114</v>
      </c>
      <c r="BU8" s="648" t="s">
        <v>115</v>
      </c>
      <c r="BV8" s="648"/>
      <c r="BW8" s="648"/>
      <c r="BX8" s="649"/>
      <c r="BY8" s="435"/>
      <c r="BZ8" s="434"/>
      <c r="CA8" s="437"/>
      <c r="CB8" s="435"/>
      <c r="CC8" s="434"/>
      <c r="CD8" s="438"/>
      <c r="CE8" s="435" t="s">
        <v>232</v>
      </c>
      <c r="CF8" s="434" t="s">
        <v>114</v>
      </c>
      <c r="CG8" s="434" t="s">
        <v>115</v>
      </c>
      <c r="CH8" s="434" t="s">
        <v>115</v>
      </c>
      <c r="CI8" s="437" t="s">
        <v>115</v>
      </c>
    </row>
    <row r="9" spans="1:87" x14ac:dyDescent="0.25">
      <c r="A9" s="397">
        <f t="shared" ref="A9:A59" si="0">+A8+1</f>
        <v>3</v>
      </c>
      <c r="B9" s="87" t="s">
        <v>78</v>
      </c>
      <c r="C9" s="88"/>
      <c r="D9" s="441">
        <f>+'2017 Sub &amp; Feeder NCP %'!$D$30</f>
        <v>0.56249568667565519</v>
      </c>
      <c r="E9" s="89">
        <f>+D9</f>
        <v>0.56249568667565519</v>
      </c>
      <c r="F9" s="89">
        <f>+E9</f>
        <v>0.56249568667565519</v>
      </c>
      <c r="G9" s="439">
        <f>+D9</f>
        <v>0.56249568667565519</v>
      </c>
      <c r="H9" s="440">
        <f>+'2017 Sub &amp; Feeder NCP %'!$D$36</f>
        <v>0.49965050044974435</v>
      </c>
      <c r="I9" s="89">
        <f>+H9</f>
        <v>0.49965050044974435</v>
      </c>
      <c r="J9" s="89">
        <f>+H9</f>
        <v>0.49965050044974435</v>
      </c>
      <c r="K9" s="89">
        <f>+I9</f>
        <v>0.49965050044974435</v>
      </c>
      <c r="L9" s="439">
        <f>+H9</f>
        <v>0.49965050044974435</v>
      </c>
      <c r="M9" s="440">
        <f>+'2017 Sub &amp; Feeder NCP %'!$D$38</f>
        <v>0.25688835928300341</v>
      </c>
      <c r="N9" s="89">
        <f>+M9</f>
        <v>0.25688835928300341</v>
      </c>
      <c r="O9" s="89">
        <f>+M9</f>
        <v>0.25688835928300341</v>
      </c>
      <c r="P9" s="89">
        <f>+M9</f>
        <v>0.25688835928300341</v>
      </c>
      <c r="Q9" s="89">
        <f>+N9</f>
        <v>0.25688835928300341</v>
      </c>
      <c r="R9" s="439">
        <f>+Q9</f>
        <v>0.25688835928300341</v>
      </c>
      <c r="S9" s="441">
        <f>+'2017 Sub &amp; Feeder NCP %'!$D$29</f>
        <v>0</v>
      </c>
      <c r="T9" s="89">
        <f>+S9</f>
        <v>0</v>
      </c>
      <c r="U9" s="439">
        <f>+S9</f>
        <v>0</v>
      </c>
      <c r="V9" s="440">
        <f>+'2017 Sub &amp; Feeder NCP %'!$D$24</f>
        <v>0.32181510327140345</v>
      </c>
      <c r="W9" s="89"/>
      <c r="X9" s="442"/>
      <c r="Y9" s="440">
        <f>+'2017 Sub &amp; Feeder NCP %'!$D$43</f>
        <v>0.18933575375397343</v>
      </c>
      <c r="Z9" s="89">
        <f>+Y9</f>
        <v>0.18933575375397343</v>
      </c>
      <c r="AA9" s="89">
        <f>+Z9</f>
        <v>0.18933575375397343</v>
      </c>
      <c r="AB9" s="89">
        <f>+Y9</f>
        <v>0.18933575375397343</v>
      </c>
      <c r="AC9" s="441">
        <f>+'2017 Sub &amp; Feeder NCP %'!$D$40</f>
        <v>0.4737240627781194</v>
      </c>
      <c r="AD9" s="89">
        <f>+AC9</f>
        <v>0.4737240627781194</v>
      </c>
      <c r="AE9" s="439">
        <f>+AC9</f>
        <v>0.4737240627781194</v>
      </c>
      <c r="AF9" s="441">
        <f>+'2017 Sub &amp; Feeder NCP %'!$D$39</f>
        <v>0.17867608843422078</v>
      </c>
      <c r="AG9" s="89"/>
      <c r="AH9" s="442"/>
      <c r="AI9" s="441">
        <f>+'2017 Sub &amp; Feeder NCP %'!$D$23</f>
        <v>0.23707129678602468</v>
      </c>
      <c r="AJ9" s="89">
        <f>+AI9</f>
        <v>0.23707129678602468</v>
      </c>
      <c r="AK9" s="89">
        <f>+AI9</f>
        <v>0.23707129678602468</v>
      </c>
      <c r="AL9" s="89">
        <f>+AI9</f>
        <v>0.23707129678602468</v>
      </c>
      <c r="AM9" s="89">
        <f>+AJ9</f>
        <v>0.23707129678602468</v>
      </c>
      <c r="AN9" s="442">
        <f>+AI9</f>
        <v>0.23707129678602468</v>
      </c>
      <c r="AO9" s="441">
        <f>+'2017 Sub &amp; Feeder NCP %'!$D$12</f>
        <v>0.11459241048636366</v>
      </c>
      <c r="AP9" s="89">
        <f>+AO9</f>
        <v>0.11459241048636366</v>
      </c>
      <c r="AQ9" s="89">
        <f>+AO9</f>
        <v>0.11459241048636366</v>
      </c>
      <c r="AR9" s="89">
        <f>+AP9</f>
        <v>0.11459241048636366</v>
      </c>
      <c r="AS9" s="442">
        <f>+AO9</f>
        <v>0.11459241048636366</v>
      </c>
      <c r="AT9" s="441">
        <f>+'2017 Sub &amp; Feeder NCP %'!$D$17</f>
        <v>0.27028222335840618</v>
      </c>
      <c r="AU9" s="89">
        <f>+AT9</f>
        <v>0.27028222335840618</v>
      </c>
      <c r="AV9" s="89">
        <f>+AT9</f>
        <v>0.27028222335840618</v>
      </c>
      <c r="AW9" s="89">
        <f>+AU9</f>
        <v>0.27028222335840618</v>
      </c>
      <c r="AX9" s="442">
        <f>+AT9</f>
        <v>0.27028222335840618</v>
      </c>
      <c r="AY9" s="441">
        <f>+'2017 Sub &amp; Feeder NCP %'!$D$4</f>
        <v>0.32154859189976726</v>
      </c>
      <c r="AZ9" s="89">
        <f>+AY9</f>
        <v>0.32154859189976726</v>
      </c>
      <c r="BA9" s="89">
        <f>+AY9</f>
        <v>0.32154859189976726</v>
      </c>
      <c r="BB9" s="442">
        <f>+AY9</f>
        <v>0.32154859189976726</v>
      </c>
      <c r="BC9" s="441">
        <f>+'2017 Sub &amp; Feeder NCP %'!$D$14</f>
        <v>0.1281408609731321</v>
      </c>
      <c r="BD9" s="89">
        <f>+BC9</f>
        <v>0.1281408609731321</v>
      </c>
      <c r="BE9" s="89">
        <f>+BC9</f>
        <v>0.1281408609731321</v>
      </c>
      <c r="BF9" s="442">
        <f>+BC9</f>
        <v>0.1281408609731321</v>
      </c>
      <c r="BG9" s="441">
        <f>+'2017 Sub &amp; Feeder NCP %'!$D$20</f>
        <v>0.15277667061706371</v>
      </c>
      <c r="BH9" s="89">
        <f>+BG9</f>
        <v>0.15277667061706371</v>
      </c>
      <c r="BI9" s="442">
        <f>+BH9</f>
        <v>0.15277667061706371</v>
      </c>
      <c r="BJ9" s="441">
        <f>+'2017 Sub &amp; Feeder NCP %'!$D$22</f>
        <v>4.702833456217248E-2</v>
      </c>
      <c r="BK9" s="89">
        <f>+BJ9</f>
        <v>4.702833456217248E-2</v>
      </c>
      <c r="BL9" s="442">
        <f>+BK9</f>
        <v>4.702833456217248E-2</v>
      </c>
      <c r="BM9" s="441">
        <f>+'2017 Sub &amp; Feeder NCP %'!$D$13</f>
        <v>0.23157876910399916</v>
      </c>
      <c r="BN9" s="89">
        <f>+BM9</f>
        <v>0.23157876910399916</v>
      </c>
      <c r="BO9" s="442">
        <f>+BN9</f>
        <v>0.23157876910399916</v>
      </c>
      <c r="BP9" s="441">
        <f>+'2017 Sub &amp; Feeder NCP %'!$D$5</f>
        <v>0.26037455233813622</v>
      </c>
      <c r="BQ9" s="89">
        <f>+BP9</f>
        <v>0.26037455233813622</v>
      </c>
      <c r="BR9" s="442">
        <f>+BQ9</f>
        <v>0.26037455233813622</v>
      </c>
      <c r="BS9" s="441">
        <f>+'2017 Sub &amp; Feeder NCP %'!$D$10</f>
        <v>0.11829306698490678</v>
      </c>
      <c r="BT9" s="89">
        <f>+BS9</f>
        <v>0.11829306698490678</v>
      </c>
      <c r="BU9" s="89">
        <f>+BS9</f>
        <v>0.11829306698490678</v>
      </c>
      <c r="BV9" s="89">
        <f>+BT9</f>
        <v>0.11829306698490678</v>
      </c>
      <c r="BW9" s="89">
        <f>+BU9</f>
        <v>0.11829306698490678</v>
      </c>
      <c r="BX9" s="442">
        <f>+BS9</f>
        <v>0.11829306698490678</v>
      </c>
      <c r="BY9" s="441"/>
      <c r="BZ9" s="89"/>
      <c r="CA9" s="442"/>
      <c r="CB9" s="441"/>
      <c r="CC9" s="89"/>
      <c r="CD9" s="443"/>
      <c r="CE9" s="441">
        <f>+'2017 Sub &amp; Feeder NCP %'!$D$45</f>
        <v>8.1069618910077329E-2</v>
      </c>
      <c r="CF9" s="89">
        <f>+CE9</f>
        <v>8.1069618910077329E-2</v>
      </c>
      <c r="CG9" s="89">
        <f>+CE9</f>
        <v>8.1069618910077329E-2</v>
      </c>
      <c r="CH9" s="89">
        <f>+CF9</f>
        <v>8.1069618910077329E-2</v>
      </c>
      <c r="CI9" s="442">
        <f>+CF9</f>
        <v>8.1069618910077329E-2</v>
      </c>
    </row>
    <row r="10" spans="1:87" x14ac:dyDescent="0.25">
      <c r="A10" s="397">
        <f t="shared" si="0"/>
        <v>4</v>
      </c>
      <c r="B10" s="87" t="s">
        <v>79</v>
      </c>
      <c r="C10" s="88"/>
      <c r="D10" s="441">
        <v>1</v>
      </c>
      <c r="E10" s="89">
        <f>+D10</f>
        <v>1</v>
      </c>
      <c r="F10" s="89">
        <f>+E10</f>
        <v>1</v>
      </c>
      <c r="G10" s="439">
        <f>+D10</f>
        <v>1</v>
      </c>
      <c r="H10" s="440">
        <v>1</v>
      </c>
      <c r="I10" s="89">
        <f>+H10</f>
        <v>1</v>
      </c>
      <c r="J10" s="89">
        <f>+H10</f>
        <v>1</v>
      </c>
      <c r="K10" s="89">
        <f>+I10</f>
        <v>1</v>
      </c>
      <c r="L10" s="439">
        <f>+H10</f>
        <v>1</v>
      </c>
      <c r="M10" s="440">
        <v>1</v>
      </c>
      <c r="N10" s="89">
        <f>+M10</f>
        <v>1</v>
      </c>
      <c r="O10" s="89">
        <f>+M10</f>
        <v>1</v>
      </c>
      <c r="P10" s="89">
        <f>+M10</f>
        <v>1</v>
      </c>
      <c r="Q10" s="89">
        <f>+N10</f>
        <v>1</v>
      </c>
      <c r="R10" s="439">
        <f>+Q10</f>
        <v>1</v>
      </c>
      <c r="S10" s="441">
        <v>1</v>
      </c>
      <c r="T10" s="89">
        <f>+S10</f>
        <v>1</v>
      </c>
      <c r="U10" s="439">
        <f>+S10</f>
        <v>1</v>
      </c>
      <c r="V10" s="440">
        <v>1</v>
      </c>
      <c r="W10" s="89"/>
      <c r="X10" s="442"/>
      <c r="Y10" s="441">
        <v>1</v>
      </c>
      <c r="Z10" s="89">
        <f>+Y10</f>
        <v>1</v>
      </c>
      <c r="AA10" s="89">
        <f>+Z10</f>
        <v>1</v>
      </c>
      <c r="AB10" s="89">
        <f>+Y10</f>
        <v>1</v>
      </c>
      <c r="AC10" s="441">
        <v>1</v>
      </c>
      <c r="AD10" s="89">
        <f>+AC10</f>
        <v>1</v>
      </c>
      <c r="AE10" s="439">
        <f>+AC10</f>
        <v>1</v>
      </c>
      <c r="AF10" s="440">
        <v>1</v>
      </c>
      <c r="AG10" s="89"/>
      <c r="AH10" s="442"/>
      <c r="AI10" s="441">
        <v>1</v>
      </c>
      <c r="AJ10" s="89">
        <f>+AI10</f>
        <v>1</v>
      </c>
      <c r="AK10" s="89">
        <f>+AI10</f>
        <v>1</v>
      </c>
      <c r="AL10" s="89">
        <f>+AI10</f>
        <v>1</v>
      </c>
      <c r="AM10" s="89">
        <f>+AJ10</f>
        <v>1</v>
      </c>
      <c r="AN10" s="442">
        <f>+AI10</f>
        <v>1</v>
      </c>
      <c r="AO10" s="441">
        <v>1</v>
      </c>
      <c r="AP10" s="89">
        <f>+AO10</f>
        <v>1</v>
      </c>
      <c r="AQ10" s="89">
        <f>+AO10</f>
        <v>1</v>
      </c>
      <c r="AR10" s="89">
        <f>+AP10</f>
        <v>1</v>
      </c>
      <c r="AS10" s="442">
        <f>+AO10</f>
        <v>1</v>
      </c>
      <c r="AT10" s="441">
        <v>1</v>
      </c>
      <c r="AU10" s="89">
        <f>+AT10</f>
        <v>1</v>
      </c>
      <c r="AV10" s="89">
        <f>+AT10</f>
        <v>1</v>
      </c>
      <c r="AW10" s="89">
        <f>+AU10</f>
        <v>1</v>
      </c>
      <c r="AX10" s="442">
        <f>+AT10</f>
        <v>1</v>
      </c>
      <c r="AY10" s="441">
        <v>1</v>
      </c>
      <c r="AZ10" s="89">
        <f>+AY10</f>
        <v>1</v>
      </c>
      <c r="BA10" s="89">
        <f>+AY10</f>
        <v>1</v>
      </c>
      <c r="BB10" s="442">
        <f>+AY10</f>
        <v>1</v>
      </c>
      <c r="BC10" s="441">
        <v>1</v>
      </c>
      <c r="BD10" s="89">
        <f>+BC10</f>
        <v>1</v>
      </c>
      <c r="BE10" s="89">
        <f>+BC10</f>
        <v>1</v>
      </c>
      <c r="BF10" s="442">
        <f>+BC10</f>
        <v>1</v>
      </c>
      <c r="BG10" s="441">
        <v>1</v>
      </c>
      <c r="BH10" s="89">
        <f>+BG10</f>
        <v>1</v>
      </c>
      <c r="BI10" s="442">
        <f>+BH10</f>
        <v>1</v>
      </c>
      <c r="BJ10" s="441">
        <v>1</v>
      </c>
      <c r="BK10" s="89">
        <f>+BJ10</f>
        <v>1</v>
      </c>
      <c r="BL10" s="442">
        <f>+BK10</f>
        <v>1</v>
      </c>
      <c r="BM10" s="441">
        <v>1</v>
      </c>
      <c r="BN10" s="89">
        <f>+BM10</f>
        <v>1</v>
      </c>
      <c r="BO10" s="442">
        <f>+BN10</f>
        <v>1</v>
      </c>
      <c r="BP10" s="441">
        <v>1</v>
      </c>
      <c r="BQ10" s="89">
        <f>+BP10</f>
        <v>1</v>
      </c>
      <c r="BR10" s="442">
        <f>+BQ10</f>
        <v>1</v>
      </c>
      <c r="BS10" s="441">
        <v>1</v>
      </c>
      <c r="BT10" s="89">
        <v>1</v>
      </c>
      <c r="BU10" s="89">
        <v>1</v>
      </c>
      <c r="BV10" s="89">
        <v>1</v>
      </c>
      <c r="BW10" s="89">
        <v>1</v>
      </c>
      <c r="BX10" s="442">
        <f>+BS10</f>
        <v>1</v>
      </c>
      <c r="BY10" s="441"/>
      <c r="BZ10" s="89"/>
      <c r="CA10" s="442"/>
      <c r="CB10" s="441"/>
      <c r="CC10" s="89"/>
      <c r="CD10" s="443"/>
      <c r="CE10" s="441">
        <v>1</v>
      </c>
      <c r="CF10" s="89">
        <f>+CE10</f>
        <v>1</v>
      </c>
      <c r="CG10" s="89">
        <v>1</v>
      </c>
      <c r="CH10" s="89">
        <v>1</v>
      </c>
      <c r="CI10" s="442">
        <f>+CF10</f>
        <v>1</v>
      </c>
    </row>
    <row r="11" spans="1:87" x14ac:dyDescent="0.25">
      <c r="A11" s="397">
        <f t="shared" si="0"/>
        <v>5</v>
      </c>
      <c r="B11" s="90" t="s">
        <v>108</v>
      </c>
      <c r="C11" s="88"/>
      <c r="D11" s="447">
        <v>2004</v>
      </c>
      <c r="E11" s="444">
        <v>2004</v>
      </c>
      <c r="F11" s="444">
        <v>2007</v>
      </c>
      <c r="G11" s="445">
        <v>2016</v>
      </c>
      <c r="H11" s="446">
        <v>2004</v>
      </c>
      <c r="I11" s="444">
        <v>2004</v>
      </c>
      <c r="J11" s="444">
        <v>2007</v>
      </c>
      <c r="K11" s="444">
        <v>2010</v>
      </c>
      <c r="L11" s="445">
        <v>2016</v>
      </c>
      <c r="M11" s="446">
        <v>2004</v>
      </c>
      <c r="N11" s="444">
        <v>2004</v>
      </c>
      <c r="O11" s="444">
        <v>2007</v>
      </c>
      <c r="P11" s="444">
        <v>2008</v>
      </c>
      <c r="Q11" s="444">
        <v>2010</v>
      </c>
      <c r="R11" s="445">
        <v>2016</v>
      </c>
      <c r="S11" s="447">
        <v>2004</v>
      </c>
      <c r="T11" s="444">
        <v>2004</v>
      </c>
      <c r="U11" s="445">
        <v>2010</v>
      </c>
      <c r="V11" s="446">
        <v>2016</v>
      </c>
      <c r="W11" s="444"/>
      <c r="X11" s="448"/>
      <c r="Y11" s="446">
        <f t="shared" ref="Y11:AB15" si="1">+D11</f>
        <v>2004</v>
      </c>
      <c r="Z11" s="444">
        <f t="shared" si="1"/>
        <v>2004</v>
      </c>
      <c r="AA11" s="444">
        <f t="shared" si="1"/>
        <v>2007</v>
      </c>
      <c r="AB11" s="444">
        <f t="shared" si="1"/>
        <v>2016</v>
      </c>
      <c r="AC11" s="447">
        <v>2004</v>
      </c>
      <c r="AD11" s="444">
        <v>2004</v>
      </c>
      <c r="AE11" s="445">
        <v>2010</v>
      </c>
      <c r="AF11" s="446">
        <f>+V11</f>
        <v>2016</v>
      </c>
      <c r="AG11" s="444"/>
      <c r="AH11" s="448"/>
      <c r="AI11" s="447">
        <f t="shared" ref="AI11:AN15" si="2">+M11</f>
        <v>2004</v>
      </c>
      <c r="AJ11" s="444">
        <f t="shared" si="2"/>
        <v>2004</v>
      </c>
      <c r="AK11" s="444">
        <f t="shared" si="2"/>
        <v>2007</v>
      </c>
      <c r="AL11" s="444">
        <f t="shared" si="2"/>
        <v>2008</v>
      </c>
      <c r="AM11" s="444">
        <f t="shared" si="2"/>
        <v>2010</v>
      </c>
      <c r="AN11" s="448">
        <f t="shared" si="2"/>
        <v>2016</v>
      </c>
      <c r="AO11" s="447">
        <v>2004</v>
      </c>
      <c r="AP11" s="444">
        <v>2004</v>
      </c>
      <c r="AQ11" s="444">
        <v>2007</v>
      </c>
      <c r="AR11" s="444">
        <v>2010</v>
      </c>
      <c r="AS11" s="448">
        <v>2016</v>
      </c>
      <c r="AT11" s="447">
        <v>2006</v>
      </c>
      <c r="AU11" s="444">
        <v>2004</v>
      </c>
      <c r="AV11" s="444">
        <v>2007</v>
      </c>
      <c r="AW11" s="444">
        <v>2010</v>
      </c>
      <c r="AX11" s="448">
        <v>2016</v>
      </c>
      <c r="AY11" s="447">
        <v>2006</v>
      </c>
      <c r="AZ11" s="444">
        <f>+AY11</f>
        <v>2006</v>
      </c>
      <c r="BA11" s="444">
        <v>2008</v>
      </c>
      <c r="BB11" s="448">
        <v>2016</v>
      </c>
      <c r="BC11" s="447">
        <v>2008</v>
      </c>
      <c r="BD11" s="444">
        <v>2008</v>
      </c>
      <c r="BE11" s="444">
        <v>2009</v>
      </c>
      <c r="BF11" s="448">
        <v>2016</v>
      </c>
      <c r="BG11" s="447">
        <v>2011</v>
      </c>
      <c r="BH11" s="444">
        <v>2011</v>
      </c>
      <c r="BI11" s="448">
        <v>2016</v>
      </c>
      <c r="BJ11" s="447">
        <v>2016</v>
      </c>
      <c r="BK11" s="444"/>
      <c r="BL11" s="448"/>
      <c r="BM11" s="447">
        <v>2011</v>
      </c>
      <c r="BN11" s="444">
        <v>2011</v>
      </c>
      <c r="BO11" s="448">
        <v>2016</v>
      </c>
      <c r="BP11" s="447">
        <v>2011</v>
      </c>
      <c r="BQ11" s="444">
        <v>2011</v>
      </c>
      <c r="BR11" s="448">
        <v>2016</v>
      </c>
      <c r="BS11" s="447">
        <v>2004</v>
      </c>
      <c r="BT11" s="444">
        <v>2004</v>
      </c>
      <c r="BU11" s="444">
        <v>2006</v>
      </c>
      <c r="BV11" s="444">
        <v>2007</v>
      </c>
      <c r="BW11" s="444">
        <v>2009</v>
      </c>
      <c r="BX11" s="448">
        <v>2016</v>
      </c>
      <c r="BY11" s="447"/>
      <c r="BZ11" s="444"/>
      <c r="CA11" s="448"/>
      <c r="CB11" s="447"/>
      <c r="CC11" s="444"/>
      <c r="CD11" s="449"/>
      <c r="CE11" s="447">
        <v>2007</v>
      </c>
      <c r="CF11" s="444">
        <v>2007</v>
      </c>
      <c r="CG11" s="444">
        <v>2008</v>
      </c>
      <c r="CH11" s="444">
        <v>2010</v>
      </c>
      <c r="CI11" s="448">
        <v>2016</v>
      </c>
    </row>
    <row r="12" spans="1:87" x14ac:dyDescent="0.25">
      <c r="A12" s="397">
        <f t="shared" si="0"/>
        <v>6</v>
      </c>
      <c r="B12" s="90" t="s">
        <v>57</v>
      </c>
      <c r="C12" s="88"/>
      <c r="D12" s="447">
        <v>10</v>
      </c>
      <c r="E12" s="444">
        <v>10</v>
      </c>
      <c r="F12" s="444">
        <v>0</v>
      </c>
      <c r="G12" s="445">
        <v>0</v>
      </c>
      <c r="H12" s="446">
        <v>20</v>
      </c>
      <c r="I12" s="444">
        <v>20</v>
      </c>
      <c r="J12" s="444">
        <v>0</v>
      </c>
      <c r="K12" s="444">
        <v>0</v>
      </c>
      <c r="L12" s="445">
        <v>0</v>
      </c>
      <c r="M12" s="446">
        <v>17</v>
      </c>
      <c r="N12" s="444">
        <v>17</v>
      </c>
      <c r="O12" s="444">
        <v>0</v>
      </c>
      <c r="P12" s="444">
        <v>0</v>
      </c>
      <c r="Q12" s="444">
        <v>0</v>
      </c>
      <c r="R12" s="445">
        <v>0</v>
      </c>
      <c r="S12" s="447">
        <v>5</v>
      </c>
      <c r="T12" s="444">
        <v>5</v>
      </c>
      <c r="U12" s="445">
        <v>0</v>
      </c>
      <c r="V12" s="446">
        <v>5</v>
      </c>
      <c r="W12" s="444"/>
      <c r="X12" s="448"/>
      <c r="Y12" s="446">
        <f t="shared" si="1"/>
        <v>10</v>
      </c>
      <c r="Z12" s="444">
        <f t="shared" si="1"/>
        <v>10</v>
      </c>
      <c r="AA12" s="444">
        <f t="shared" si="1"/>
        <v>0</v>
      </c>
      <c r="AB12" s="444">
        <f t="shared" si="1"/>
        <v>0</v>
      </c>
      <c r="AC12" s="447">
        <v>5</v>
      </c>
      <c r="AD12" s="444">
        <v>5</v>
      </c>
      <c r="AE12" s="445">
        <v>0</v>
      </c>
      <c r="AF12" s="446">
        <f>+V12</f>
        <v>5</v>
      </c>
      <c r="AG12" s="444"/>
      <c r="AH12" s="448"/>
      <c r="AI12" s="447">
        <f t="shared" si="2"/>
        <v>17</v>
      </c>
      <c r="AJ12" s="444">
        <f t="shared" si="2"/>
        <v>17</v>
      </c>
      <c r="AK12" s="444">
        <f t="shared" si="2"/>
        <v>0</v>
      </c>
      <c r="AL12" s="444">
        <f t="shared" si="2"/>
        <v>0</v>
      </c>
      <c r="AM12" s="444">
        <f t="shared" si="2"/>
        <v>0</v>
      </c>
      <c r="AN12" s="448">
        <f t="shared" si="2"/>
        <v>0</v>
      </c>
      <c r="AO12" s="447">
        <v>18</v>
      </c>
      <c r="AP12" s="444">
        <v>18</v>
      </c>
      <c r="AQ12" s="444">
        <v>0</v>
      </c>
      <c r="AR12" s="444">
        <v>0</v>
      </c>
      <c r="AS12" s="448">
        <v>0</v>
      </c>
      <c r="AT12" s="447">
        <v>16</v>
      </c>
      <c r="AU12" s="444">
        <v>16</v>
      </c>
      <c r="AV12" s="444">
        <v>0</v>
      </c>
      <c r="AW12" s="444">
        <v>0</v>
      </c>
      <c r="AX12" s="448">
        <v>0</v>
      </c>
      <c r="AY12" s="447">
        <v>22</v>
      </c>
      <c r="AZ12" s="444">
        <f>+AY12</f>
        <v>22</v>
      </c>
      <c r="BA12" s="444">
        <v>0</v>
      </c>
      <c r="BB12" s="448">
        <v>0</v>
      </c>
      <c r="BC12" s="447">
        <v>15</v>
      </c>
      <c r="BD12" s="444">
        <v>15</v>
      </c>
      <c r="BE12" s="444">
        <v>0</v>
      </c>
      <c r="BF12" s="448">
        <v>0</v>
      </c>
      <c r="BG12" s="447">
        <v>9</v>
      </c>
      <c r="BH12" s="444">
        <v>9</v>
      </c>
      <c r="BI12" s="448">
        <v>0</v>
      </c>
      <c r="BJ12" s="447">
        <v>20</v>
      </c>
      <c r="BK12" s="444"/>
      <c r="BL12" s="448"/>
      <c r="BM12" s="447">
        <v>29</v>
      </c>
      <c r="BN12" s="444">
        <v>29</v>
      </c>
      <c r="BO12" s="448">
        <v>0</v>
      </c>
      <c r="BP12" s="447">
        <v>19</v>
      </c>
      <c r="BQ12" s="444">
        <v>19</v>
      </c>
      <c r="BR12" s="448">
        <v>0</v>
      </c>
      <c r="BS12" s="447">
        <v>23</v>
      </c>
      <c r="BT12" s="444">
        <v>23</v>
      </c>
      <c r="BU12" s="444">
        <v>0</v>
      </c>
      <c r="BV12" s="444">
        <v>0</v>
      </c>
      <c r="BW12" s="444">
        <v>0</v>
      </c>
      <c r="BX12" s="448">
        <v>0</v>
      </c>
      <c r="BY12" s="447"/>
      <c r="BZ12" s="444"/>
      <c r="CA12" s="448"/>
      <c r="CB12" s="447"/>
      <c r="CC12" s="444"/>
      <c r="CD12" s="449"/>
      <c r="CE12" s="447">
        <v>13</v>
      </c>
      <c r="CF12" s="444">
        <f>+CE12</f>
        <v>13</v>
      </c>
      <c r="CG12" s="444">
        <v>0</v>
      </c>
      <c r="CH12" s="444">
        <v>0</v>
      </c>
      <c r="CI12" s="448">
        <v>0</v>
      </c>
    </row>
    <row r="13" spans="1:87" x14ac:dyDescent="0.25">
      <c r="A13" s="397">
        <f t="shared" si="0"/>
        <v>7</v>
      </c>
      <c r="B13" s="90" t="s">
        <v>110</v>
      </c>
      <c r="C13" s="209">
        <f>SUM(D13:X13,AO13:BI13,BM13:CI13)</f>
        <v>10216547.139999999</v>
      </c>
      <c r="D13" s="452">
        <v>60571</v>
      </c>
      <c r="E13" s="73">
        <v>0</v>
      </c>
      <c r="F13" s="73">
        <v>0</v>
      </c>
      <c r="G13" s="450">
        <v>0</v>
      </c>
      <c r="H13" s="451">
        <v>18145</v>
      </c>
      <c r="I13" s="73">
        <v>0</v>
      </c>
      <c r="J13" s="73">
        <v>0</v>
      </c>
      <c r="K13" s="73">
        <v>0</v>
      </c>
      <c r="L13" s="450">
        <v>0</v>
      </c>
      <c r="M13" s="451">
        <v>29774</v>
      </c>
      <c r="N13" s="73">
        <v>0</v>
      </c>
      <c r="O13" s="73">
        <v>0</v>
      </c>
      <c r="P13" s="73">
        <v>0</v>
      </c>
      <c r="Q13" s="73">
        <v>0</v>
      </c>
      <c r="R13" s="450">
        <v>0</v>
      </c>
      <c r="S13" s="452">
        <v>892651</v>
      </c>
      <c r="T13" s="73">
        <v>0</v>
      </c>
      <c r="U13" s="450">
        <v>0</v>
      </c>
      <c r="V13" s="451">
        <f>+'Sub Net Book 9-16'!O5</f>
        <v>7628558.6699999999</v>
      </c>
      <c r="W13" s="73"/>
      <c r="X13" s="453"/>
      <c r="Y13" s="451">
        <f t="shared" si="1"/>
        <v>60571</v>
      </c>
      <c r="Z13" s="73">
        <f t="shared" si="1"/>
        <v>0</v>
      </c>
      <c r="AA13" s="73">
        <f t="shared" si="1"/>
        <v>0</v>
      </c>
      <c r="AB13" s="73">
        <f t="shared" si="1"/>
        <v>0</v>
      </c>
      <c r="AC13" s="452">
        <f>+S13</f>
        <v>892651</v>
      </c>
      <c r="AD13" s="73">
        <f>+T13</f>
        <v>0</v>
      </c>
      <c r="AE13" s="450">
        <f>+U13</f>
        <v>0</v>
      </c>
      <c r="AF13" s="451">
        <f>+V13</f>
        <v>7628558.6699999999</v>
      </c>
      <c r="AG13" s="73"/>
      <c r="AH13" s="453"/>
      <c r="AI13" s="452">
        <f t="shared" si="2"/>
        <v>29774</v>
      </c>
      <c r="AJ13" s="73">
        <f t="shared" si="2"/>
        <v>0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453">
        <f t="shared" si="2"/>
        <v>0</v>
      </c>
      <c r="AO13" s="452">
        <v>495</v>
      </c>
      <c r="AP13" s="73">
        <v>0</v>
      </c>
      <c r="AQ13" s="73">
        <v>0</v>
      </c>
      <c r="AR13" s="73">
        <v>0</v>
      </c>
      <c r="AS13" s="453">
        <v>0</v>
      </c>
      <c r="AT13" s="454">
        <v>122539.66</v>
      </c>
      <c r="AU13" s="73">
        <v>0</v>
      </c>
      <c r="AV13" s="73">
        <v>0</v>
      </c>
      <c r="AW13" s="73">
        <v>0</v>
      </c>
      <c r="AX13" s="453">
        <v>0</v>
      </c>
      <c r="AY13" s="454">
        <v>9399.49</v>
      </c>
      <c r="AZ13" s="73">
        <v>0</v>
      </c>
      <c r="BA13" s="73">
        <v>0</v>
      </c>
      <c r="BB13" s="453">
        <v>0</v>
      </c>
      <c r="BC13" s="454">
        <v>159055.57999999999</v>
      </c>
      <c r="BD13" s="73">
        <v>0</v>
      </c>
      <c r="BE13" s="73">
        <v>0</v>
      </c>
      <c r="BF13" s="453">
        <v>0</v>
      </c>
      <c r="BG13" s="454">
        <v>866869.03</v>
      </c>
      <c r="BH13" s="73">
        <v>0</v>
      </c>
      <c r="BI13" s="453">
        <v>0</v>
      </c>
      <c r="BJ13" s="454">
        <f>+'Sub Net Book 9-16'!J5</f>
        <v>159055.57999999999</v>
      </c>
      <c r="BK13" s="73"/>
      <c r="BL13" s="453"/>
      <c r="BM13" s="454">
        <v>6075.87</v>
      </c>
      <c r="BN13" s="73">
        <v>0</v>
      </c>
      <c r="BO13" s="453">
        <v>0</v>
      </c>
      <c r="BP13" s="454">
        <f>+'Sub Net Book 9-16'!N15</f>
        <v>144494.84</v>
      </c>
      <c r="BQ13" s="73">
        <v>0</v>
      </c>
      <c r="BR13" s="453">
        <v>0</v>
      </c>
      <c r="BS13" s="454">
        <v>7653</v>
      </c>
      <c r="BT13" s="73">
        <v>0</v>
      </c>
      <c r="BU13" s="73">
        <v>0</v>
      </c>
      <c r="BV13" s="73">
        <v>0</v>
      </c>
      <c r="BW13" s="73">
        <v>0</v>
      </c>
      <c r="BX13" s="453">
        <v>0</v>
      </c>
      <c r="BY13" s="454"/>
      <c r="BZ13" s="73"/>
      <c r="CA13" s="453"/>
      <c r="CB13" s="454"/>
      <c r="CC13" s="73"/>
      <c r="CD13" s="455"/>
      <c r="CE13" s="454">
        <v>270265</v>
      </c>
      <c r="CF13" s="73">
        <v>0</v>
      </c>
      <c r="CG13" s="73">
        <v>0</v>
      </c>
      <c r="CH13" s="73">
        <v>0</v>
      </c>
      <c r="CI13" s="453">
        <v>0</v>
      </c>
    </row>
    <row r="14" spans="1:87" x14ac:dyDescent="0.25">
      <c r="A14" s="397">
        <f t="shared" si="0"/>
        <v>8</v>
      </c>
      <c r="B14" s="90" t="s">
        <v>111</v>
      </c>
      <c r="C14" s="209">
        <f t="shared" ref="C14:C15" si="3">SUM(D14:X14,AO14:BI14,BM14:CI14)</f>
        <v>711893.96999999986</v>
      </c>
      <c r="D14" s="452">
        <v>11487</v>
      </c>
      <c r="E14" s="73">
        <v>0</v>
      </c>
      <c r="F14" s="73">
        <v>0</v>
      </c>
      <c r="G14" s="450">
        <v>0</v>
      </c>
      <c r="H14" s="451">
        <v>22218</v>
      </c>
      <c r="I14" s="73">
        <v>0</v>
      </c>
      <c r="J14" s="73">
        <v>0</v>
      </c>
      <c r="K14" s="73">
        <v>0</v>
      </c>
      <c r="L14" s="450">
        <v>0</v>
      </c>
      <c r="M14" s="451">
        <v>21385</v>
      </c>
      <c r="N14" s="73">
        <v>0</v>
      </c>
      <c r="O14" s="73">
        <v>0</v>
      </c>
      <c r="P14" s="73">
        <v>0</v>
      </c>
      <c r="Q14" s="73">
        <v>0</v>
      </c>
      <c r="R14" s="450">
        <v>0</v>
      </c>
      <c r="S14" s="452">
        <v>10576</v>
      </c>
      <c r="T14" s="73">
        <v>0</v>
      </c>
      <c r="U14" s="450">
        <v>0</v>
      </c>
      <c r="V14" s="451">
        <f>+'Sub Net Book 9-16'!O6</f>
        <v>413494.05999999994</v>
      </c>
      <c r="W14" s="73"/>
      <c r="X14" s="453"/>
      <c r="Y14" s="451">
        <f t="shared" si="1"/>
        <v>11487</v>
      </c>
      <c r="Z14" s="73">
        <f t="shared" si="1"/>
        <v>0</v>
      </c>
      <c r="AA14" s="73">
        <f t="shared" si="1"/>
        <v>0</v>
      </c>
      <c r="AB14" s="73">
        <f t="shared" si="1"/>
        <v>0</v>
      </c>
      <c r="AC14" s="452">
        <f t="shared" ref="AC14:AC15" si="4">+S14</f>
        <v>10576</v>
      </c>
      <c r="AD14" s="73">
        <f t="shared" ref="AD14:AD15" si="5">+T14</f>
        <v>0</v>
      </c>
      <c r="AE14" s="450">
        <f t="shared" ref="AE14:AE15" si="6">+U14</f>
        <v>0</v>
      </c>
      <c r="AF14" s="451">
        <f>+V14</f>
        <v>413494.05999999994</v>
      </c>
      <c r="AG14" s="73"/>
      <c r="AH14" s="453"/>
      <c r="AI14" s="452">
        <f t="shared" si="2"/>
        <v>21385</v>
      </c>
      <c r="AJ14" s="73">
        <f t="shared" si="2"/>
        <v>0</v>
      </c>
      <c r="AK14" s="73">
        <f t="shared" si="2"/>
        <v>0</v>
      </c>
      <c r="AL14" s="73">
        <f t="shared" si="2"/>
        <v>0</v>
      </c>
      <c r="AM14" s="73">
        <f t="shared" si="2"/>
        <v>0</v>
      </c>
      <c r="AN14" s="453">
        <f t="shared" si="2"/>
        <v>0</v>
      </c>
      <c r="AO14" s="452">
        <v>0</v>
      </c>
      <c r="AP14" s="73">
        <v>0</v>
      </c>
      <c r="AQ14" s="73">
        <v>0</v>
      </c>
      <c r="AR14" s="73">
        <v>0</v>
      </c>
      <c r="AS14" s="453">
        <v>0</v>
      </c>
      <c r="AT14" s="454">
        <v>35438.47</v>
      </c>
      <c r="AU14" s="73">
        <v>0</v>
      </c>
      <c r="AV14" s="73">
        <v>0</v>
      </c>
      <c r="AW14" s="73">
        <v>0</v>
      </c>
      <c r="AX14" s="453">
        <v>0</v>
      </c>
      <c r="AY14" s="454">
        <v>4084.96</v>
      </c>
      <c r="AZ14" s="73">
        <v>0</v>
      </c>
      <c r="BA14" s="73">
        <v>0</v>
      </c>
      <c r="BB14" s="453">
        <v>0</v>
      </c>
      <c r="BC14" s="454">
        <v>65943.27</v>
      </c>
      <c r="BD14" s="73">
        <v>0</v>
      </c>
      <c r="BE14" s="73">
        <v>0</v>
      </c>
      <c r="BF14" s="453">
        <v>0</v>
      </c>
      <c r="BG14" s="454">
        <v>68611.37</v>
      </c>
      <c r="BH14" s="73">
        <v>0</v>
      </c>
      <c r="BI14" s="453">
        <v>0</v>
      </c>
      <c r="BJ14" s="454">
        <f>+'Sub Net Book 9-16'!J6</f>
        <v>52191.049999999996</v>
      </c>
      <c r="BK14" s="73"/>
      <c r="BL14" s="453"/>
      <c r="BM14" s="454">
        <v>14774.08</v>
      </c>
      <c r="BN14" s="73">
        <v>0</v>
      </c>
      <c r="BO14" s="453">
        <v>0</v>
      </c>
      <c r="BP14" s="454">
        <f>+'Sub Net Book 9-16'!N16</f>
        <v>14467.76</v>
      </c>
      <c r="BQ14" s="73">
        <v>0</v>
      </c>
      <c r="BR14" s="453">
        <v>0</v>
      </c>
      <c r="BS14" s="454">
        <v>0</v>
      </c>
      <c r="BT14" s="73">
        <v>0</v>
      </c>
      <c r="BU14" s="73">
        <v>0</v>
      </c>
      <c r="BV14" s="73">
        <v>0</v>
      </c>
      <c r="BW14" s="73">
        <v>0</v>
      </c>
      <c r="BX14" s="453">
        <v>0</v>
      </c>
      <c r="BY14" s="454"/>
      <c r="BZ14" s="73"/>
      <c r="CA14" s="453"/>
      <c r="CB14" s="454"/>
      <c r="CC14" s="73"/>
      <c r="CD14" s="455"/>
      <c r="CE14" s="454">
        <v>29414</v>
      </c>
      <c r="CF14" s="73">
        <v>0</v>
      </c>
      <c r="CG14" s="73">
        <v>0</v>
      </c>
      <c r="CH14" s="73">
        <v>0</v>
      </c>
      <c r="CI14" s="453">
        <v>0</v>
      </c>
    </row>
    <row r="15" spans="1:87" x14ac:dyDescent="0.25">
      <c r="A15" s="397">
        <f t="shared" si="0"/>
        <v>9</v>
      </c>
      <c r="B15" s="90" t="s">
        <v>112</v>
      </c>
      <c r="C15" s="209">
        <f t="shared" si="3"/>
        <v>26809574.400000002</v>
      </c>
      <c r="D15" s="452">
        <v>1403836</v>
      </c>
      <c r="E15" s="73">
        <f>+'Sub Net Book 9-16'!B8-SUM('Distribution Subs 2017'!D13:D15,'Distribution Subs 2017'!F13:G15)</f>
        <v>-465410.10999999987</v>
      </c>
      <c r="F15" s="73">
        <v>6869.39</v>
      </c>
      <c r="G15" s="450">
        <v>363289.33999999997</v>
      </c>
      <c r="H15" s="451">
        <v>301777</v>
      </c>
      <c r="I15" s="73">
        <f>+'Sub Net Book 9-16'!C8-SUM('Distribution Subs 2017'!H13:H15,'Distribution Subs 2017'!J15:L15)</f>
        <v>794405.2799999998</v>
      </c>
      <c r="J15" s="73">
        <v>63080.1</v>
      </c>
      <c r="K15" s="73">
        <v>133496.34000000003</v>
      </c>
      <c r="L15" s="450">
        <v>77245.759999999995</v>
      </c>
      <c r="M15" s="451">
        <v>584437</v>
      </c>
      <c r="N15" s="73">
        <f>+'Sub Net Book 9-16'!D8-SUM('Distribution Subs 2017'!M13:M15,'Distribution Subs 2017'!O15:R15)</f>
        <v>-411985.39000000013</v>
      </c>
      <c r="O15" s="73">
        <v>10462.09</v>
      </c>
      <c r="P15" s="73">
        <v>742364.67</v>
      </c>
      <c r="Q15" s="73">
        <v>113758</v>
      </c>
      <c r="R15" s="450">
        <v>25135.8</v>
      </c>
      <c r="S15" s="452">
        <v>2982377</v>
      </c>
      <c r="T15" s="73">
        <f>+'Sub Net Book 9-16'!$E$8-SUM('Distribution Subs 2017'!S13:S15,'Distribution Subs 2017'!U13:U15)</f>
        <v>612819.93999999994</v>
      </c>
      <c r="U15" s="450">
        <v>64238.19</v>
      </c>
      <c r="V15" s="451">
        <f>+'Sub Net Book 9-16'!O7</f>
        <v>9292580.8399999999</v>
      </c>
      <c r="W15" s="73"/>
      <c r="X15" s="453"/>
      <c r="Y15" s="451">
        <f t="shared" si="1"/>
        <v>1403836</v>
      </c>
      <c r="Z15" s="73">
        <f t="shared" si="1"/>
        <v>-465410.10999999987</v>
      </c>
      <c r="AA15" s="73">
        <f t="shared" si="1"/>
        <v>6869.39</v>
      </c>
      <c r="AB15" s="73">
        <f t="shared" si="1"/>
        <v>363289.33999999997</v>
      </c>
      <c r="AC15" s="452">
        <f t="shared" si="4"/>
        <v>2982377</v>
      </c>
      <c r="AD15" s="73">
        <f t="shared" si="5"/>
        <v>612819.93999999994</v>
      </c>
      <c r="AE15" s="450">
        <f t="shared" si="6"/>
        <v>64238.19</v>
      </c>
      <c r="AF15" s="451">
        <f>+V15</f>
        <v>9292580.8399999999</v>
      </c>
      <c r="AG15" s="73"/>
      <c r="AH15" s="453"/>
      <c r="AI15" s="452">
        <f t="shared" si="2"/>
        <v>584437</v>
      </c>
      <c r="AJ15" s="73">
        <f t="shared" si="2"/>
        <v>-411985.39000000013</v>
      </c>
      <c r="AK15" s="73">
        <f t="shared" si="2"/>
        <v>10462.09</v>
      </c>
      <c r="AL15" s="73">
        <f t="shared" si="2"/>
        <v>742364.67</v>
      </c>
      <c r="AM15" s="73">
        <f t="shared" si="2"/>
        <v>113758</v>
      </c>
      <c r="AN15" s="453">
        <f t="shared" si="2"/>
        <v>25135.8</v>
      </c>
      <c r="AO15" s="452">
        <v>454726</v>
      </c>
      <c r="AP15" s="73">
        <f>+'Sub Net Book 9-16'!F8-SUM('Distribution Subs 2017'!AO13:AO15,'Distribution Subs 2017'!AQ13:AS15)</f>
        <v>-442435.75000000023</v>
      </c>
      <c r="AQ15" s="73">
        <v>30229.73</v>
      </c>
      <c r="AR15" s="73">
        <v>393606.84</v>
      </c>
      <c r="AS15" s="453">
        <v>235121.3</v>
      </c>
      <c r="AT15" s="454">
        <v>586039.74</v>
      </c>
      <c r="AU15" s="73">
        <f>+'Sub Net Book 9-16'!G8-SUM('Distribution Subs 2017'!AT13:AT15,'Distribution Subs 2017'!AV15:AX15)</f>
        <v>-551929.5199999999</v>
      </c>
      <c r="AV15" s="73">
        <v>92574.71</v>
      </c>
      <c r="AW15" s="73">
        <v>479614.37</v>
      </c>
      <c r="AX15" s="453">
        <v>10526</v>
      </c>
      <c r="AY15" s="454">
        <v>173247.09</v>
      </c>
      <c r="AZ15" s="73">
        <f>+'Sub Net Book 9-16'!H8-SUM('Distribution Subs 2017'!AY13:AY15,'Distribution Subs 2017'!BA13:BB15)</f>
        <v>12418.340000000084</v>
      </c>
      <c r="BA15" s="73">
        <v>6263.7699999998731</v>
      </c>
      <c r="BB15" s="453">
        <v>14122.66</v>
      </c>
      <c r="BC15" s="454">
        <v>1896922.69</v>
      </c>
      <c r="BD15" s="73">
        <f>+'Sub Net Book 9-16'!J8-SUM('Distribution Subs 2017'!BC13:BC15,'Distribution Subs 2017'!BE15:BF15)</f>
        <v>-1154092.1600000006</v>
      </c>
      <c r="BE15" s="73">
        <v>1019332.6100000003</v>
      </c>
      <c r="BF15" s="453">
        <v>466204.64999999997</v>
      </c>
      <c r="BG15" s="454">
        <v>4621091.5300000012</v>
      </c>
      <c r="BH15" s="73">
        <f>+'Sub Net Book 9-16'!K8-SUM('Distribution Subs 2017'!BG13:BG15,'Distribution Subs 2017'!BI13:BI15)</f>
        <v>-655286.34000000171</v>
      </c>
      <c r="BI15" s="453">
        <v>100642.87</v>
      </c>
      <c r="BJ15" s="454">
        <f>+'Sub Net Book 9-16'!J7</f>
        <v>2242120.0099999998</v>
      </c>
      <c r="BK15" s="73"/>
      <c r="BL15" s="453"/>
      <c r="BM15" s="454">
        <v>123960.59999999998</v>
      </c>
      <c r="BN15" s="73">
        <f>+'Sub Net Book 9-16'!L8-SUM('Distribution Subs 2017'!BM13:BM15,'Distribution Subs 2017'!BO13:BO15)</f>
        <v>-832883.33</v>
      </c>
      <c r="BO15" s="453">
        <v>1253632.1599999999</v>
      </c>
      <c r="BP15" s="454">
        <f>+'Sub Net Book 9-16'!N17</f>
        <v>735249.49</v>
      </c>
      <c r="BQ15" s="73">
        <f>+'Sub Net Book 9-16'!M8-SUM('Distribution Subs 2017'!BP13:BP15,'Distribution Subs 2017'!BR13:BR15)</f>
        <v>-85077.739999999991</v>
      </c>
      <c r="BR15" s="453">
        <v>15500.310000000001</v>
      </c>
      <c r="BS15" s="454">
        <v>304965</v>
      </c>
      <c r="BT15" s="73">
        <f>+'Sub Net Book 9-16'!N8-SUM('Distribution Subs 2017'!BS13:BS15,'Distribution Subs 2017'!BU15:BX15)</f>
        <v>-112532.85999999999</v>
      </c>
      <c r="BU15" s="73">
        <v>59021</v>
      </c>
      <c r="BV15" s="73">
        <v>84990</v>
      </c>
      <c r="BW15" s="73">
        <v>709</v>
      </c>
      <c r="BX15" s="453">
        <v>24207.739999999998</v>
      </c>
      <c r="BY15" s="454"/>
      <c r="BZ15" s="73"/>
      <c r="CA15" s="453"/>
      <c r="CB15" s="454"/>
      <c r="CC15" s="73"/>
      <c r="CD15" s="455"/>
      <c r="CE15" s="454">
        <v>995224</v>
      </c>
      <c r="CF15" s="73">
        <v>-241130</v>
      </c>
      <c r="CG15" s="73">
        <v>16908</v>
      </c>
      <c r="CH15" s="73">
        <v>191164</v>
      </c>
      <c r="CI15" s="453">
        <f>+'Sub Net Book 9-16'!I8-SUM('Distribution Subs 2017'!CE13:CH15)</f>
        <v>-208051.33999999985</v>
      </c>
    </row>
    <row r="16" spans="1:87" x14ac:dyDescent="0.25">
      <c r="A16" s="397">
        <f t="shared" si="0"/>
        <v>10</v>
      </c>
      <c r="B16" s="90"/>
      <c r="C16" s="91"/>
      <c r="D16" s="452"/>
      <c r="E16" s="73"/>
      <c r="F16" s="73"/>
      <c r="G16" s="450"/>
      <c r="H16" s="451"/>
      <c r="I16" s="73"/>
      <c r="J16" s="73"/>
      <c r="K16" s="73"/>
      <c r="L16" s="450"/>
      <c r="M16" s="451"/>
      <c r="N16" s="73"/>
      <c r="O16" s="73"/>
      <c r="P16" s="73"/>
      <c r="Q16" s="73"/>
      <c r="R16" s="450"/>
      <c r="S16" s="452"/>
      <c r="T16" s="73"/>
      <c r="U16" s="450"/>
      <c r="V16" s="451"/>
      <c r="W16" s="73"/>
      <c r="X16" s="453"/>
      <c r="Y16" s="451"/>
      <c r="Z16" s="73"/>
      <c r="AA16" s="73"/>
      <c r="AB16" s="73"/>
      <c r="AC16" s="452"/>
      <c r="AD16" s="73"/>
      <c r="AE16" s="450"/>
      <c r="AF16" s="451"/>
      <c r="AG16" s="73"/>
      <c r="AH16" s="453"/>
      <c r="AI16" s="452"/>
      <c r="AJ16" s="73"/>
      <c r="AK16" s="73"/>
      <c r="AL16" s="73"/>
      <c r="AM16" s="73"/>
      <c r="AN16" s="453"/>
      <c r="AO16" s="452"/>
      <c r="AP16" s="73"/>
      <c r="AQ16" s="73"/>
      <c r="AR16" s="73"/>
      <c r="AS16" s="453"/>
      <c r="AT16" s="454"/>
      <c r="AU16" s="73"/>
      <c r="AV16" s="73"/>
      <c r="AW16" s="73"/>
      <c r="AX16" s="453"/>
      <c r="AY16" s="454"/>
      <c r="AZ16" s="73"/>
      <c r="BA16" s="73"/>
      <c r="BB16" s="453"/>
      <c r="BC16" s="454"/>
      <c r="BD16" s="73"/>
      <c r="BE16" s="73"/>
      <c r="BF16" s="453"/>
      <c r="BG16" s="454"/>
      <c r="BH16" s="73"/>
      <c r="BI16" s="453"/>
      <c r="BJ16" s="454"/>
      <c r="BK16" s="73"/>
      <c r="BL16" s="453"/>
      <c r="BM16" s="454"/>
      <c r="BN16" s="73"/>
      <c r="BO16" s="453"/>
      <c r="BP16" s="454"/>
      <c r="BQ16" s="73"/>
      <c r="BR16" s="453"/>
      <c r="BS16" s="454"/>
      <c r="BT16" s="73"/>
      <c r="BU16" s="73"/>
      <c r="BV16" s="73"/>
      <c r="BW16" s="73"/>
      <c r="BX16" s="453"/>
      <c r="BY16" s="454"/>
      <c r="BZ16" s="73"/>
      <c r="CA16" s="453"/>
      <c r="CB16" s="454"/>
      <c r="CC16" s="73"/>
      <c r="CD16" s="455"/>
      <c r="CE16" s="454"/>
      <c r="CF16" s="73"/>
      <c r="CG16" s="73"/>
      <c r="CH16" s="73"/>
      <c r="CI16" s="453"/>
    </row>
    <row r="17" spans="1:87" x14ac:dyDescent="0.25">
      <c r="A17" s="397">
        <f t="shared" si="0"/>
        <v>11</v>
      </c>
      <c r="B17" s="90" t="s">
        <v>39</v>
      </c>
      <c r="C17" s="88"/>
      <c r="D17" s="459">
        <f ca="1">+'2017 FCR Rates'!$B$4</f>
        <v>9.1354726579609066E-2</v>
      </c>
      <c r="E17" s="456">
        <f t="shared" ref="E17:BX17" ca="1" si="7">+$D$17</f>
        <v>9.1354726579609066E-2</v>
      </c>
      <c r="F17" s="456">
        <f t="shared" ca="1" si="7"/>
        <v>9.1354726579609066E-2</v>
      </c>
      <c r="G17" s="457">
        <f t="shared" ca="1" si="7"/>
        <v>9.1354726579609066E-2</v>
      </c>
      <c r="H17" s="458">
        <f t="shared" ca="1" si="7"/>
        <v>9.1354726579609066E-2</v>
      </c>
      <c r="I17" s="456">
        <f t="shared" ca="1" si="7"/>
        <v>9.1354726579609066E-2</v>
      </c>
      <c r="J17" s="456">
        <f t="shared" ca="1" si="7"/>
        <v>9.1354726579609066E-2</v>
      </c>
      <c r="K17" s="456">
        <f t="shared" ca="1" si="7"/>
        <v>9.1354726579609066E-2</v>
      </c>
      <c r="L17" s="457">
        <f t="shared" ca="1" si="7"/>
        <v>9.1354726579609066E-2</v>
      </c>
      <c r="M17" s="458">
        <f t="shared" ca="1" si="7"/>
        <v>9.1354726579609066E-2</v>
      </c>
      <c r="N17" s="456">
        <f t="shared" ca="1" si="7"/>
        <v>9.1354726579609066E-2</v>
      </c>
      <c r="O17" s="456">
        <f t="shared" ca="1" si="7"/>
        <v>9.1354726579609066E-2</v>
      </c>
      <c r="P17" s="456">
        <f t="shared" ca="1" si="7"/>
        <v>9.1354726579609066E-2</v>
      </c>
      <c r="Q17" s="456">
        <f t="shared" ca="1" si="7"/>
        <v>9.1354726579609066E-2</v>
      </c>
      <c r="R17" s="457">
        <f t="shared" ca="1" si="7"/>
        <v>9.1354726579609066E-2</v>
      </c>
      <c r="S17" s="459">
        <f t="shared" ca="1" si="7"/>
        <v>9.1354726579609066E-2</v>
      </c>
      <c r="T17" s="456">
        <f t="shared" ca="1" si="7"/>
        <v>9.1354726579609066E-2</v>
      </c>
      <c r="U17" s="457">
        <f t="shared" ca="1" si="7"/>
        <v>9.1354726579609066E-2</v>
      </c>
      <c r="V17" s="458">
        <f t="shared" ca="1" si="7"/>
        <v>9.1354726579609066E-2</v>
      </c>
      <c r="W17" s="456"/>
      <c r="X17" s="460"/>
      <c r="Y17" s="458">
        <f t="shared" ca="1" si="7"/>
        <v>9.1354726579609066E-2</v>
      </c>
      <c r="Z17" s="456">
        <f t="shared" ca="1" si="7"/>
        <v>9.1354726579609066E-2</v>
      </c>
      <c r="AA17" s="456">
        <f t="shared" ca="1" si="7"/>
        <v>9.1354726579609066E-2</v>
      </c>
      <c r="AB17" s="456">
        <f t="shared" ca="1" si="7"/>
        <v>9.1354726579609066E-2</v>
      </c>
      <c r="AC17" s="459">
        <f t="shared" ca="1" si="7"/>
        <v>9.1354726579609066E-2</v>
      </c>
      <c r="AD17" s="456">
        <f t="shared" ca="1" si="7"/>
        <v>9.1354726579609066E-2</v>
      </c>
      <c r="AE17" s="457">
        <f t="shared" ca="1" si="7"/>
        <v>9.1354726579609066E-2</v>
      </c>
      <c r="AF17" s="458">
        <f t="shared" ca="1" si="7"/>
        <v>9.1354726579609066E-2</v>
      </c>
      <c r="AG17" s="456"/>
      <c r="AH17" s="460"/>
      <c r="AI17" s="459">
        <f t="shared" ca="1" si="7"/>
        <v>9.1354726579609066E-2</v>
      </c>
      <c r="AJ17" s="456">
        <f t="shared" ca="1" si="7"/>
        <v>9.1354726579609066E-2</v>
      </c>
      <c r="AK17" s="456">
        <f t="shared" ca="1" si="7"/>
        <v>9.1354726579609066E-2</v>
      </c>
      <c r="AL17" s="456">
        <f t="shared" ca="1" si="7"/>
        <v>9.1354726579609066E-2</v>
      </c>
      <c r="AM17" s="456">
        <f t="shared" ca="1" si="7"/>
        <v>9.1354726579609066E-2</v>
      </c>
      <c r="AN17" s="460">
        <f t="shared" ca="1" si="7"/>
        <v>9.1354726579609066E-2</v>
      </c>
      <c r="AO17" s="459">
        <f t="shared" ca="1" si="7"/>
        <v>9.1354726579609066E-2</v>
      </c>
      <c r="AP17" s="456">
        <f t="shared" ca="1" si="7"/>
        <v>9.1354726579609066E-2</v>
      </c>
      <c r="AQ17" s="456">
        <f t="shared" ca="1" si="7"/>
        <v>9.1354726579609066E-2</v>
      </c>
      <c r="AR17" s="456">
        <f t="shared" ca="1" si="7"/>
        <v>9.1354726579609066E-2</v>
      </c>
      <c r="AS17" s="460">
        <f t="shared" ca="1" si="7"/>
        <v>9.1354726579609066E-2</v>
      </c>
      <c r="AT17" s="459">
        <f t="shared" ca="1" si="7"/>
        <v>9.1354726579609066E-2</v>
      </c>
      <c r="AU17" s="456">
        <f t="shared" ca="1" si="7"/>
        <v>9.1354726579609066E-2</v>
      </c>
      <c r="AV17" s="456">
        <f t="shared" ca="1" si="7"/>
        <v>9.1354726579609066E-2</v>
      </c>
      <c r="AW17" s="456">
        <f t="shared" ca="1" si="7"/>
        <v>9.1354726579609066E-2</v>
      </c>
      <c r="AX17" s="460">
        <f t="shared" ca="1" si="7"/>
        <v>9.1354726579609066E-2</v>
      </c>
      <c r="AY17" s="459">
        <f t="shared" ca="1" si="7"/>
        <v>9.1354726579609066E-2</v>
      </c>
      <c r="AZ17" s="456">
        <f t="shared" ca="1" si="7"/>
        <v>9.1354726579609066E-2</v>
      </c>
      <c r="BA17" s="456">
        <f t="shared" ca="1" si="7"/>
        <v>9.1354726579609066E-2</v>
      </c>
      <c r="BB17" s="460">
        <f t="shared" ca="1" si="7"/>
        <v>9.1354726579609066E-2</v>
      </c>
      <c r="BC17" s="459">
        <f t="shared" ca="1" si="7"/>
        <v>9.1354726579609066E-2</v>
      </c>
      <c r="BD17" s="456">
        <f t="shared" ca="1" si="7"/>
        <v>9.1354726579609066E-2</v>
      </c>
      <c r="BE17" s="456">
        <f t="shared" ca="1" si="7"/>
        <v>9.1354726579609066E-2</v>
      </c>
      <c r="BF17" s="460">
        <f t="shared" ca="1" si="7"/>
        <v>9.1354726579609066E-2</v>
      </c>
      <c r="BG17" s="459">
        <f t="shared" ca="1" si="7"/>
        <v>9.1354726579609066E-2</v>
      </c>
      <c r="BH17" s="456">
        <f t="shared" ca="1" si="7"/>
        <v>9.1354726579609066E-2</v>
      </c>
      <c r="BI17" s="460">
        <f t="shared" ca="1" si="7"/>
        <v>9.1354726579609066E-2</v>
      </c>
      <c r="BJ17" s="459">
        <f t="shared" ca="1" si="7"/>
        <v>9.1354726579609066E-2</v>
      </c>
      <c r="BK17" s="456"/>
      <c r="BL17" s="460"/>
      <c r="BM17" s="459">
        <f t="shared" ca="1" si="7"/>
        <v>9.1354726579609066E-2</v>
      </c>
      <c r="BN17" s="456">
        <f t="shared" ca="1" si="7"/>
        <v>9.1354726579609066E-2</v>
      </c>
      <c r="BO17" s="460">
        <f t="shared" ca="1" si="7"/>
        <v>9.1354726579609066E-2</v>
      </c>
      <c r="BP17" s="459">
        <f t="shared" ca="1" si="7"/>
        <v>9.1354726579609066E-2</v>
      </c>
      <c r="BQ17" s="456">
        <f t="shared" ca="1" si="7"/>
        <v>9.1354726579609066E-2</v>
      </c>
      <c r="BR17" s="460">
        <f t="shared" ca="1" si="7"/>
        <v>9.1354726579609066E-2</v>
      </c>
      <c r="BS17" s="459">
        <f t="shared" ca="1" si="7"/>
        <v>9.1354726579609066E-2</v>
      </c>
      <c r="BT17" s="456">
        <f t="shared" ca="1" si="7"/>
        <v>9.1354726579609066E-2</v>
      </c>
      <c r="BU17" s="456">
        <f t="shared" ca="1" si="7"/>
        <v>9.1354726579609066E-2</v>
      </c>
      <c r="BV17" s="456">
        <f t="shared" ca="1" si="7"/>
        <v>9.1354726579609066E-2</v>
      </c>
      <c r="BW17" s="456">
        <f t="shared" ca="1" si="7"/>
        <v>9.1354726579609066E-2</v>
      </c>
      <c r="BX17" s="460">
        <f t="shared" ca="1" si="7"/>
        <v>9.1354726579609066E-2</v>
      </c>
      <c r="BY17" s="459"/>
      <c r="BZ17" s="456"/>
      <c r="CA17" s="460"/>
      <c r="CB17" s="459"/>
      <c r="CC17" s="456"/>
      <c r="CD17" s="461"/>
      <c r="CE17" s="459">
        <f t="shared" ref="CE17:CI17" ca="1" si="8">+$D$17</f>
        <v>9.1354726579609066E-2</v>
      </c>
      <c r="CF17" s="456">
        <f t="shared" ca="1" si="8"/>
        <v>9.1354726579609066E-2</v>
      </c>
      <c r="CG17" s="456">
        <f t="shared" ca="1" si="8"/>
        <v>9.1354726579609066E-2</v>
      </c>
      <c r="CH17" s="456">
        <f t="shared" ca="1" si="8"/>
        <v>9.1354726579609066E-2</v>
      </c>
      <c r="CI17" s="460">
        <f t="shared" ca="1" si="8"/>
        <v>9.1354726579609066E-2</v>
      </c>
    </row>
    <row r="18" spans="1:87" x14ac:dyDescent="0.25">
      <c r="A18" s="397">
        <f t="shared" si="0"/>
        <v>12</v>
      </c>
      <c r="B18" s="90" t="s">
        <v>40</v>
      </c>
      <c r="C18" s="88"/>
      <c r="D18" s="459">
        <f ca="1">VLOOKUP(D12,'2017 FCR Rates'!$A$4:$D$53,4)</f>
        <v>9.6526560247679818E-2</v>
      </c>
      <c r="E18" s="456">
        <f ca="1">VLOOKUP(E12,'2017 FCR Rates'!$A$4:$D$53,4)</f>
        <v>9.6526560247679818E-2</v>
      </c>
      <c r="F18" s="456">
        <f ca="1">VLOOKUP(F12,'2017 FCR Rates'!$A$4:$D$53,4)</f>
        <v>0.10055297513164314</v>
      </c>
      <c r="G18" s="457">
        <f ca="1">VLOOKUP(G12,'2017 FCR Rates'!$A$4:$D$53,4)</f>
        <v>0.10055297513164314</v>
      </c>
      <c r="H18" s="458">
        <f ca="1">VLOOKUP(H12,'2017 FCR Rates'!$A$4:$D$53,4)</f>
        <v>9.8998192437485213E-2</v>
      </c>
      <c r="I18" s="456">
        <f ca="1">VLOOKUP(I12,'2017 FCR Rates'!$A$4:$D$53,4)</f>
        <v>9.8998192437485213E-2</v>
      </c>
      <c r="J18" s="456">
        <f ca="1">VLOOKUP(J12,'2017 FCR Rates'!$A$4:$D$53,4)</f>
        <v>0.10055297513164314</v>
      </c>
      <c r="K18" s="456">
        <f ca="1">VLOOKUP(K12,'2017 FCR Rates'!$A$4:$D$53,4)</f>
        <v>0.10055297513164314</v>
      </c>
      <c r="L18" s="457">
        <f ca="1">VLOOKUP(L12,'2017 FCR Rates'!$A$4:$D$53,4)</f>
        <v>0.10055297513164314</v>
      </c>
      <c r="M18" s="458">
        <f ca="1">VLOOKUP(M12,'2017 FCR Rates'!$A$4:$D$53,4)</f>
        <v>9.6460834414242094E-2</v>
      </c>
      <c r="N18" s="456">
        <f ca="1">VLOOKUP(N12,'2017 FCR Rates'!$A$4:$D$53,4)</f>
        <v>9.6460834414242094E-2</v>
      </c>
      <c r="O18" s="456">
        <f ca="1">VLOOKUP(O12,'2017 FCR Rates'!$A$4:$D$53,4)</f>
        <v>0.10055297513164314</v>
      </c>
      <c r="P18" s="456">
        <f ca="1">VLOOKUP(P12,'2017 FCR Rates'!$A$4:$D$53,4)</f>
        <v>0.10055297513164314</v>
      </c>
      <c r="Q18" s="456">
        <f ca="1">VLOOKUP(Q12,'2017 FCR Rates'!$A$4:$D$53,4)</f>
        <v>0.10055297513164314</v>
      </c>
      <c r="R18" s="457">
        <f ca="1">VLOOKUP(R12,'2017 FCR Rates'!$A$4:$D$53,4)</f>
        <v>0.10055297513164314</v>
      </c>
      <c r="S18" s="459">
        <f ca="1">VLOOKUP(S12,'2017 FCR Rates'!$A$4:$D$53,4)</f>
        <v>9.8572141687167159E-2</v>
      </c>
      <c r="T18" s="456">
        <f ca="1">VLOOKUP(T12,'2017 FCR Rates'!$A$4:$D$53,4)</f>
        <v>9.8572141687167159E-2</v>
      </c>
      <c r="U18" s="457">
        <f ca="1">VLOOKUP(U12,'2017 FCR Rates'!$A$4:$D$53,4)</f>
        <v>0.10055297513164314</v>
      </c>
      <c r="V18" s="458">
        <f ca="1">VLOOKUP(V12,'2017 FCR Rates'!$A$4:$D$53,4)</f>
        <v>9.8572141687167159E-2</v>
      </c>
      <c r="W18" s="456"/>
      <c r="X18" s="460"/>
      <c r="Y18" s="458">
        <f ca="1">VLOOKUP(Y12,'2017 FCR Rates'!$A$4:$D$53,4)</f>
        <v>9.6526560247679818E-2</v>
      </c>
      <c r="Z18" s="456">
        <f ca="1">VLOOKUP(Z12,'2017 FCR Rates'!$A$4:$D$53,4)</f>
        <v>9.6526560247679818E-2</v>
      </c>
      <c r="AA18" s="456">
        <f ca="1">VLOOKUP(AA12,'2017 FCR Rates'!$A$4:$D$53,4)</f>
        <v>0.10055297513164314</v>
      </c>
      <c r="AB18" s="456">
        <f ca="1">VLOOKUP(AB12,'2017 FCR Rates'!$A$4:$D$53,4)</f>
        <v>0.10055297513164314</v>
      </c>
      <c r="AC18" s="459">
        <f ca="1">VLOOKUP(AC12,'2017 FCR Rates'!$A$4:$D$53,4)</f>
        <v>9.8572141687167159E-2</v>
      </c>
      <c r="AD18" s="456">
        <f ca="1">VLOOKUP(AD12,'2017 FCR Rates'!$A$4:$D$53,4)</f>
        <v>9.8572141687167159E-2</v>
      </c>
      <c r="AE18" s="457">
        <f ca="1">VLOOKUP(AE12,'2017 FCR Rates'!$A$4:$D$53,4)</f>
        <v>0.10055297513164314</v>
      </c>
      <c r="AF18" s="458">
        <f ca="1">VLOOKUP(AF12,'2017 FCR Rates'!$A$4:$D$53,4)</f>
        <v>9.8572141687167159E-2</v>
      </c>
      <c r="AG18" s="456"/>
      <c r="AH18" s="460"/>
      <c r="AI18" s="459">
        <f ca="1">VLOOKUP(AI12,'2017 FCR Rates'!$A$4:$D$53,4)</f>
        <v>9.6460834414242094E-2</v>
      </c>
      <c r="AJ18" s="456">
        <f ca="1">VLOOKUP(AJ12,'2017 FCR Rates'!$A$4:$D$53,4)</f>
        <v>9.6460834414242094E-2</v>
      </c>
      <c r="AK18" s="456">
        <f ca="1">VLOOKUP(AK12,'2017 FCR Rates'!$A$4:$D$53,4)</f>
        <v>0.10055297513164314</v>
      </c>
      <c r="AL18" s="456">
        <f ca="1">VLOOKUP(AL12,'2017 FCR Rates'!$A$4:$D$53,4)</f>
        <v>0.10055297513164314</v>
      </c>
      <c r="AM18" s="456">
        <f ca="1">VLOOKUP(AM12,'2017 FCR Rates'!$A$4:$D$53,4)</f>
        <v>0.10055297513164314</v>
      </c>
      <c r="AN18" s="460">
        <f ca="1">VLOOKUP(AN12,'2017 FCR Rates'!$A$4:$D$53,4)</f>
        <v>0.10055297513164314</v>
      </c>
      <c r="AO18" s="459">
        <f ca="1">VLOOKUP(AO12,'2017 FCR Rates'!$A$4:$D$53,4)</f>
        <v>9.7060703781840674E-2</v>
      </c>
      <c r="AP18" s="456">
        <f ca="1">VLOOKUP(AP12,'2017 FCR Rates'!$A$4:$D$53,4)</f>
        <v>9.7060703781840674E-2</v>
      </c>
      <c r="AQ18" s="456">
        <f ca="1">VLOOKUP(AQ12,'2017 FCR Rates'!$A$4:$D$53,4)</f>
        <v>0.10055297513164314</v>
      </c>
      <c r="AR18" s="456">
        <f ca="1">VLOOKUP(AR12,'2017 FCR Rates'!$A$4:$D$53,4)</f>
        <v>0.10055297513164314</v>
      </c>
      <c r="AS18" s="460">
        <f ca="1">VLOOKUP(AS12,'2017 FCR Rates'!$A$4:$D$53,4)</f>
        <v>0.10055297513164314</v>
      </c>
      <c r="AT18" s="459">
        <f ca="1">VLOOKUP(AT12,'2017 FCR Rates'!$A$4:$D$53,4)</f>
        <v>9.6060249776773785E-2</v>
      </c>
      <c r="AU18" s="456">
        <f ca="1">VLOOKUP(AU12,'2017 FCR Rates'!$A$4:$D$53,4)</f>
        <v>9.6060249776773785E-2</v>
      </c>
      <c r="AV18" s="456">
        <f ca="1">VLOOKUP(AV12,'2017 FCR Rates'!$A$4:$D$53,4)</f>
        <v>0.10055297513164314</v>
      </c>
      <c r="AW18" s="456">
        <f ca="1">VLOOKUP(AW12,'2017 FCR Rates'!$A$4:$D$53,4)</f>
        <v>0.10055297513164314</v>
      </c>
      <c r="AX18" s="460">
        <f ca="1">VLOOKUP(AX12,'2017 FCR Rates'!$A$4:$D$53,4)</f>
        <v>0.10055297513164314</v>
      </c>
      <c r="AY18" s="459">
        <f ca="1">VLOOKUP(AY12,'2017 FCR Rates'!$A$4:$D$53,4)</f>
        <v>0.10107637450967134</v>
      </c>
      <c r="AZ18" s="456">
        <f ca="1">VLOOKUP(AZ12,'2017 FCR Rates'!$A$4:$D$53,4)</f>
        <v>0.10107637450967134</v>
      </c>
      <c r="BA18" s="456">
        <f ca="1">VLOOKUP(BA12,'2017 FCR Rates'!$A$4:$D$53,4)</f>
        <v>0.10055297513164314</v>
      </c>
      <c r="BB18" s="460">
        <f ca="1">VLOOKUP(BB12,'2017 FCR Rates'!$A$4:$D$53,4)</f>
        <v>0.10055297513164314</v>
      </c>
      <c r="BC18" s="459">
        <f ca="1">VLOOKUP(BC12,'2017 FCR Rates'!$A$4:$D$53,4)</f>
        <v>9.5830196396109957E-2</v>
      </c>
      <c r="BD18" s="456">
        <f ca="1">VLOOKUP(BD12,'2017 FCR Rates'!$A$4:$D$53,4)</f>
        <v>9.5830196396109957E-2</v>
      </c>
      <c r="BE18" s="456">
        <f ca="1">VLOOKUP(BE12,'2017 FCR Rates'!$A$4:$D$53,4)</f>
        <v>0.10055297513164314</v>
      </c>
      <c r="BF18" s="460">
        <f ca="1">VLOOKUP(BF12,'2017 FCR Rates'!$A$4:$D$53,4)</f>
        <v>0.10055297513164314</v>
      </c>
      <c r="BG18" s="459">
        <f ca="1">VLOOKUP(BG12,'2017 FCR Rates'!$A$4:$D$53,4)</f>
        <v>9.6986081373603553E-2</v>
      </c>
      <c r="BH18" s="456">
        <f ca="1">VLOOKUP(BH12,'2017 FCR Rates'!$A$4:$D$53,4)</f>
        <v>9.6986081373603553E-2</v>
      </c>
      <c r="BI18" s="460">
        <f ca="1">VLOOKUP(BI12,'2017 FCR Rates'!$A$4:$D$53,4)</f>
        <v>0.10055297513164314</v>
      </c>
      <c r="BJ18" s="459">
        <f ca="1">VLOOKUP(BJ12,'2017 FCR Rates'!$A$4:$D$53,4)</f>
        <v>9.8998192437485213E-2</v>
      </c>
      <c r="BK18" s="456"/>
      <c r="BL18" s="460"/>
      <c r="BM18" s="459">
        <f ca="1">VLOOKUP(BM12,'2017 FCR Rates'!$A$4:$D$53,4)</f>
        <v>0.11101150304447822</v>
      </c>
      <c r="BN18" s="456">
        <f ca="1">VLOOKUP(BN12,'2017 FCR Rates'!$A$4:$D$53,4)</f>
        <v>0.11101150304447822</v>
      </c>
      <c r="BO18" s="460">
        <f ca="1">VLOOKUP(BO12,'2017 FCR Rates'!$A$4:$D$53,4)</f>
        <v>0.10055297513164314</v>
      </c>
      <c r="BP18" s="459">
        <f ca="1">VLOOKUP(BP12,'2017 FCR Rates'!$A$4:$D$53,4)</f>
        <v>9.7893407217892386E-2</v>
      </c>
      <c r="BQ18" s="456">
        <f ca="1">VLOOKUP(BQ12,'2017 FCR Rates'!$A$4:$D$53,4)</f>
        <v>9.7893407217892386E-2</v>
      </c>
      <c r="BR18" s="460">
        <f ca="1">VLOOKUP(BR12,'2017 FCR Rates'!$A$4:$D$53,4)</f>
        <v>0.10055297513164314</v>
      </c>
      <c r="BS18" s="459">
        <f ca="1">VLOOKUP(BS12,'2017 FCR Rates'!$A$4:$D$53,4)</f>
        <v>0.10216814687613364</v>
      </c>
      <c r="BT18" s="456">
        <f ca="1">VLOOKUP(BT12,'2017 FCR Rates'!$A$4:$D$53,4)</f>
        <v>0.10216814687613364</v>
      </c>
      <c r="BU18" s="456">
        <f ca="1">VLOOKUP(BU12,'2017 FCR Rates'!$A$4:$D$53,4)</f>
        <v>0.10055297513164314</v>
      </c>
      <c r="BV18" s="456">
        <f ca="1">VLOOKUP(BV12,'2017 FCR Rates'!$A$4:$D$53,4)</f>
        <v>0.10055297513164314</v>
      </c>
      <c r="BW18" s="456">
        <f ca="1">VLOOKUP(BW12,'2017 FCR Rates'!$A$4:$D$53,4)</f>
        <v>0.10055297513164314</v>
      </c>
      <c r="BX18" s="460">
        <f ca="1">VLOOKUP(BX12,'2017 FCR Rates'!$A$4:$D$53,4)</f>
        <v>0.10055297513164314</v>
      </c>
      <c r="BY18" s="459"/>
      <c r="BZ18" s="456"/>
      <c r="CA18" s="460"/>
      <c r="CB18" s="459"/>
      <c r="CC18" s="456"/>
      <c r="CD18" s="461"/>
      <c r="CE18" s="459">
        <f ca="1">VLOOKUP(CE12,'2017 FCR Rates'!$A$4:$D$53,4)</f>
        <v>9.5786316518425424E-2</v>
      </c>
      <c r="CF18" s="456">
        <f ca="1">VLOOKUP(CF12,'2017 FCR Rates'!$A$4:$D$53,4)</f>
        <v>9.5786316518425424E-2</v>
      </c>
      <c r="CG18" s="456">
        <f ca="1">VLOOKUP(CG12,'2017 FCR Rates'!$A$4:$D$53,4)</f>
        <v>0.10055297513164314</v>
      </c>
      <c r="CH18" s="456">
        <f ca="1">VLOOKUP(CH12,'2017 FCR Rates'!$A$4:$D$53,4)</f>
        <v>0.10055297513164314</v>
      </c>
      <c r="CI18" s="460">
        <f ca="1">VLOOKUP(CI12,'2017 FCR Rates'!$A$4:$D$53,4)</f>
        <v>0.10055297513164314</v>
      </c>
    </row>
    <row r="19" spans="1:87" x14ac:dyDescent="0.25">
      <c r="A19" s="397">
        <f t="shared" si="0"/>
        <v>13</v>
      </c>
      <c r="B19" s="90" t="s">
        <v>66</v>
      </c>
      <c r="C19" s="88"/>
      <c r="D19" s="459">
        <f ca="1">+'Sch 40 Substation O&amp;M 2017'!C31</f>
        <v>7.5999999999999998E-2</v>
      </c>
      <c r="E19" s="456">
        <f ca="1">+$D$19</f>
        <v>7.5999999999999998E-2</v>
      </c>
      <c r="F19" s="456">
        <f t="shared" ref="F19:BX19" ca="1" si="9">+$D$19</f>
        <v>7.5999999999999998E-2</v>
      </c>
      <c r="G19" s="457">
        <f t="shared" ca="1" si="9"/>
        <v>7.5999999999999998E-2</v>
      </c>
      <c r="H19" s="458">
        <f t="shared" ca="1" si="9"/>
        <v>7.5999999999999998E-2</v>
      </c>
      <c r="I19" s="456">
        <f t="shared" ca="1" si="9"/>
        <v>7.5999999999999998E-2</v>
      </c>
      <c r="J19" s="456">
        <f t="shared" ca="1" si="9"/>
        <v>7.5999999999999998E-2</v>
      </c>
      <c r="K19" s="456">
        <f t="shared" ca="1" si="9"/>
        <v>7.5999999999999998E-2</v>
      </c>
      <c r="L19" s="457">
        <f t="shared" ca="1" si="9"/>
        <v>7.5999999999999998E-2</v>
      </c>
      <c r="M19" s="458">
        <f t="shared" ca="1" si="9"/>
        <v>7.5999999999999998E-2</v>
      </c>
      <c r="N19" s="456">
        <f t="shared" ca="1" si="9"/>
        <v>7.5999999999999998E-2</v>
      </c>
      <c r="O19" s="456">
        <f t="shared" ca="1" si="9"/>
        <v>7.5999999999999998E-2</v>
      </c>
      <c r="P19" s="456">
        <f t="shared" ca="1" si="9"/>
        <v>7.5999999999999998E-2</v>
      </c>
      <c r="Q19" s="456">
        <f t="shared" ca="1" si="9"/>
        <v>7.5999999999999998E-2</v>
      </c>
      <c r="R19" s="457">
        <f t="shared" ca="1" si="9"/>
        <v>7.5999999999999998E-2</v>
      </c>
      <c r="S19" s="459">
        <f t="shared" ca="1" si="9"/>
        <v>7.5999999999999998E-2</v>
      </c>
      <c r="T19" s="456">
        <f t="shared" ca="1" si="9"/>
        <v>7.5999999999999998E-2</v>
      </c>
      <c r="U19" s="457">
        <f t="shared" ca="1" si="9"/>
        <v>7.5999999999999998E-2</v>
      </c>
      <c r="V19" s="458">
        <f t="shared" ca="1" si="9"/>
        <v>7.5999999999999998E-2</v>
      </c>
      <c r="W19" s="456"/>
      <c r="X19" s="460"/>
      <c r="Y19" s="458">
        <f t="shared" ca="1" si="9"/>
        <v>7.5999999999999998E-2</v>
      </c>
      <c r="Z19" s="456">
        <f t="shared" ca="1" si="9"/>
        <v>7.5999999999999998E-2</v>
      </c>
      <c r="AA19" s="456">
        <f t="shared" ca="1" si="9"/>
        <v>7.5999999999999998E-2</v>
      </c>
      <c r="AB19" s="456">
        <f t="shared" ca="1" si="9"/>
        <v>7.5999999999999998E-2</v>
      </c>
      <c r="AC19" s="459">
        <f t="shared" ca="1" si="9"/>
        <v>7.5999999999999998E-2</v>
      </c>
      <c r="AD19" s="456">
        <f t="shared" ca="1" si="9"/>
        <v>7.5999999999999998E-2</v>
      </c>
      <c r="AE19" s="457">
        <f t="shared" ca="1" si="9"/>
        <v>7.5999999999999998E-2</v>
      </c>
      <c r="AF19" s="458">
        <f t="shared" ca="1" si="9"/>
        <v>7.5999999999999998E-2</v>
      </c>
      <c r="AG19" s="456"/>
      <c r="AH19" s="460"/>
      <c r="AI19" s="459">
        <f t="shared" ca="1" si="9"/>
        <v>7.5999999999999998E-2</v>
      </c>
      <c r="AJ19" s="456">
        <f t="shared" ca="1" si="9"/>
        <v>7.5999999999999998E-2</v>
      </c>
      <c r="AK19" s="456">
        <f t="shared" ca="1" si="9"/>
        <v>7.5999999999999998E-2</v>
      </c>
      <c r="AL19" s="456">
        <f t="shared" ca="1" si="9"/>
        <v>7.5999999999999998E-2</v>
      </c>
      <c r="AM19" s="456">
        <f t="shared" ca="1" si="9"/>
        <v>7.5999999999999998E-2</v>
      </c>
      <c r="AN19" s="460">
        <f t="shared" ca="1" si="9"/>
        <v>7.5999999999999998E-2</v>
      </c>
      <c r="AO19" s="459">
        <f t="shared" ca="1" si="9"/>
        <v>7.5999999999999998E-2</v>
      </c>
      <c r="AP19" s="456">
        <f t="shared" ca="1" si="9"/>
        <v>7.5999999999999998E-2</v>
      </c>
      <c r="AQ19" s="456">
        <f t="shared" ca="1" si="9"/>
        <v>7.5999999999999998E-2</v>
      </c>
      <c r="AR19" s="456">
        <f t="shared" ca="1" si="9"/>
        <v>7.5999999999999998E-2</v>
      </c>
      <c r="AS19" s="460">
        <f t="shared" ca="1" si="9"/>
        <v>7.5999999999999998E-2</v>
      </c>
      <c r="AT19" s="459">
        <f t="shared" ca="1" si="9"/>
        <v>7.5999999999999998E-2</v>
      </c>
      <c r="AU19" s="456">
        <f t="shared" ca="1" si="9"/>
        <v>7.5999999999999998E-2</v>
      </c>
      <c r="AV19" s="456">
        <f t="shared" ca="1" si="9"/>
        <v>7.5999999999999998E-2</v>
      </c>
      <c r="AW19" s="456">
        <f t="shared" ca="1" si="9"/>
        <v>7.5999999999999998E-2</v>
      </c>
      <c r="AX19" s="460">
        <f t="shared" ca="1" si="9"/>
        <v>7.5999999999999998E-2</v>
      </c>
      <c r="AY19" s="459">
        <f t="shared" ca="1" si="9"/>
        <v>7.5999999999999998E-2</v>
      </c>
      <c r="AZ19" s="456">
        <f t="shared" ca="1" si="9"/>
        <v>7.5999999999999998E-2</v>
      </c>
      <c r="BA19" s="456">
        <f t="shared" ca="1" si="9"/>
        <v>7.5999999999999998E-2</v>
      </c>
      <c r="BB19" s="460">
        <f t="shared" ca="1" si="9"/>
        <v>7.5999999999999998E-2</v>
      </c>
      <c r="BC19" s="459">
        <f t="shared" ca="1" si="9"/>
        <v>7.5999999999999998E-2</v>
      </c>
      <c r="BD19" s="456">
        <f t="shared" ca="1" si="9"/>
        <v>7.5999999999999998E-2</v>
      </c>
      <c r="BE19" s="456">
        <f t="shared" ca="1" si="9"/>
        <v>7.5999999999999998E-2</v>
      </c>
      <c r="BF19" s="460">
        <f t="shared" ca="1" si="9"/>
        <v>7.5999999999999998E-2</v>
      </c>
      <c r="BG19" s="459">
        <f t="shared" ca="1" si="9"/>
        <v>7.5999999999999998E-2</v>
      </c>
      <c r="BH19" s="456">
        <f t="shared" ca="1" si="9"/>
        <v>7.5999999999999998E-2</v>
      </c>
      <c r="BI19" s="460">
        <f t="shared" ca="1" si="9"/>
        <v>7.5999999999999998E-2</v>
      </c>
      <c r="BJ19" s="459">
        <f t="shared" ca="1" si="9"/>
        <v>7.5999999999999998E-2</v>
      </c>
      <c r="BK19" s="456"/>
      <c r="BL19" s="460"/>
      <c r="BM19" s="459">
        <f t="shared" ca="1" si="9"/>
        <v>7.5999999999999998E-2</v>
      </c>
      <c r="BN19" s="456">
        <f t="shared" ca="1" si="9"/>
        <v>7.5999999999999998E-2</v>
      </c>
      <c r="BO19" s="460">
        <f t="shared" ca="1" si="9"/>
        <v>7.5999999999999998E-2</v>
      </c>
      <c r="BP19" s="459">
        <f t="shared" ca="1" si="9"/>
        <v>7.5999999999999998E-2</v>
      </c>
      <c r="BQ19" s="456">
        <f t="shared" ca="1" si="9"/>
        <v>7.5999999999999998E-2</v>
      </c>
      <c r="BR19" s="460">
        <f t="shared" ca="1" si="9"/>
        <v>7.5999999999999998E-2</v>
      </c>
      <c r="BS19" s="459">
        <f t="shared" ca="1" si="9"/>
        <v>7.5999999999999998E-2</v>
      </c>
      <c r="BT19" s="456">
        <f t="shared" ca="1" si="9"/>
        <v>7.5999999999999998E-2</v>
      </c>
      <c r="BU19" s="456">
        <f t="shared" ca="1" si="9"/>
        <v>7.5999999999999998E-2</v>
      </c>
      <c r="BV19" s="456">
        <f t="shared" ca="1" si="9"/>
        <v>7.5999999999999998E-2</v>
      </c>
      <c r="BW19" s="456">
        <f t="shared" ca="1" si="9"/>
        <v>7.5999999999999998E-2</v>
      </c>
      <c r="BX19" s="460">
        <f t="shared" ca="1" si="9"/>
        <v>7.5999999999999998E-2</v>
      </c>
      <c r="BY19" s="459"/>
      <c r="BZ19" s="456"/>
      <c r="CA19" s="460"/>
      <c r="CB19" s="459"/>
      <c r="CC19" s="456"/>
      <c r="CD19" s="461"/>
      <c r="CE19" s="459">
        <f t="shared" ref="CE19:CI19" ca="1" si="10">+$D$19</f>
        <v>7.5999999999999998E-2</v>
      </c>
      <c r="CF19" s="456">
        <f t="shared" ca="1" si="10"/>
        <v>7.5999999999999998E-2</v>
      </c>
      <c r="CG19" s="456">
        <f t="shared" ca="1" si="10"/>
        <v>7.5999999999999998E-2</v>
      </c>
      <c r="CH19" s="456">
        <f t="shared" ca="1" si="10"/>
        <v>7.5999999999999998E-2</v>
      </c>
      <c r="CI19" s="460">
        <f t="shared" ca="1" si="10"/>
        <v>7.5999999999999998E-2</v>
      </c>
    </row>
    <row r="20" spans="1:87" x14ac:dyDescent="0.25">
      <c r="A20" s="397">
        <f t="shared" si="0"/>
        <v>14</v>
      </c>
      <c r="B20" s="87" t="s">
        <v>296</v>
      </c>
      <c r="C20" s="88"/>
      <c r="D20" s="504">
        <f ca="1">ROUND('Sch 40 Substation A&amp;G 2017'!C21,2)</f>
        <v>0.44</v>
      </c>
      <c r="E20" s="60">
        <f ca="1">+$D$20</f>
        <v>0.44</v>
      </c>
      <c r="F20" s="60">
        <f t="shared" ref="F20:BX20" ca="1" si="11">+$D$20</f>
        <v>0.44</v>
      </c>
      <c r="G20" s="462">
        <f t="shared" ca="1" si="11"/>
        <v>0.44</v>
      </c>
      <c r="H20" s="463">
        <f t="shared" ca="1" si="11"/>
        <v>0.44</v>
      </c>
      <c r="I20" s="60">
        <f t="shared" ca="1" si="11"/>
        <v>0.44</v>
      </c>
      <c r="J20" s="60">
        <f t="shared" ca="1" si="11"/>
        <v>0.44</v>
      </c>
      <c r="K20" s="60">
        <f t="shared" ca="1" si="11"/>
        <v>0.44</v>
      </c>
      <c r="L20" s="462">
        <f t="shared" ca="1" si="11"/>
        <v>0.44</v>
      </c>
      <c r="M20" s="463">
        <f t="shared" ca="1" si="11"/>
        <v>0.44</v>
      </c>
      <c r="N20" s="60">
        <f t="shared" ca="1" si="11"/>
        <v>0.44</v>
      </c>
      <c r="O20" s="60">
        <f t="shared" ca="1" si="11"/>
        <v>0.44</v>
      </c>
      <c r="P20" s="60">
        <f t="shared" ca="1" si="11"/>
        <v>0.44</v>
      </c>
      <c r="Q20" s="60">
        <f t="shared" ca="1" si="11"/>
        <v>0.44</v>
      </c>
      <c r="R20" s="462">
        <f t="shared" ca="1" si="11"/>
        <v>0.44</v>
      </c>
      <c r="S20" s="464">
        <f t="shared" ca="1" si="11"/>
        <v>0.44</v>
      </c>
      <c r="T20" s="60">
        <f t="shared" ca="1" si="11"/>
        <v>0.44</v>
      </c>
      <c r="U20" s="462">
        <f t="shared" ca="1" si="11"/>
        <v>0.44</v>
      </c>
      <c r="V20" s="463">
        <f t="shared" ca="1" si="11"/>
        <v>0.44</v>
      </c>
      <c r="W20" s="60"/>
      <c r="X20" s="465"/>
      <c r="Y20" s="463">
        <f t="shared" ca="1" si="11"/>
        <v>0.44</v>
      </c>
      <c r="Z20" s="60">
        <f t="shared" ca="1" si="11"/>
        <v>0.44</v>
      </c>
      <c r="AA20" s="60">
        <f t="shared" ca="1" si="11"/>
        <v>0.44</v>
      </c>
      <c r="AB20" s="60">
        <f t="shared" ca="1" si="11"/>
        <v>0.44</v>
      </c>
      <c r="AC20" s="464">
        <f t="shared" ca="1" si="11"/>
        <v>0.44</v>
      </c>
      <c r="AD20" s="60">
        <f t="shared" ca="1" si="11"/>
        <v>0.44</v>
      </c>
      <c r="AE20" s="462">
        <f t="shared" ca="1" si="11"/>
        <v>0.44</v>
      </c>
      <c r="AF20" s="463">
        <f t="shared" ca="1" si="11"/>
        <v>0.44</v>
      </c>
      <c r="AG20" s="60"/>
      <c r="AH20" s="465"/>
      <c r="AI20" s="464">
        <f t="shared" ca="1" si="11"/>
        <v>0.44</v>
      </c>
      <c r="AJ20" s="60">
        <f t="shared" ca="1" si="11"/>
        <v>0.44</v>
      </c>
      <c r="AK20" s="60">
        <f t="shared" ca="1" si="11"/>
        <v>0.44</v>
      </c>
      <c r="AL20" s="60">
        <f t="shared" ca="1" si="11"/>
        <v>0.44</v>
      </c>
      <c r="AM20" s="60">
        <f t="shared" ca="1" si="11"/>
        <v>0.44</v>
      </c>
      <c r="AN20" s="465">
        <f t="shared" ca="1" si="11"/>
        <v>0.44</v>
      </c>
      <c r="AO20" s="464">
        <f t="shared" ca="1" si="11"/>
        <v>0.44</v>
      </c>
      <c r="AP20" s="60">
        <f t="shared" ca="1" si="11"/>
        <v>0.44</v>
      </c>
      <c r="AQ20" s="60">
        <f t="shared" ca="1" si="11"/>
        <v>0.44</v>
      </c>
      <c r="AR20" s="60">
        <f t="shared" ca="1" si="11"/>
        <v>0.44</v>
      </c>
      <c r="AS20" s="465">
        <f t="shared" ca="1" si="11"/>
        <v>0.44</v>
      </c>
      <c r="AT20" s="464">
        <f t="shared" ca="1" si="11"/>
        <v>0.44</v>
      </c>
      <c r="AU20" s="60">
        <f t="shared" ca="1" si="11"/>
        <v>0.44</v>
      </c>
      <c r="AV20" s="60">
        <f t="shared" ca="1" si="11"/>
        <v>0.44</v>
      </c>
      <c r="AW20" s="60">
        <f t="shared" ca="1" si="11"/>
        <v>0.44</v>
      </c>
      <c r="AX20" s="465">
        <f t="shared" ca="1" si="11"/>
        <v>0.44</v>
      </c>
      <c r="AY20" s="464">
        <f t="shared" ca="1" si="11"/>
        <v>0.44</v>
      </c>
      <c r="AZ20" s="60">
        <f t="shared" ca="1" si="11"/>
        <v>0.44</v>
      </c>
      <c r="BA20" s="60">
        <f t="shared" ca="1" si="11"/>
        <v>0.44</v>
      </c>
      <c r="BB20" s="465">
        <f t="shared" ca="1" si="11"/>
        <v>0.44</v>
      </c>
      <c r="BC20" s="464">
        <f t="shared" ca="1" si="11"/>
        <v>0.44</v>
      </c>
      <c r="BD20" s="60">
        <f t="shared" ca="1" si="11"/>
        <v>0.44</v>
      </c>
      <c r="BE20" s="60">
        <f t="shared" ca="1" si="11"/>
        <v>0.44</v>
      </c>
      <c r="BF20" s="465">
        <f t="shared" ca="1" si="11"/>
        <v>0.44</v>
      </c>
      <c r="BG20" s="464">
        <f t="shared" ca="1" si="11"/>
        <v>0.44</v>
      </c>
      <c r="BH20" s="60">
        <f t="shared" ca="1" si="11"/>
        <v>0.44</v>
      </c>
      <c r="BI20" s="465">
        <f t="shared" ca="1" si="11"/>
        <v>0.44</v>
      </c>
      <c r="BJ20" s="464">
        <f t="shared" ca="1" si="11"/>
        <v>0.44</v>
      </c>
      <c r="BK20" s="60"/>
      <c r="BL20" s="465"/>
      <c r="BM20" s="464">
        <f t="shared" ca="1" si="11"/>
        <v>0.44</v>
      </c>
      <c r="BN20" s="60">
        <f t="shared" ca="1" si="11"/>
        <v>0.44</v>
      </c>
      <c r="BO20" s="465">
        <f t="shared" ca="1" si="11"/>
        <v>0.44</v>
      </c>
      <c r="BP20" s="464">
        <f t="shared" ca="1" si="11"/>
        <v>0.44</v>
      </c>
      <c r="BQ20" s="60">
        <f t="shared" ca="1" si="11"/>
        <v>0.44</v>
      </c>
      <c r="BR20" s="465">
        <f t="shared" ca="1" si="11"/>
        <v>0.44</v>
      </c>
      <c r="BS20" s="464">
        <f t="shared" ca="1" si="11"/>
        <v>0.44</v>
      </c>
      <c r="BT20" s="60">
        <f t="shared" ca="1" si="11"/>
        <v>0.44</v>
      </c>
      <c r="BU20" s="60">
        <f t="shared" ca="1" si="11"/>
        <v>0.44</v>
      </c>
      <c r="BV20" s="60">
        <f t="shared" ca="1" si="11"/>
        <v>0.44</v>
      </c>
      <c r="BW20" s="60">
        <f t="shared" ca="1" si="11"/>
        <v>0.44</v>
      </c>
      <c r="BX20" s="465">
        <f t="shared" ca="1" si="11"/>
        <v>0.44</v>
      </c>
      <c r="BY20" s="464"/>
      <c r="BZ20" s="60"/>
      <c r="CA20" s="465"/>
      <c r="CB20" s="464"/>
      <c r="CC20" s="60"/>
      <c r="CD20" s="466"/>
      <c r="CE20" s="464">
        <f t="shared" ref="CE20:CI20" ca="1" si="12">+$D$20</f>
        <v>0.44</v>
      </c>
      <c r="CF20" s="60">
        <f t="shared" ca="1" si="12"/>
        <v>0.44</v>
      </c>
      <c r="CG20" s="60">
        <f t="shared" ca="1" si="12"/>
        <v>0.44</v>
      </c>
      <c r="CH20" s="60">
        <f t="shared" ca="1" si="12"/>
        <v>0.44</v>
      </c>
      <c r="CI20" s="465">
        <f t="shared" ca="1" si="12"/>
        <v>0.44</v>
      </c>
    </row>
    <row r="21" spans="1:87" x14ac:dyDescent="0.25">
      <c r="A21" s="397">
        <f t="shared" si="0"/>
        <v>15</v>
      </c>
      <c r="B21" s="87" t="s">
        <v>297</v>
      </c>
      <c r="C21" s="88"/>
      <c r="D21" s="459">
        <f ca="1">ROUND(D20*D19,6)</f>
        <v>3.3439999999999998E-2</v>
      </c>
      <c r="E21" s="456">
        <f ca="1">+$D$21</f>
        <v>3.3439999999999998E-2</v>
      </c>
      <c r="F21" s="456">
        <f t="shared" ref="F21:BX21" ca="1" si="13">+$D$21</f>
        <v>3.3439999999999998E-2</v>
      </c>
      <c r="G21" s="457">
        <f t="shared" ca="1" si="13"/>
        <v>3.3439999999999998E-2</v>
      </c>
      <c r="H21" s="458">
        <f t="shared" ca="1" si="13"/>
        <v>3.3439999999999998E-2</v>
      </c>
      <c r="I21" s="456">
        <f t="shared" ca="1" si="13"/>
        <v>3.3439999999999998E-2</v>
      </c>
      <c r="J21" s="456">
        <f t="shared" ca="1" si="13"/>
        <v>3.3439999999999998E-2</v>
      </c>
      <c r="K21" s="456">
        <f t="shared" ca="1" si="13"/>
        <v>3.3439999999999998E-2</v>
      </c>
      <c r="L21" s="457">
        <f t="shared" ca="1" si="13"/>
        <v>3.3439999999999998E-2</v>
      </c>
      <c r="M21" s="458">
        <f t="shared" ca="1" si="13"/>
        <v>3.3439999999999998E-2</v>
      </c>
      <c r="N21" s="456">
        <f t="shared" ca="1" si="13"/>
        <v>3.3439999999999998E-2</v>
      </c>
      <c r="O21" s="456">
        <f t="shared" ca="1" si="13"/>
        <v>3.3439999999999998E-2</v>
      </c>
      <c r="P21" s="456">
        <f t="shared" ca="1" si="13"/>
        <v>3.3439999999999998E-2</v>
      </c>
      <c r="Q21" s="456">
        <f t="shared" ca="1" si="13"/>
        <v>3.3439999999999998E-2</v>
      </c>
      <c r="R21" s="457">
        <f t="shared" ca="1" si="13"/>
        <v>3.3439999999999998E-2</v>
      </c>
      <c r="S21" s="459">
        <f t="shared" ca="1" si="13"/>
        <v>3.3439999999999998E-2</v>
      </c>
      <c r="T21" s="456">
        <f t="shared" ca="1" si="13"/>
        <v>3.3439999999999998E-2</v>
      </c>
      <c r="U21" s="457">
        <f t="shared" ca="1" si="13"/>
        <v>3.3439999999999998E-2</v>
      </c>
      <c r="V21" s="458">
        <f t="shared" ca="1" si="13"/>
        <v>3.3439999999999998E-2</v>
      </c>
      <c r="W21" s="456"/>
      <c r="X21" s="460"/>
      <c r="Y21" s="458">
        <f t="shared" ca="1" si="13"/>
        <v>3.3439999999999998E-2</v>
      </c>
      <c r="Z21" s="456">
        <f t="shared" ca="1" si="13"/>
        <v>3.3439999999999998E-2</v>
      </c>
      <c r="AA21" s="456">
        <f t="shared" ca="1" si="13"/>
        <v>3.3439999999999998E-2</v>
      </c>
      <c r="AB21" s="456">
        <f t="shared" ca="1" si="13"/>
        <v>3.3439999999999998E-2</v>
      </c>
      <c r="AC21" s="459">
        <f t="shared" ca="1" si="13"/>
        <v>3.3439999999999998E-2</v>
      </c>
      <c r="AD21" s="456">
        <f t="shared" ca="1" si="13"/>
        <v>3.3439999999999998E-2</v>
      </c>
      <c r="AE21" s="457">
        <f t="shared" ca="1" si="13"/>
        <v>3.3439999999999998E-2</v>
      </c>
      <c r="AF21" s="458">
        <f t="shared" ca="1" si="13"/>
        <v>3.3439999999999998E-2</v>
      </c>
      <c r="AG21" s="456"/>
      <c r="AH21" s="460"/>
      <c r="AI21" s="459">
        <f t="shared" ca="1" si="13"/>
        <v>3.3439999999999998E-2</v>
      </c>
      <c r="AJ21" s="456">
        <f t="shared" ca="1" si="13"/>
        <v>3.3439999999999998E-2</v>
      </c>
      <c r="AK21" s="456">
        <f t="shared" ca="1" si="13"/>
        <v>3.3439999999999998E-2</v>
      </c>
      <c r="AL21" s="456">
        <f t="shared" ca="1" si="13"/>
        <v>3.3439999999999998E-2</v>
      </c>
      <c r="AM21" s="456">
        <f t="shared" ca="1" si="13"/>
        <v>3.3439999999999998E-2</v>
      </c>
      <c r="AN21" s="460">
        <f t="shared" ca="1" si="13"/>
        <v>3.3439999999999998E-2</v>
      </c>
      <c r="AO21" s="459">
        <f t="shared" ca="1" si="13"/>
        <v>3.3439999999999998E-2</v>
      </c>
      <c r="AP21" s="456">
        <f t="shared" ca="1" si="13"/>
        <v>3.3439999999999998E-2</v>
      </c>
      <c r="AQ21" s="456">
        <f t="shared" ca="1" si="13"/>
        <v>3.3439999999999998E-2</v>
      </c>
      <c r="AR21" s="456">
        <f t="shared" ca="1" si="13"/>
        <v>3.3439999999999998E-2</v>
      </c>
      <c r="AS21" s="460">
        <f t="shared" ca="1" si="13"/>
        <v>3.3439999999999998E-2</v>
      </c>
      <c r="AT21" s="459">
        <f t="shared" ca="1" si="13"/>
        <v>3.3439999999999998E-2</v>
      </c>
      <c r="AU21" s="456">
        <f t="shared" ca="1" si="13"/>
        <v>3.3439999999999998E-2</v>
      </c>
      <c r="AV21" s="456">
        <f t="shared" ca="1" si="13"/>
        <v>3.3439999999999998E-2</v>
      </c>
      <c r="AW21" s="456">
        <f t="shared" ca="1" si="13"/>
        <v>3.3439999999999998E-2</v>
      </c>
      <c r="AX21" s="460">
        <f t="shared" ca="1" si="13"/>
        <v>3.3439999999999998E-2</v>
      </c>
      <c r="AY21" s="459">
        <f t="shared" ca="1" si="13"/>
        <v>3.3439999999999998E-2</v>
      </c>
      <c r="AZ21" s="456">
        <f t="shared" ca="1" si="13"/>
        <v>3.3439999999999998E-2</v>
      </c>
      <c r="BA21" s="456">
        <f t="shared" ca="1" si="13"/>
        <v>3.3439999999999998E-2</v>
      </c>
      <c r="BB21" s="460">
        <f t="shared" ca="1" si="13"/>
        <v>3.3439999999999998E-2</v>
      </c>
      <c r="BC21" s="459">
        <f t="shared" ca="1" si="13"/>
        <v>3.3439999999999998E-2</v>
      </c>
      <c r="BD21" s="456">
        <f t="shared" ca="1" si="13"/>
        <v>3.3439999999999998E-2</v>
      </c>
      <c r="BE21" s="456">
        <f t="shared" ca="1" si="13"/>
        <v>3.3439999999999998E-2</v>
      </c>
      <c r="BF21" s="460">
        <f t="shared" ca="1" si="13"/>
        <v>3.3439999999999998E-2</v>
      </c>
      <c r="BG21" s="459">
        <f t="shared" ca="1" si="13"/>
        <v>3.3439999999999998E-2</v>
      </c>
      <c r="BH21" s="456">
        <f t="shared" ca="1" si="13"/>
        <v>3.3439999999999998E-2</v>
      </c>
      <c r="BI21" s="460">
        <f t="shared" ca="1" si="13"/>
        <v>3.3439999999999998E-2</v>
      </c>
      <c r="BJ21" s="459">
        <f t="shared" ca="1" si="13"/>
        <v>3.3439999999999998E-2</v>
      </c>
      <c r="BK21" s="456"/>
      <c r="BL21" s="460"/>
      <c r="BM21" s="459">
        <f t="shared" ca="1" si="13"/>
        <v>3.3439999999999998E-2</v>
      </c>
      <c r="BN21" s="456">
        <f t="shared" ca="1" si="13"/>
        <v>3.3439999999999998E-2</v>
      </c>
      <c r="BO21" s="460">
        <f t="shared" ca="1" si="13"/>
        <v>3.3439999999999998E-2</v>
      </c>
      <c r="BP21" s="459">
        <f t="shared" ca="1" si="13"/>
        <v>3.3439999999999998E-2</v>
      </c>
      <c r="BQ21" s="456">
        <f t="shared" ca="1" si="13"/>
        <v>3.3439999999999998E-2</v>
      </c>
      <c r="BR21" s="460">
        <f t="shared" ca="1" si="13"/>
        <v>3.3439999999999998E-2</v>
      </c>
      <c r="BS21" s="459">
        <f t="shared" ca="1" si="13"/>
        <v>3.3439999999999998E-2</v>
      </c>
      <c r="BT21" s="456">
        <f t="shared" ca="1" si="13"/>
        <v>3.3439999999999998E-2</v>
      </c>
      <c r="BU21" s="456">
        <f t="shared" ca="1" si="13"/>
        <v>3.3439999999999998E-2</v>
      </c>
      <c r="BV21" s="456">
        <f t="shared" ca="1" si="13"/>
        <v>3.3439999999999998E-2</v>
      </c>
      <c r="BW21" s="456">
        <f t="shared" ca="1" si="13"/>
        <v>3.3439999999999998E-2</v>
      </c>
      <c r="BX21" s="460">
        <f t="shared" ca="1" si="13"/>
        <v>3.3439999999999998E-2</v>
      </c>
      <c r="BY21" s="459"/>
      <c r="BZ21" s="456"/>
      <c r="CA21" s="460"/>
      <c r="CB21" s="459"/>
      <c r="CC21" s="456"/>
      <c r="CD21" s="461"/>
      <c r="CE21" s="459">
        <f t="shared" ref="CE21:CI21" ca="1" si="14">+$D$21</f>
        <v>3.3439999999999998E-2</v>
      </c>
      <c r="CF21" s="456">
        <f t="shared" ca="1" si="14"/>
        <v>3.3439999999999998E-2</v>
      </c>
      <c r="CG21" s="456">
        <f t="shared" ca="1" si="14"/>
        <v>3.3439999999999998E-2</v>
      </c>
      <c r="CH21" s="456">
        <f t="shared" ca="1" si="14"/>
        <v>3.3439999999999998E-2</v>
      </c>
      <c r="CI21" s="460">
        <f t="shared" ca="1" si="14"/>
        <v>3.3439999999999998E-2</v>
      </c>
    </row>
    <row r="22" spans="1:87" x14ac:dyDescent="0.25">
      <c r="A22" s="397">
        <f t="shared" si="0"/>
        <v>16</v>
      </c>
      <c r="B22" s="90"/>
      <c r="C22" s="88"/>
      <c r="D22" s="459"/>
      <c r="E22" s="456"/>
      <c r="F22" s="456"/>
      <c r="G22" s="457"/>
      <c r="H22" s="458"/>
      <c r="I22" s="456"/>
      <c r="J22" s="456"/>
      <c r="K22" s="456"/>
      <c r="L22" s="457"/>
      <c r="M22" s="458"/>
      <c r="N22" s="456"/>
      <c r="O22" s="456"/>
      <c r="P22" s="456"/>
      <c r="Q22" s="456"/>
      <c r="R22" s="457"/>
      <c r="S22" s="459"/>
      <c r="T22" s="456"/>
      <c r="U22" s="457"/>
      <c r="V22" s="458"/>
      <c r="W22" s="456"/>
      <c r="X22" s="460"/>
      <c r="Y22" s="458"/>
      <c r="Z22" s="456"/>
      <c r="AA22" s="456"/>
      <c r="AB22" s="456"/>
      <c r="AC22" s="459"/>
      <c r="AD22" s="456"/>
      <c r="AE22" s="457"/>
      <c r="AF22" s="458"/>
      <c r="AG22" s="456"/>
      <c r="AH22" s="460"/>
      <c r="AI22" s="459"/>
      <c r="AJ22" s="456"/>
      <c r="AK22" s="456"/>
      <c r="AL22" s="456"/>
      <c r="AM22" s="456"/>
      <c r="AN22" s="460"/>
      <c r="AO22" s="459"/>
      <c r="AP22" s="456"/>
      <c r="AQ22" s="456"/>
      <c r="AR22" s="456"/>
      <c r="AS22" s="460"/>
      <c r="AT22" s="459"/>
      <c r="AU22" s="456"/>
      <c r="AV22" s="456"/>
      <c r="AW22" s="456"/>
      <c r="AX22" s="460"/>
      <c r="AY22" s="459"/>
      <c r="AZ22" s="456"/>
      <c r="BA22" s="456"/>
      <c r="BB22" s="460"/>
      <c r="BC22" s="459"/>
      <c r="BD22" s="456"/>
      <c r="BE22" s="456"/>
      <c r="BF22" s="460"/>
      <c r="BG22" s="459"/>
      <c r="BH22" s="456"/>
      <c r="BI22" s="460"/>
      <c r="BJ22" s="459"/>
      <c r="BK22" s="456"/>
      <c r="BL22" s="460"/>
      <c r="BM22" s="459"/>
      <c r="BN22" s="456"/>
      <c r="BO22" s="460"/>
      <c r="BP22" s="459"/>
      <c r="BQ22" s="456"/>
      <c r="BR22" s="460"/>
      <c r="BS22" s="459"/>
      <c r="BT22" s="456"/>
      <c r="BU22" s="456"/>
      <c r="BV22" s="456"/>
      <c r="BW22" s="456"/>
      <c r="BX22" s="460"/>
      <c r="BY22" s="459"/>
      <c r="BZ22" s="456"/>
      <c r="CA22" s="460"/>
      <c r="CB22" s="459"/>
      <c r="CC22" s="456"/>
      <c r="CD22" s="461"/>
      <c r="CE22" s="459"/>
      <c r="CF22" s="456"/>
      <c r="CG22" s="456"/>
      <c r="CH22" s="456"/>
      <c r="CI22" s="460"/>
    </row>
    <row r="23" spans="1:87" x14ac:dyDescent="0.25">
      <c r="A23" s="397">
        <f t="shared" si="0"/>
        <v>17</v>
      </c>
      <c r="B23" s="90" t="s">
        <v>73</v>
      </c>
      <c r="C23" s="88"/>
      <c r="D23" s="454">
        <f t="shared" ref="D23:W23" ca="1" si="15">+D13*D17+SUM(D14:D15)*D18</f>
        <v>142149.70797308043</v>
      </c>
      <c r="E23" s="49">
        <f t="shared" ca="1" si="15"/>
        <v>-44924.437022794278</v>
      </c>
      <c r="F23" s="49">
        <f t="shared" ref="F23" ca="1" si="16">+F13*F17+SUM(F14:F15)*F18</f>
        <v>690.73760183955812</v>
      </c>
      <c r="G23" s="467">
        <f t="shared" ca="1" si="15"/>
        <v>36529.823970611047</v>
      </c>
      <c r="H23" s="468">
        <f t="shared" ca="1" si="15"/>
        <v>33732.550872570027</v>
      </c>
      <c r="I23" s="49">
        <f t="shared" ca="1" si="15"/>
        <v>78644.686782794306</v>
      </c>
      <c r="J23" s="49">
        <f t="shared" ca="1" si="15"/>
        <v>6342.8917266015624</v>
      </c>
      <c r="K23" s="49">
        <f t="shared" ref="K23" ca="1" si="17">+K13*K17+SUM(K14:K15)*K18</f>
        <v>13423.45415618538</v>
      </c>
      <c r="L23" s="467">
        <f t="shared" ca="1" si="15"/>
        <v>7767.2909843048737</v>
      </c>
      <c r="M23" s="468">
        <f t="shared" ca="1" si="15"/>
        <v>61158.091255686253</v>
      </c>
      <c r="N23" s="49">
        <f t="shared" ca="1" si="15"/>
        <v>-39740.454485876966</v>
      </c>
      <c r="O23" s="49">
        <f t="shared" ca="1" si="15"/>
        <v>1051.9942755950124</v>
      </c>
      <c r="P23" s="49">
        <f t="shared" ca="1" si="15"/>
        <v>74646.976201120473</v>
      </c>
      <c r="Q23" s="49">
        <f t="shared" ref="Q23" ca="1" si="18">+Q13*Q17+SUM(Q14:Q15)*Q18</f>
        <v>11438.705345025461</v>
      </c>
      <c r="R23" s="467">
        <f t="shared" ca="1" si="15"/>
        <v>2527.4794723139557</v>
      </c>
      <c r="S23" s="454">
        <f t="shared" ref="S23" ca="1" si="19">+S13*S17+SUM(S14:S15)*S18</f>
        <v>376569.67521504662</v>
      </c>
      <c r="T23" s="49">
        <f ca="1">+T13*T17+SUM(T14:T15)*T18</f>
        <v>60406.97395440127</v>
      </c>
      <c r="U23" s="467">
        <f ca="1">+U13*U17+SUM(U14:U15)*U18</f>
        <v>6459.3411215717679</v>
      </c>
      <c r="V23" s="468">
        <f t="shared" ca="1" si="15"/>
        <v>1653653.4817634132</v>
      </c>
      <c r="W23" s="49">
        <f t="shared" si="15"/>
        <v>0</v>
      </c>
      <c r="X23" s="467">
        <f t="shared" ref="X23" si="20">+X13*X17+SUM(X14:X15)*X18</f>
        <v>0</v>
      </c>
      <c r="Y23" s="468">
        <f ca="1">+Y13*Y17+SUM(Y14:Y15)*Y18</f>
        <v>142149.70797308043</v>
      </c>
      <c r="Z23" s="49">
        <f ca="1">+Z13*Z17+SUM(Z14:Z15)*Z18</f>
        <v>-44924.437022794278</v>
      </c>
      <c r="AA23" s="49">
        <f t="shared" ref="AA23" ca="1" si="21">+AA13*AA17+SUM(AA14:AA15)*AA18</f>
        <v>690.73760183955812</v>
      </c>
      <c r="AB23" s="49">
        <f ca="1">+AB13*AB17+SUM(AB14:AB15)*AB18</f>
        <v>36529.823970611047</v>
      </c>
      <c r="AC23" s="454">
        <f t="shared" ref="AC23:AF23" ca="1" si="22">+AC13*AC17+SUM(AC14:AC15)*AC18</f>
        <v>376569.67521504662</v>
      </c>
      <c r="AD23" s="49">
        <f ca="1">+AD13*AD17+SUM(AD14:AD15)*AD18</f>
        <v>60406.97395440127</v>
      </c>
      <c r="AE23" s="467">
        <f ca="1">+AE13*AE17+SUM(AE14:AE15)*AE18</f>
        <v>6459.3411215717679</v>
      </c>
      <c r="AF23" s="468">
        <f t="shared" ca="1" si="22"/>
        <v>1653653.4817634132</v>
      </c>
      <c r="AG23" s="49">
        <f>+AG13*AG17+SUM(AG14:AG15)*AG18</f>
        <v>0</v>
      </c>
      <c r="AH23" s="467">
        <f>+AH13*AH17+SUM(AH14:AH15)*AH18</f>
        <v>0</v>
      </c>
      <c r="AI23" s="454">
        <f t="shared" ref="AI23:AT23" ca="1" si="23">+AI13*AI17+SUM(AI14:AI15)*AI18</f>
        <v>61158.091255686253</v>
      </c>
      <c r="AJ23" s="49">
        <f t="shared" ca="1" si="23"/>
        <v>-39740.454485876966</v>
      </c>
      <c r="AK23" s="49">
        <f t="shared" ca="1" si="23"/>
        <v>1051.9942755950124</v>
      </c>
      <c r="AL23" s="49">
        <f t="shared" ca="1" si="23"/>
        <v>74646.976201120473</v>
      </c>
      <c r="AM23" s="49">
        <f t="shared" ref="AM23" ca="1" si="24">+AM13*AM17+SUM(AM14:AM15)*AM18</f>
        <v>11438.705345025461</v>
      </c>
      <c r="AN23" s="469">
        <f t="shared" ca="1" si="23"/>
        <v>2527.4794723139557</v>
      </c>
      <c r="AO23" s="454">
        <f t="shared" ca="1" si="23"/>
        <v>44181.246177558191</v>
      </c>
      <c r="AP23" s="49">
        <f t="shared" ca="1" si="23"/>
        <v>-42943.125273246536</v>
      </c>
      <c r="AQ23" s="49">
        <f t="shared" ca="1" si="23"/>
        <v>3039.6892889262867</v>
      </c>
      <c r="AR23" s="49">
        <f t="shared" ref="AR23" ca="1" si="25">+AR13*AR17+SUM(AR14:AR15)*AR18</f>
        <v>39578.338794164643</v>
      </c>
      <c r="AS23" s="469">
        <f t="shared" ca="1" si="23"/>
        <v>23642.146231819606</v>
      </c>
      <c r="AT23" s="454">
        <f t="shared" ca="1" si="23"/>
        <v>70893.929217880519</v>
      </c>
      <c r="AU23" s="49">
        <f t="shared" ref="AU23:BF23" ca="1" si="26">+AU13*AU17+SUM(AU14:AU15)*AU18</f>
        <v>-53018.487550374855</v>
      </c>
      <c r="AV23" s="49">
        <f ca="1">+AV13*AV17+SUM(AV14:AV15)*AV18</f>
        <v>9308.6625124490765</v>
      </c>
      <c r="AW23" s="49">
        <f ca="1">+AW13*AW17+SUM(AW14:AW15)*AW18</f>
        <v>48226.651819388695</v>
      </c>
      <c r="AX23" s="469">
        <f t="shared" ca="1" si="26"/>
        <v>1058.4206162356757</v>
      </c>
      <c r="AY23" s="454">
        <f t="shared" ca="1" si="26"/>
        <v>18782.768537305532</v>
      </c>
      <c r="AZ23" s="49">
        <f t="shared" ref="AZ23" ca="1" si="27">+AZ13*AZ17+SUM(AZ14:AZ15)*AZ18</f>
        <v>1255.2007846284405</v>
      </c>
      <c r="BA23" s="49">
        <f t="shared" ref="BA23" ca="1" si="28">+BA13*BA17+SUM(BA14:BA15)*BA18</f>
        <v>629.84070904031967</v>
      </c>
      <c r="BB23" s="469">
        <f t="shared" ca="1" si="26"/>
        <v>1420.0754797726513</v>
      </c>
      <c r="BC23" s="454">
        <f t="shared" ca="1" si="26"/>
        <v>202632.30946790005</v>
      </c>
      <c r="BD23" s="49">
        <f t="shared" ref="BD23" ca="1" si="29">+BD13*BD17+SUM(BD14:BD15)*BD18</f>
        <v>-110596.87835201081</v>
      </c>
      <c r="BE23" s="49">
        <f t="shared" ref="BE23" ca="1" si="30">+BE13*BE17+SUM(BE14:BE15)*BE18</f>
        <v>102496.92658420293</v>
      </c>
      <c r="BF23" s="469">
        <f t="shared" ca="1" si="26"/>
        <v>46878.264577706395</v>
      </c>
      <c r="BG23" s="454">
        <f ca="1">+BG13*BG17+SUM(BG14:BG15)*BG18</f>
        <v>534028.4902934056</v>
      </c>
      <c r="BH23" s="49">
        <f t="shared" ref="BH23:BL23" ca="1" si="31">+BH13*BH17+SUM(BH14:BH15)*BH18</f>
        <v>-63553.654294251013</v>
      </c>
      <c r="BI23" s="469">
        <f t="shared" ca="1" si="31"/>
        <v>10119.940004287193</v>
      </c>
      <c r="BJ23" s="454">
        <f t="shared" ca="1" si="31"/>
        <v>241663.12685119177</v>
      </c>
      <c r="BK23" s="49">
        <f t="shared" si="31"/>
        <v>0</v>
      </c>
      <c r="BL23" s="469">
        <f t="shared" si="31"/>
        <v>0</v>
      </c>
      <c r="BM23" s="454">
        <f ca="1">+BM13*BM17+SUM(BM14:BM15)*BM18</f>
        <v>15956.204793777957</v>
      </c>
      <c r="BN23" s="49">
        <f t="shared" ref="BN23:BO23" ca="1" si="32">+BN13*BN17+SUM(BN14:BN15)*BN18</f>
        <v>-92459.630323990161</v>
      </c>
      <c r="BO23" s="469">
        <f t="shared" ca="1" si="32"/>
        <v>126056.44340870807</v>
      </c>
      <c r="BP23" s="454">
        <f ca="1">+BP13*BP17+SUM(BP14:BP15)*BP18</f>
        <v>86592.662652892788</v>
      </c>
      <c r="BQ23" s="49">
        <f t="shared" ref="BQ23:BR23" ca="1" si="33">+BQ13*BQ17+SUM(BQ14:BQ15)*BQ18</f>
        <v>-8328.5498469979702</v>
      </c>
      <c r="BR23" s="469">
        <f t="shared" ca="1" si="33"/>
        <v>1558.6022859627597</v>
      </c>
      <c r="BS23" s="454">
        <f t="shared" ref="BS23:BX23" ca="1" si="34">+BS13*BS17+SUM(BS14:BS15)*BS18</f>
        <v>31856.846634593843</v>
      </c>
      <c r="BT23" s="49">
        <f t="shared" ref="BT23:BU23" ca="1" si="35">+BT13*BT17+SUM(BT14:BT15)*BT18</f>
        <v>-11497.273768871382</v>
      </c>
      <c r="BU23" s="49">
        <f t="shared" ca="1" si="35"/>
        <v>5934.7371452447096</v>
      </c>
      <c r="BV23" s="49">
        <f t="shared" ref="BV23:BW23" ca="1" si="36">+BV13*BV17+SUM(BV14:BV15)*BV18</f>
        <v>8545.9973564383508</v>
      </c>
      <c r="BW23" s="49">
        <f t="shared" ca="1" si="36"/>
        <v>71.292059368334989</v>
      </c>
      <c r="BX23" s="469">
        <f t="shared" ca="1" si="34"/>
        <v>2434.1602782132827</v>
      </c>
      <c r="BY23" s="454"/>
      <c r="BZ23" s="49"/>
      <c r="CA23" s="469"/>
      <c r="CB23" s="454"/>
      <c r="CC23" s="49"/>
      <c r="CD23" s="470"/>
      <c r="CE23" s="454">
        <f ca="1">+CE13*CE17+SUM(CE14:CE15)*CE18</f>
        <v>122836.28496384443</v>
      </c>
      <c r="CF23" s="49">
        <f t="shared" ref="CF23:CI23" ca="1" si="37">+CF13*CF17+SUM(CF14:CF15)*CF18</f>
        <v>-23096.954502087923</v>
      </c>
      <c r="CG23" s="49">
        <f t="shared" ref="CG23:CH23" ca="1" si="38">+CG13*CG17+SUM(CG14:CG15)*CG18</f>
        <v>1700.1497035258224</v>
      </c>
      <c r="CH23" s="49">
        <f t="shared" ca="1" si="38"/>
        <v>19222.10893806543</v>
      </c>
      <c r="CI23" s="469">
        <f t="shared" ca="1" si="37"/>
        <v>-20920.181217125017</v>
      </c>
    </row>
    <row r="24" spans="1:87" x14ac:dyDescent="0.25">
      <c r="A24" s="397">
        <f t="shared" si="0"/>
        <v>18</v>
      </c>
      <c r="B24" s="90" t="s">
        <v>80</v>
      </c>
      <c r="C24" s="88"/>
      <c r="D24" s="454">
        <f t="shared" ref="D24:W24" ca="1" si="39">SUM(D13:D15)*D19</f>
        <v>112167.944</v>
      </c>
      <c r="E24" s="49">
        <f t="shared" ca="1" si="39"/>
        <v>-35371.168359999989</v>
      </c>
      <c r="F24" s="49">
        <f t="shared" ref="F24" ca="1" si="40">SUM(F13:F15)*F19</f>
        <v>522.07364000000007</v>
      </c>
      <c r="G24" s="467">
        <f t="shared" ca="1" si="39"/>
        <v>27609.989839999998</v>
      </c>
      <c r="H24" s="468">
        <f t="shared" ca="1" si="39"/>
        <v>26002.639999999999</v>
      </c>
      <c r="I24" s="49">
        <f t="shared" ca="1" si="39"/>
        <v>60374.801279999985</v>
      </c>
      <c r="J24" s="49">
        <f t="shared" ca="1" si="39"/>
        <v>4794.0875999999998</v>
      </c>
      <c r="K24" s="49">
        <f t="shared" ref="K24" ca="1" si="41">SUM(K13:K15)*K19</f>
        <v>10145.721840000002</v>
      </c>
      <c r="L24" s="467">
        <f t="shared" ca="1" si="39"/>
        <v>5870.6777599999996</v>
      </c>
      <c r="M24" s="468">
        <f t="shared" ca="1" si="39"/>
        <v>48305.296000000002</v>
      </c>
      <c r="N24" s="49">
        <f t="shared" ca="1" si="39"/>
        <v>-31310.889640000009</v>
      </c>
      <c r="O24" s="49">
        <f t="shared" ca="1" si="39"/>
        <v>795.11883999999998</v>
      </c>
      <c r="P24" s="49">
        <f t="shared" ca="1" si="39"/>
        <v>56419.714919999999</v>
      </c>
      <c r="Q24" s="49">
        <f t="shared" ref="Q24" ca="1" si="42">SUM(Q13:Q15)*Q19</f>
        <v>8645.6080000000002</v>
      </c>
      <c r="R24" s="467">
        <f t="shared" ca="1" si="39"/>
        <v>1910.3208</v>
      </c>
      <c r="S24" s="454">
        <f t="shared" ref="S24" ca="1" si="43">SUM(S13:S15)*S19</f>
        <v>295305.90399999998</v>
      </c>
      <c r="T24" s="49">
        <f ca="1">SUM(T13:T15)*T19</f>
        <v>46574.315439999991</v>
      </c>
      <c r="U24" s="467">
        <f ca="1">SUM(U13:U15)*U19</f>
        <v>4882.1024399999997</v>
      </c>
      <c r="V24" s="468">
        <f t="shared" ca="1" si="39"/>
        <v>1317432.1513199999</v>
      </c>
      <c r="W24" s="49">
        <f t="shared" si="39"/>
        <v>0</v>
      </c>
      <c r="X24" s="467">
        <f t="shared" ref="X24" si="44">SUM(X13:X15)*X19</f>
        <v>0</v>
      </c>
      <c r="Y24" s="468">
        <f ca="1">SUM(Y13:Y15)*Y19</f>
        <v>112167.944</v>
      </c>
      <c r="Z24" s="49">
        <f ca="1">SUM(Z13:Z15)*Z19</f>
        <v>-35371.168359999989</v>
      </c>
      <c r="AA24" s="49">
        <f t="shared" ref="AA24" ca="1" si="45">SUM(AA13:AA15)*AA19</f>
        <v>522.07364000000007</v>
      </c>
      <c r="AB24" s="49">
        <f ca="1">SUM(AB13:AB15)*AB19</f>
        <v>27609.989839999998</v>
      </c>
      <c r="AC24" s="454">
        <f t="shared" ref="AC24:AF24" ca="1" si="46">SUM(AC13:AC15)*AC19</f>
        <v>295305.90399999998</v>
      </c>
      <c r="AD24" s="49">
        <f ca="1">SUM(AD13:AD15)*AD19</f>
        <v>46574.315439999991</v>
      </c>
      <c r="AE24" s="467">
        <f ca="1">SUM(AE13:AE15)*AE19</f>
        <v>4882.1024399999997</v>
      </c>
      <c r="AF24" s="468">
        <f t="shared" ca="1" si="46"/>
        <v>1317432.1513199999</v>
      </c>
      <c r="AG24" s="49">
        <f>SUM(AG13:AG15)*AG19</f>
        <v>0</v>
      </c>
      <c r="AH24" s="467">
        <f>SUM(AH13:AH15)*AH19</f>
        <v>0</v>
      </c>
      <c r="AI24" s="454">
        <f t="shared" ref="AI24:AT24" ca="1" si="47">SUM(AI13:AI15)*AI19</f>
        <v>48305.296000000002</v>
      </c>
      <c r="AJ24" s="49">
        <f t="shared" ca="1" si="47"/>
        <v>-31310.889640000009</v>
      </c>
      <c r="AK24" s="49">
        <f t="shared" ca="1" si="47"/>
        <v>795.11883999999998</v>
      </c>
      <c r="AL24" s="49">
        <f t="shared" ca="1" si="47"/>
        <v>56419.714919999999</v>
      </c>
      <c r="AM24" s="49">
        <f t="shared" ref="AM24" ca="1" si="48">SUM(AM13:AM15)*AM19</f>
        <v>8645.6080000000002</v>
      </c>
      <c r="AN24" s="469">
        <f t="shared" ca="1" si="47"/>
        <v>1910.3208</v>
      </c>
      <c r="AO24" s="454">
        <f t="shared" ca="1" si="47"/>
        <v>34596.796000000002</v>
      </c>
      <c r="AP24" s="49">
        <f t="shared" ca="1" si="47"/>
        <v>-33625.11700000002</v>
      </c>
      <c r="AQ24" s="49">
        <f t="shared" ca="1" si="47"/>
        <v>2297.45948</v>
      </c>
      <c r="AR24" s="49">
        <f t="shared" ref="AR24" ca="1" si="49">SUM(AR13:AR15)*AR19</f>
        <v>29914.119839999999</v>
      </c>
      <c r="AS24" s="469">
        <f t="shared" ca="1" si="47"/>
        <v>17869.218799999999</v>
      </c>
      <c r="AT24" s="454">
        <f t="shared" ca="1" si="47"/>
        <v>56545.358119999997</v>
      </c>
      <c r="AU24" s="49">
        <f t="shared" ref="AU24:BF24" ca="1" si="50">SUM(AU13:AU15)*AU19</f>
        <v>-41946.643519999991</v>
      </c>
      <c r="AV24" s="49">
        <f ca="1">SUM(AV13:AV15)*AV19</f>
        <v>7035.67796</v>
      </c>
      <c r="AW24" s="49">
        <f ca="1">SUM(AW13:AW15)*AW19</f>
        <v>36450.69212</v>
      </c>
      <c r="AX24" s="469">
        <f t="shared" ca="1" si="50"/>
        <v>799.976</v>
      </c>
      <c r="AY24" s="454">
        <f t="shared" ca="1" si="50"/>
        <v>14191.597040000001</v>
      </c>
      <c r="AZ24" s="49">
        <f t="shared" ref="AZ24" ca="1" si="51">SUM(AZ13:AZ15)*AZ19</f>
        <v>943.7938400000063</v>
      </c>
      <c r="BA24" s="49">
        <f t="shared" ref="BA24" ca="1" si="52">SUM(BA13:BA15)*BA19</f>
        <v>476.04651999999032</v>
      </c>
      <c r="BB24" s="469">
        <f t="shared" ca="1" si="50"/>
        <v>1073.3221599999999</v>
      </c>
      <c r="BC24" s="454">
        <f t="shared" ca="1" si="50"/>
        <v>161266.03704</v>
      </c>
      <c r="BD24" s="49">
        <f t="shared" ref="BD24" ca="1" si="53">SUM(BD13:BD15)*BD19</f>
        <v>-87711.00416000004</v>
      </c>
      <c r="BE24" s="49">
        <f t="shared" ref="BE24" ca="1" si="54">SUM(BE13:BE15)*BE19</f>
        <v>77469.278360000026</v>
      </c>
      <c r="BF24" s="469">
        <f t="shared" ca="1" si="50"/>
        <v>35431.553399999997</v>
      </c>
      <c r="BG24" s="454">
        <f ca="1">SUM(BG13:BG15)*BG19</f>
        <v>422299.46668000013</v>
      </c>
      <c r="BH24" s="49">
        <f t="shared" ref="BH24:BL24" ca="1" si="55">SUM(BH13:BH15)*BH19</f>
        <v>-49801.76184000013</v>
      </c>
      <c r="BI24" s="469">
        <f t="shared" ca="1" si="55"/>
        <v>7648.8581199999999</v>
      </c>
      <c r="BJ24" s="454">
        <f t="shared" ca="1" si="55"/>
        <v>186455.86463999996</v>
      </c>
      <c r="BK24" s="49">
        <f t="shared" si="55"/>
        <v>0</v>
      </c>
      <c r="BL24" s="469">
        <f t="shared" si="55"/>
        <v>0</v>
      </c>
      <c r="BM24" s="454">
        <f ca="1">SUM(BM13:BM15)*BM19</f>
        <v>11005.601799999999</v>
      </c>
      <c r="BN24" s="49">
        <f t="shared" ref="BN24:BO24" ca="1" si="56">SUM(BN13:BN15)*BN19</f>
        <v>-63299.133079999992</v>
      </c>
      <c r="BO24" s="469">
        <f t="shared" ca="1" si="56"/>
        <v>95276.04415999999</v>
      </c>
      <c r="BP24" s="454">
        <f ca="1">SUM(BP13:BP15)*BP19</f>
        <v>67960.118839999996</v>
      </c>
      <c r="BQ24" s="49">
        <f t="shared" ref="BQ24:BR24" ca="1" si="57">SUM(BQ13:BQ15)*BQ19</f>
        <v>-6465.9082399999988</v>
      </c>
      <c r="BR24" s="469">
        <f t="shared" ca="1" si="57"/>
        <v>1178.0235600000001</v>
      </c>
      <c r="BS24" s="454">
        <f t="shared" ref="BS24:BX24" ca="1" si="58">SUM(BS13:BS15)*BS19</f>
        <v>23758.968000000001</v>
      </c>
      <c r="BT24" s="49">
        <f t="shared" ref="BT24:BU24" ca="1" si="59">SUM(BT13:BT15)*BT19</f>
        <v>-8552.4973599999994</v>
      </c>
      <c r="BU24" s="49">
        <f t="shared" ca="1" si="59"/>
        <v>4485.5959999999995</v>
      </c>
      <c r="BV24" s="49">
        <f t="shared" ref="BV24:BW24" ca="1" si="60">SUM(BV13:BV15)*BV19</f>
        <v>6459.24</v>
      </c>
      <c r="BW24" s="49">
        <f t="shared" ca="1" si="60"/>
        <v>53.884</v>
      </c>
      <c r="BX24" s="469">
        <f t="shared" ca="1" si="58"/>
        <v>1839.7882399999999</v>
      </c>
      <c r="BY24" s="454"/>
      <c r="BZ24" s="49"/>
      <c r="CA24" s="469"/>
      <c r="CB24" s="454"/>
      <c r="CC24" s="49"/>
      <c r="CD24" s="470"/>
      <c r="CE24" s="454">
        <f ca="1">SUM(CE13:CE15)*CE19</f>
        <v>98412.627999999997</v>
      </c>
      <c r="CF24" s="49">
        <f t="shared" ref="CF24:CI24" ca="1" si="61">SUM(CF13:CF15)*CF19</f>
        <v>-18325.88</v>
      </c>
      <c r="CG24" s="49">
        <f t="shared" ref="CG24:CH24" ca="1" si="62">SUM(CG13:CG15)*CG19</f>
        <v>1285.008</v>
      </c>
      <c r="CH24" s="49">
        <f t="shared" ca="1" si="62"/>
        <v>14528.464</v>
      </c>
      <c r="CI24" s="469">
        <f t="shared" ca="1" si="61"/>
        <v>-15811.901839999988</v>
      </c>
    </row>
    <row r="25" spans="1:87" ht="15" x14ac:dyDescent="0.4">
      <c r="A25" s="397">
        <f t="shared" si="0"/>
        <v>19</v>
      </c>
      <c r="B25" s="90" t="s">
        <v>81</v>
      </c>
      <c r="C25" s="88"/>
      <c r="D25" s="474">
        <f ca="1">SUM(D13:D15)*D21</f>
        <v>49353.895359999995</v>
      </c>
      <c r="E25" s="471">
        <f t="shared" ref="E25:BF25" ca="1" si="63">SUM(E13:E15)*E21</f>
        <v>-15563.314078399995</v>
      </c>
      <c r="F25" s="471">
        <f t="shared" ref="F25" ca="1" si="64">SUM(F13:F15)*F21</f>
        <v>229.71240159999999</v>
      </c>
      <c r="G25" s="472">
        <f t="shared" ca="1" si="63"/>
        <v>12148.395529599999</v>
      </c>
      <c r="H25" s="473">
        <f t="shared" ca="1" si="63"/>
        <v>11441.161599999999</v>
      </c>
      <c r="I25" s="471">
        <f t="shared" ca="1" si="63"/>
        <v>26564.912563199992</v>
      </c>
      <c r="J25" s="471">
        <f ca="1">SUM(J13:J15)*J21</f>
        <v>2109.3985439999997</v>
      </c>
      <c r="K25" s="471">
        <f t="shared" ref="K25" ca="1" si="65">SUM(K13:K15)*K21</f>
        <v>4464.1176096000008</v>
      </c>
      <c r="L25" s="472">
        <f t="shared" ca="1" si="63"/>
        <v>2583.0982143999995</v>
      </c>
      <c r="M25" s="473">
        <f t="shared" ca="1" si="63"/>
        <v>21254.330239999999</v>
      </c>
      <c r="N25" s="471">
        <f t="shared" ca="1" si="63"/>
        <v>-13776.791441600004</v>
      </c>
      <c r="O25" s="471">
        <f t="shared" ca="1" si="63"/>
        <v>349.85228960000001</v>
      </c>
      <c r="P25" s="471">
        <f ca="1">SUM(P13:P15)*P21</f>
        <v>24824.6745648</v>
      </c>
      <c r="Q25" s="471">
        <f ca="1">SUM(Q13:Q15)*Q21</f>
        <v>3804.0675199999996</v>
      </c>
      <c r="R25" s="472">
        <f t="shared" ca="1" si="63"/>
        <v>840.5411519999999</v>
      </c>
      <c r="S25" s="474">
        <f t="shared" ref="S25:U25" ca="1" si="66">SUM(S13:S15)*S21</f>
        <v>129934.59775999999</v>
      </c>
      <c r="T25" s="471">
        <f t="shared" ca="1" si="66"/>
        <v>20492.698793599997</v>
      </c>
      <c r="U25" s="472">
        <f t="shared" ca="1" si="66"/>
        <v>2148.1250735999997</v>
      </c>
      <c r="V25" s="473">
        <f t="shared" ca="1" si="63"/>
        <v>579670.14658079995</v>
      </c>
      <c r="W25" s="471">
        <f>SUM(W13:W15)*W21</f>
        <v>0</v>
      </c>
      <c r="X25" s="472">
        <f t="shared" ref="X25" si="67">SUM(X13:X15)*X21</f>
        <v>0</v>
      </c>
      <c r="Y25" s="473">
        <f ca="1">SUM(Y13:Y15)*Y21</f>
        <v>49353.895359999995</v>
      </c>
      <c r="Z25" s="471">
        <f ca="1">SUM(Z13:Z15)*Z21</f>
        <v>-15563.314078399995</v>
      </c>
      <c r="AA25" s="471">
        <f t="shared" ref="AA25" ca="1" si="68">SUM(AA13:AA15)*AA21</f>
        <v>229.71240159999999</v>
      </c>
      <c r="AB25" s="471">
        <f ca="1">SUM(AB13:AB15)*AB21</f>
        <v>12148.395529599999</v>
      </c>
      <c r="AC25" s="474">
        <f t="shared" ca="1" si="63"/>
        <v>129934.59775999999</v>
      </c>
      <c r="AD25" s="471">
        <f t="shared" ca="1" si="63"/>
        <v>20492.698793599997</v>
      </c>
      <c r="AE25" s="472">
        <f t="shared" ca="1" si="63"/>
        <v>2148.1250735999997</v>
      </c>
      <c r="AF25" s="473">
        <f t="shared" ca="1" si="63"/>
        <v>579670.14658079995</v>
      </c>
      <c r="AG25" s="471">
        <f t="shared" ref="AG25:AH25" si="69">SUM(AG13:AG15)*AG21</f>
        <v>0</v>
      </c>
      <c r="AH25" s="472">
        <f t="shared" si="69"/>
        <v>0</v>
      </c>
      <c r="AI25" s="474">
        <f t="shared" ca="1" si="63"/>
        <v>21254.330239999999</v>
      </c>
      <c r="AJ25" s="471">
        <f t="shared" ca="1" si="63"/>
        <v>-13776.791441600004</v>
      </c>
      <c r="AK25" s="471">
        <f t="shared" ca="1" si="63"/>
        <v>349.85228960000001</v>
      </c>
      <c r="AL25" s="471">
        <f ca="1">SUM(AL13:AL15)*AL21</f>
        <v>24824.6745648</v>
      </c>
      <c r="AM25" s="471">
        <f ca="1">SUM(AM13:AM15)*AM21</f>
        <v>3804.0675199999996</v>
      </c>
      <c r="AN25" s="475">
        <f t="shared" ca="1" si="63"/>
        <v>840.5411519999999</v>
      </c>
      <c r="AO25" s="474">
        <f t="shared" ca="1" si="63"/>
        <v>15222.59024</v>
      </c>
      <c r="AP25" s="471">
        <f t="shared" ca="1" si="63"/>
        <v>-14795.051480000007</v>
      </c>
      <c r="AQ25" s="471">
        <f ca="1">SUM(AQ13:AQ15)*AQ21</f>
        <v>1010.8821711999999</v>
      </c>
      <c r="AR25" s="471">
        <f ca="1">SUM(AR13:AR15)*AR21</f>
        <v>13162.2127296</v>
      </c>
      <c r="AS25" s="475">
        <f t="shared" ca="1" si="63"/>
        <v>7862.4562719999994</v>
      </c>
      <c r="AT25" s="474">
        <f t="shared" ca="1" si="63"/>
        <v>24879.957572799998</v>
      </c>
      <c r="AU25" s="471">
        <f t="shared" ca="1" si="63"/>
        <v>-18456.523148799995</v>
      </c>
      <c r="AV25" s="471">
        <f ca="1">SUM(AV13:AV15)*AV21</f>
        <v>3095.6983024000001</v>
      </c>
      <c r="AW25" s="471">
        <f ca="1">SUM(AW13:AW15)*AW21</f>
        <v>16038.304532799999</v>
      </c>
      <c r="AX25" s="475">
        <f t="shared" ca="1" si="63"/>
        <v>351.98944</v>
      </c>
      <c r="AY25" s="474">
        <f t="shared" ca="1" si="63"/>
        <v>6244.3026976000001</v>
      </c>
      <c r="AZ25" s="471">
        <f t="shared" ref="AZ25" ca="1" si="70">SUM(AZ13:AZ15)*AZ21</f>
        <v>415.26928960000276</v>
      </c>
      <c r="BA25" s="471">
        <f t="shared" ref="BA25" ca="1" si="71">SUM(BA13:BA15)*BA21</f>
        <v>209.46046879999574</v>
      </c>
      <c r="BB25" s="475">
        <f t="shared" ca="1" si="63"/>
        <v>472.26175039999998</v>
      </c>
      <c r="BC25" s="474">
        <f t="shared" ca="1" si="63"/>
        <v>70957.056297599993</v>
      </c>
      <c r="BD25" s="471">
        <f t="shared" ref="BD25" ca="1" si="72">SUM(BD13:BD15)*BD21</f>
        <v>-38592.841830400015</v>
      </c>
      <c r="BE25" s="471">
        <f t="shared" ref="BE25" ca="1" si="73">SUM(BE13:BE15)*BE21</f>
        <v>34086.482478400008</v>
      </c>
      <c r="BF25" s="475">
        <f t="shared" ca="1" si="63"/>
        <v>15589.883495999999</v>
      </c>
      <c r="BG25" s="474">
        <f ca="1">SUM(BG13:BG15)*BG21</f>
        <v>185811.76533920004</v>
      </c>
      <c r="BH25" s="471">
        <f t="shared" ref="BH25:BL25" ca="1" si="74">SUM(BH13:BH15)*BH21</f>
        <v>-21912.775209600055</v>
      </c>
      <c r="BI25" s="475">
        <f t="shared" ca="1" si="74"/>
        <v>3365.4975727999995</v>
      </c>
      <c r="BJ25" s="474">
        <f t="shared" ca="1" si="74"/>
        <v>82040.580441599988</v>
      </c>
      <c r="BK25" s="471">
        <f t="shared" si="74"/>
        <v>0</v>
      </c>
      <c r="BL25" s="475">
        <f t="shared" si="74"/>
        <v>0</v>
      </c>
      <c r="BM25" s="474">
        <f ca="1">SUM(BM13:BM15)*BM21</f>
        <v>4842.4647919999989</v>
      </c>
      <c r="BN25" s="471">
        <f t="shared" ref="BN25:BO25" ca="1" si="75">SUM(BN13:BN15)*BN21</f>
        <v>-27851.618555199995</v>
      </c>
      <c r="BO25" s="475">
        <f t="shared" ca="1" si="75"/>
        <v>41921.459430399991</v>
      </c>
      <c r="BP25" s="474">
        <f ca="1">SUM(BP13:BP15)*BP21</f>
        <v>29902.452289599998</v>
      </c>
      <c r="BQ25" s="471">
        <f t="shared" ref="BQ25:BR25" ca="1" si="76">SUM(BQ13:BQ15)*BQ21</f>
        <v>-2844.9996255999995</v>
      </c>
      <c r="BR25" s="475">
        <f t="shared" ca="1" si="76"/>
        <v>518.3303664</v>
      </c>
      <c r="BS25" s="474">
        <f t="shared" ref="BS25:BX25" ca="1" si="77">SUM(BS13:BS15)*BS21</f>
        <v>10453.94592</v>
      </c>
      <c r="BT25" s="471">
        <f t="shared" ref="BT25:BU25" ca="1" si="78">SUM(BT13:BT15)*BT21</f>
        <v>-3763.0988383999993</v>
      </c>
      <c r="BU25" s="471">
        <f t="shared" ca="1" si="78"/>
        <v>1973.6622399999999</v>
      </c>
      <c r="BV25" s="471">
        <f t="shared" ref="BV25:BW25" ca="1" si="79">SUM(BV13:BV15)*BV21</f>
        <v>2842.0655999999999</v>
      </c>
      <c r="BW25" s="471">
        <f t="shared" ca="1" si="79"/>
        <v>23.708959999999998</v>
      </c>
      <c r="BX25" s="475">
        <f t="shared" ca="1" si="77"/>
        <v>809.50682559999984</v>
      </c>
      <c r="BY25" s="474"/>
      <c r="BZ25" s="471"/>
      <c r="CA25" s="475"/>
      <c r="CB25" s="474"/>
      <c r="CC25" s="471"/>
      <c r="CD25" s="476"/>
      <c r="CE25" s="474">
        <f ca="1">SUM(CE13:CE15)*CE21</f>
        <v>43301.556319999996</v>
      </c>
      <c r="CF25" s="471">
        <f t="shared" ref="CF25:CI25" ca="1" si="80">SUM(CF13:CF15)*CF21</f>
        <v>-8063.3871999999992</v>
      </c>
      <c r="CG25" s="471">
        <f t="shared" ref="CG25:CH25" ca="1" si="81">SUM(CG13:CG15)*CG21</f>
        <v>565.40351999999996</v>
      </c>
      <c r="CH25" s="471">
        <f t="shared" ca="1" si="81"/>
        <v>6392.5241599999999</v>
      </c>
      <c r="CI25" s="475">
        <f t="shared" ca="1" si="80"/>
        <v>-6957.2368095999946</v>
      </c>
    </row>
    <row r="26" spans="1:87" x14ac:dyDescent="0.25">
      <c r="A26" s="397">
        <f t="shared" si="0"/>
        <v>20</v>
      </c>
      <c r="B26" s="90" t="s">
        <v>113</v>
      </c>
      <c r="C26" s="88"/>
      <c r="D26" s="452">
        <f t="shared" ref="D26:AX26" ca="1" si="82">SUM(D23:D25)</f>
        <v>303671.54733308044</v>
      </c>
      <c r="E26" s="73">
        <f t="shared" ca="1" si="82"/>
        <v>-95858.919461194266</v>
      </c>
      <c r="F26" s="73">
        <f t="shared" ref="F26" ca="1" si="83">SUM(F23:F25)</f>
        <v>1442.5236434395581</v>
      </c>
      <c r="G26" s="450">
        <f t="shared" ca="1" si="82"/>
        <v>76288.209340211033</v>
      </c>
      <c r="H26" s="451">
        <f t="shared" ca="1" si="82"/>
        <v>71176.352472570026</v>
      </c>
      <c r="I26" s="73">
        <f t="shared" ca="1" si="82"/>
        <v>165584.40062599428</v>
      </c>
      <c r="J26" s="73">
        <f ca="1">SUM(J23:J25)</f>
        <v>13246.377870601562</v>
      </c>
      <c r="K26" s="73">
        <f t="shared" ref="K26" ca="1" si="84">SUM(K23:K25)</f>
        <v>28033.293605785384</v>
      </c>
      <c r="L26" s="450">
        <f t="shared" ca="1" si="82"/>
        <v>16221.066958704872</v>
      </c>
      <c r="M26" s="451">
        <f t="shared" ref="M26:S26" ca="1" si="85">SUM(M23:M25)</f>
        <v>130717.71749568624</v>
      </c>
      <c r="N26" s="73">
        <f t="shared" ca="1" si="85"/>
        <v>-84828.135567476973</v>
      </c>
      <c r="O26" s="73">
        <f t="shared" ca="1" si="85"/>
        <v>2196.9654051950124</v>
      </c>
      <c r="P26" s="73">
        <f t="shared" ca="1" si="85"/>
        <v>155891.36568592046</v>
      </c>
      <c r="Q26" s="73">
        <f t="shared" ca="1" si="85"/>
        <v>23888.380865025461</v>
      </c>
      <c r="R26" s="450">
        <f t="shared" ca="1" si="85"/>
        <v>5278.3414243139559</v>
      </c>
      <c r="S26" s="452">
        <f t="shared" ca="1" si="85"/>
        <v>801810.17697504663</v>
      </c>
      <c r="T26" s="73">
        <f ca="1">SUM(T23:T25)</f>
        <v>127473.98818800125</v>
      </c>
      <c r="U26" s="450">
        <f ca="1">SUM(U23:U25)</f>
        <v>13489.568635171767</v>
      </c>
      <c r="V26" s="451">
        <f t="shared" ca="1" si="82"/>
        <v>3550755.7796642133</v>
      </c>
      <c r="W26" s="73">
        <f>SUM(W23:W25)</f>
        <v>0</v>
      </c>
      <c r="X26" s="450">
        <f>SUM(X23:X25)</f>
        <v>0</v>
      </c>
      <c r="Y26" s="451">
        <f ca="1">SUM(Y23:Y25)</f>
        <v>303671.54733308044</v>
      </c>
      <c r="Z26" s="73">
        <f ca="1">SUM(Z23:Z25)</f>
        <v>-95858.919461194266</v>
      </c>
      <c r="AA26" s="73">
        <f t="shared" ref="AA26" ca="1" si="86">SUM(AA23:AA25)</f>
        <v>1442.5236434395581</v>
      </c>
      <c r="AB26" s="73">
        <f ca="1">SUM(AB23:AB25)</f>
        <v>76288.209340211033</v>
      </c>
      <c r="AC26" s="452">
        <f t="shared" ref="AC26:AF26" ca="1" si="87">SUM(AC23:AC25)</f>
        <v>801810.17697504663</v>
      </c>
      <c r="AD26" s="73">
        <f ca="1">SUM(AD23:AD25)</f>
        <v>127473.98818800125</v>
      </c>
      <c r="AE26" s="450">
        <f ca="1">SUM(AE23:AE25)</f>
        <v>13489.568635171767</v>
      </c>
      <c r="AF26" s="451">
        <f t="shared" ca="1" si="87"/>
        <v>3550755.7796642133</v>
      </c>
      <c r="AG26" s="73">
        <f>SUM(AG23:AG25)</f>
        <v>0</v>
      </c>
      <c r="AH26" s="450">
        <f>SUM(AH23:AH25)</f>
        <v>0</v>
      </c>
      <c r="AI26" s="452">
        <f t="shared" ca="1" si="82"/>
        <v>130717.71749568624</v>
      </c>
      <c r="AJ26" s="73">
        <f t="shared" ca="1" si="82"/>
        <v>-84828.135567476973</v>
      </c>
      <c r="AK26" s="73">
        <f t="shared" ca="1" si="82"/>
        <v>2196.9654051950124</v>
      </c>
      <c r="AL26" s="73">
        <f ca="1">SUM(AL23:AL25)</f>
        <v>155891.36568592046</v>
      </c>
      <c r="AM26" s="73">
        <f ca="1">SUM(AM23:AM25)</f>
        <v>23888.380865025461</v>
      </c>
      <c r="AN26" s="453">
        <f t="shared" ca="1" si="82"/>
        <v>5278.3414243139559</v>
      </c>
      <c r="AO26" s="452">
        <f t="shared" ca="1" si="82"/>
        <v>94000.632417558198</v>
      </c>
      <c r="AP26" s="73">
        <f t="shared" ca="1" si="82"/>
        <v>-91363.293753246558</v>
      </c>
      <c r="AQ26" s="73">
        <f ca="1">SUM(AQ23:AQ25)</f>
        <v>6348.0309401262866</v>
      </c>
      <c r="AR26" s="73">
        <f ca="1">SUM(AR23:AR25)</f>
        <v>82654.671363764646</v>
      </c>
      <c r="AS26" s="453">
        <f t="shared" ca="1" si="82"/>
        <v>49373.821303819597</v>
      </c>
      <c r="AT26" s="452">
        <f t="shared" ca="1" si="82"/>
        <v>152319.24491068051</v>
      </c>
      <c r="AU26" s="73">
        <f t="shared" ca="1" si="82"/>
        <v>-113421.65421917484</v>
      </c>
      <c r="AV26" s="73">
        <f ca="1">SUM(AV23:AV25)</f>
        <v>19440.038774849076</v>
      </c>
      <c r="AW26" s="73">
        <f ca="1">SUM(AW23:AW25)</f>
        <v>100715.6484721887</v>
      </c>
      <c r="AX26" s="453">
        <f t="shared" ca="1" si="82"/>
        <v>2210.3860562356754</v>
      </c>
      <c r="AY26" s="452">
        <f t="shared" ref="AY26:BF26" ca="1" si="88">SUM(AY23:AY25)</f>
        <v>39218.668274905533</v>
      </c>
      <c r="AZ26" s="73">
        <f t="shared" ca="1" si="88"/>
        <v>2614.2639142284493</v>
      </c>
      <c r="BA26" s="73">
        <f t="shared" ref="BA26" ca="1" si="89">SUM(BA23:BA25)</f>
        <v>1315.347697840306</v>
      </c>
      <c r="BB26" s="453">
        <f t="shared" ca="1" si="88"/>
        <v>2965.659390172651</v>
      </c>
      <c r="BC26" s="452">
        <f t="shared" ca="1" si="88"/>
        <v>434855.40280550002</v>
      </c>
      <c r="BD26" s="73">
        <f t="shared" ref="BD26" ca="1" si="90">SUM(BD23:BD25)</f>
        <v>-236900.72434241089</v>
      </c>
      <c r="BE26" s="73">
        <f t="shared" ref="BE26" ca="1" si="91">SUM(BE23:BE25)</f>
        <v>214052.68742260296</v>
      </c>
      <c r="BF26" s="453">
        <f t="shared" ca="1" si="88"/>
        <v>97899.701473706387</v>
      </c>
      <c r="BG26" s="452">
        <f ca="1">SUM(BG23:BG25)</f>
        <v>1142139.7223126059</v>
      </c>
      <c r="BH26" s="73">
        <f t="shared" ref="BH26:BL26" ca="1" si="92">SUM(BH23:BH25)</f>
        <v>-135268.19134385118</v>
      </c>
      <c r="BI26" s="453">
        <f t="shared" ca="1" si="92"/>
        <v>21134.295697087193</v>
      </c>
      <c r="BJ26" s="452">
        <f t="shared" ca="1" si="92"/>
        <v>510159.57193279173</v>
      </c>
      <c r="BK26" s="73">
        <f t="shared" si="92"/>
        <v>0</v>
      </c>
      <c r="BL26" s="453">
        <f t="shared" si="92"/>
        <v>0</v>
      </c>
      <c r="BM26" s="452">
        <f ca="1">SUM(BM23:BM25)</f>
        <v>31804.271385777953</v>
      </c>
      <c r="BN26" s="73">
        <f t="shared" ref="BN26:BO26" ca="1" si="93">SUM(BN23:BN25)</f>
        <v>-183610.38195919016</v>
      </c>
      <c r="BO26" s="453">
        <f t="shared" ca="1" si="93"/>
        <v>263253.94699910807</v>
      </c>
      <c r="BP26" s="452">
        <f ca="1">SUM(BP23:BP25)</f>
        <v>184455.23378249275</v>
      </c>
      <c r="BQ26" s="73">
        <f t="shared" ref="BQ26:BR26" ca="1" si="94">SUM(BQ23:BQ25)</f>
        <v>-17639.45771259797</v>
      </c>
      <c r="BR26" s="453">
        <f t="shared" ca="1" si="94"/>
        <v>3254.9562123627597</v>
      </c>
      <c r="BS26" s="452">
        <f t="shared" ref="BS26:BX26" ca="1" si="95">SUM(BS23:BS25)</f>
        <v>66069.760554593842</v>
      </c>
      <c r="BT26" s="73">
        <f t="shared" ref="BT26:BU26" ca="1" si="96">SUM(BT23:BT25)</f>
        <v>-23812.869967271385</v>
      </c>
      <c r="BU26" s="73">
        <f t="shared" ca="1" si="96"/>
        <v>12393.995385244709</v>
      </c>
      <c r="BV26" s="73">
        <f t="shared" ref="BV26:BW26" ca="1" si="97">SUM(BV23:BV25)</f>
        <v>17847.302956438351</v>
      </c>
      <c r="BW26" s="73">
        <f t="shared" ca="1" si="97"/>
        <v>148.88501936833498</v>
      </c>
      <c r="BX26" s="453">
        <f t="shared" ca="1" si="95"/>
        <v>5083.4553438132825</v>
      </c>
      <c r="BY26" s="452"/>
      <c r="BZ26" s="73"/>
      <c r="CA26" s="453"/>
      <c r="CB26" s="452"/>
      <c r="CC26" s="73"/>
      <c r="CD26" s="455"/>
      <c r="CE26" s="452">
        <f ca="1">SUM(CE23:CE25)</f>
        <v>264550.4692838444</v>
      </c>
      <c r="CF26" s="73">
        <f t="shared" ref="CF26:CI26" ca="1" si="98">SUM(CF23:CF25)</f>
        <v>-49486.221702087918</v>
      </c>
      <c r="CG26" s="73">
        <f t="shared" ca="1" si="98"/>
        <v>3550.5612235258222</v>
      </c>
      <c r="CH26" s="73">
        <f t="shared" ca="1" si="98"/>
        <v>40143.097098065431</v>
      </c>
      <c r="CI26" s="453">
        <f t="shared" ca="1" si="98"/>
        <v>-43689.319866724996</v>
      </c>
    </row>
    <row r="27" spans="1:87" ht="13.8" thickBot="1" x14ac:dyDescent="0.3">
      <c r="A27" s="397">
        <f t="shared" si="0"/>
        <v>21</v>
      </c>
      <c r="B27" s="92" t="s">
        <v>186</v>
      </c>
      <c r="C27" s="66">
        <f ca="1">SUM(D27:CI27)</f>
        <v>3118291.4568443261</v>
      </c>
      <c r="D27" s="479">
        <f t="shared" ref="D27:V27" ca="1" si="99">SUM(D23:D25)*D9*D10</f>
        <v>170813.93554097982</v>
      </c>
      <c r="E27" s="66">
        <f t="shared" ca="1" si="99"/>
        <v>-53920.228726310794</v>
      </c>
      <c r="F27" s="66">
        <f t="shared" ref="F27" ca="1" si="100">SUM(F23:F25)*F9*F10</f>
        <v>811.41332736240224</v>
      </c>
      <c r="G27" s="477">
        <f t="shared" ca="1" si="99"/>
        <v>42911.78869807814</v>
      </c>
      <c r="H27" s="478">
        <f t="shared" ca="1" si="99"/>
        <v>35563.300133107012</v>
      </c>
      <c r="I27" s="66">
        <f t="shared" ca="1" si="99"/>
        <v>82734.328639448999</v>
      </c>
      <c r="J27" s="66">
        <f ca="1">SUM(J23:J25)*J9*J10</f>
        <v>6618.5593321924889</v>
      </c>
      <c r="K27" s="66">
        <f t="shared" ref="K27" ca="1" si="101">SUM(K23:K25)*K9*K10</f>
        <v>14006.849179385285</v>
      </c>
      <c r="L27" s="477">
        <f t="shared" ca="1" si="99"/>
        <v>8104.8642237457025</v>
      </c>
      <c r="M27" s="478">
        <f t="shared" ca="1" si="99"/>
        <v>33579.859976685992</v>
      </c>
      <c r="N27" s="66">
        <f t="shared" ca="1" si="99"/>
        <v>-21791.360566965344</v>
      </c>
      <c r="O27" s="66">
        <f t="shared" ca="1" si="99"/>
        <v>564.37483834206546</v>
      </c>
      <c r="P27" s="66">
        <f ca="1">SUM(P23:P25)*P9*P10</f>
        <v>40046.677157442806</v>
      </c>
      <c r="Q27" s="66">
        <f ca="1">SUM(Q23:Q25)*Q9*Q10</f>
        <v>6136.6469663438847</v>
      </c>
      <c r="R27" s="477">
        <f t="shared" ca="1" si="99"/>
        <v>1355.9444682275234</v>
      </c>
      <c r="S27" s="479">
        <f t="shared" ref="S27" ca="1" si="102">SUM(S23:S25)*S9*S10</f>
        <v>0</v>
      </c>
      <c r="T27" s="66">
        <f ca="1">SUM(T23:T25)*T9*T10</f>
        <v>0</v>
      </c>
      <c r="U27" s="477">
        <f ca="1">SUM(U23:U25)*U9*U10</f>
        <v>0</v>
      </c>
      <c r="V27" s="478">
        <f t="shared" ca="1" si="99"/>
        <v>1142686.8379241715</v>
      </c>
      <c r="W27" s="66">
        <f>SUM(W23:W25)*W9*W10</f>
        <v>0</v>
      </c>
      <c r="X27" s="477">
        <f t="shared" ref="X27" si="103">SUM(X23:X25)*X9*X10</f>
        <v>0</v>
      </c>
      <c r="Y27" s="478">
        <f ca="1">SUM(Y23:Y25)*Y9*Y10</f>
        <v>57495.881307944204</v>
      </c>
      <c r="Z27" s="66">
        <f ca="1">SUM(Z23:Z25)*Z9*Z10</f>
        <v>-18149.520770226649</v>
      </c>
      <c r="AA27" s="66">
        <f t="shared" ref="AA27" ca="1" si="104">SUM(AA23:AA25)*AA9*AA10</f>
        <v>273.12130133855675</v>
      </c>
      <c r="AB27" s="66">
        <f ca="1">SUM(AB23:AB25)*AB9*AB10</f>
        <v>14444.085617969773</v>
      </c>
      <c r="AC27" s="479">
        <f t="shared" ref="AC27:AF27" ca="1" si="105">SUM(AC23:AC25)*AC9*AC10</f>
        <v>379836.77461346204</v>
      </c>
      <c r="AD27" s="66">
        <f ca="1">SUM(AD23:AD25)*AD9*AD10</f>
        <v>60387.495582949959</v>
      </c>
      <c r="AE27" s="477">
        <f ca="1">SUM(AE23:AE25)*AE9*AE10</f>
        <v>6390.3332589778602</v>
      </c>
      <c r="AF27" s="478">
        <f t="shared" ca="1" si="105"/>
        <v>634435.15369560348</v>
      </c>
      <c r="AG27" s="66">
        <f>SUM(AG23:AG25)*AG9*AG10</f>
        <v>0</v>
      </c>
      <c r="AH27" s="477">
        <f>SUM(AH23:AH25)*AH9*AH10</f>
        <v>0</v>
      </c>
      <c r="AI27" s="479">
        <f t="shared" ref="AI27:BF27" ca="1" si="106">SUM(AI23:AI25)*AI9*AI10</f>
        <v>30989.418799611565</v>
      </c>
      <c r="AJ27" s="66">
        <f t="shared" ca="1" si="106"/>
        <v>-20110.316102922468</v>
      </c>
      <c r="AK27" s="66">
        <f t="shared" ca="1" si="106"/>
        <v>520.83743760361574</v>
      </c>
      <c r="AL27" s="66">
        <f ca="1">SUM(AL23:AL25)*AL9*AL10</f>
        <v>36957.368220905555</v>
      </c>
      <c r="AM27" s="66">
        <f ca="1">SUM(AM23:AM25)*AM9*AM10</f>
        <v>5663.2494297900439</v>
      </c>
      <c r="AN27" s="480">
        <f t="shared" ca="1" si="106"/>
        <v>1251.343246341502</v>
      </c>
      <c r="AO27" s="479">
        <f t="shared" ca="1" si="106"/>
        <v>10771.759055970611</v>
      </c>
      <c r="AP27" s="66">
        <f t="shared" ca="1" si="106"/>
        <v>-10469.540061158255</v>
      </c>
      <c r="AQ27" s="66">
        <f ca="1">SUM(AQ23:AQ25)*AQ9*AQ10</f>
        <v>727.43616727108849</v>
      </c>
      <c r="AR27" s="66">
        <f ca="1">SUM(AR23:AR25)*AR9*AR10</f>
        <v>9471.598029532006</v>
      </c>
      <c r="AS27" s="480">
        <f t="shared" ca="1" si="106"/>
        <v>5657.8651981276626</v>
      </c>
      <c r="AT27" s="479">
        <f t="shared" ca="1" si="106"/>
        <v>41169.184174732327</v>
      </c>
      <c r="AU27" s="66">
        <f t="shared" ca="1" si="106"/>
        <v>-30655.856879346928</v>
      </c>
      <c r="AV27" s="66">
        <f ca="1">SUM(AV23:AV25)*AV9*AV10</f>
        <v>5254.2969022398347</v>
      </c>
      <c r="AW27" s="66">
        <f ca="1">SUM(AW23:AW25)*AW9*AW10</f>
        <v>27221.649396046825</v>
      </c>
      <c r="AX27" s="480">
        <f t="shared" ca="1" si="106"/>
        <v>597.42805775979741</v>
      </c>
      <c r="AY27" s="479">
        <f t="shared" ca="1" si="106"/>
        <v>12610.707559979948</v>
      </c>
      <c r="AZ27" s="66">
        <f t="shared" ref="AZ27" ca="1" si="107">SUM(AZ23:AZ25)*AZ9*AZ10</f>
        <v>840.61288047453183</v>
      </c>
      <c r="BA27" s="66">
        <f t="shared" ref="BA27" ca="1" si="108">SUM(BA23:BA25)*BA9*BA10</f>
        <v>422.94820009915094</v>
      </c>
      <c r="BB27" s="480">
        <f t="shared" ca="1" si="106"/>
        <v>953.6036009643384</v>
      </c>
      <c r="BC27" s="479">
        <f t="shared" ca="1" si="106"/>
        <v>55722.745714314937</v>
      </c>
      <c r="BD27" s="66">
        <f t="shared" ref="BD27" ca="1" si="109">SUM(BD23:BD25)*BD9*BD10</f>
        <v>-30356.662782395164</v>
      </c>
      <c r="BE27" s="66">
        <f t="shared" ref="BE27" ca="1" si="110">SUM(BE23:BE25)*BE9*BE10</f>
        <v>27428.895659945068</v>
      </c>
      <c r="BF27" s="480">
        <f t="shared" ca="1" si="106"/>
        <v>12544.952035853346</v>
      </c>
      <c r="BG27" s="479">
        <f ca="1">SUM(BG23:BG25)*BG9*BG10</f>
        <v>174492.30415441759</v>
      </c>
      <c r="BH27" s="66">
        <f t="shared" ref="BH27:BL27" ca="1" si="111">SUM(BH23:BH25)*BH9*BH10</f>
        <v>-20665.8239139055</v>
      </c>
      <c r="BI27" s="480">
        <f t="shared" ca="1" si="111"/>
        <v>3228.8273324375168</v>
      </c>
      <c r="BJ27" s="479">
        <f t="shared" ca="1" si="111"/>
        <v>23991.955028950026</v>
      </c>
      <c r="BK27" s="66">
        <f t="shared" si="111"/>
        <v>0</v>
      </c>
      <c r="BL27" s="480">
        <f t="shared" si="111"/>
        <v>0</v>
      </c>
      <c r="BM27" s="479">
        <f ca="1">SUM(BM23:BM25)*BM9*BM10</f>
        <v>7365.1940197679996</v>
      </c>
      <c r="BN27" s="66">
        <f t="shared" ref="BN27:BO27" ca="1" si="112">SUM(BN23:BN25)*BN9*BN10</f>
        <v>-42520.266248824388</v>
      </c>
      <c r="BO27" s="480">
        <f t="shared" ca="1" si="112"/>
        <v>60964.025007822878</v>
      </c>
      <c r="BP27" s="479">
        <f ca="1">SUM(BP23:BP25)*BP9*BP10</f>
        <v>48027.448922542811</v>
      </c>
      <c r="BQ27" s="66">
        <f t="shared" ref="BQ27:BR27" ca="1" si="113">SUM(BQ23:BQ25)*BQ9*BQ10</f>
        <v>-4592.8659054051805</v>
      </c>
      <c r="BR27" s="480">
        <f t="shared" ca="1" si="113"/>
        <v>847.50776667418904</v>
      </c>
      <c r="BS27" s="479">
        <f t="shared" ref="BS27:BX27" ca="1" si="114">SUM(BS23:BS25)*BS9*BS10</f>
        <v>7815.5946109613215</v>
      </c>
      <c r="BT27" s="66">
        <f t="shared" ref="BT27:BU27" ca="1" si="115">SUM(BT23:BT25)*BT9*BT10</f>
        <v>-2816.8974221413091</v>
      </c>
      <c r="BU27" s="66">
        <f t="shared" ca="1" si="115"/>
        <v>1466.123726317378</v>
      </c>
      <c r="BV27" s="66">
        <f t="shared" ref="BV27:BW27" ca="1" si="116">SUM(BV23:BV25)*BV9*BV10</f>
        <v>2111.2122041258867</v>
      </c>
      <c r="BW27" s="66">
        <f t="shared" ca="1" si="116"/>
        <v>17.612065569187592</v>
      </c>
      <c r="BX27" s="480">
        <f t="shared" ca="1" si="114"/>
        <v>601.33752350048701</v>
      </c>
      <c r="BY27" s="479"/>
      <c r="BZ27" s="66"/>
      <c r="CA27" s="480"/>
      <c r="CB27" s="479"/>
      <c r="CC27" s="66"/>
      <c r="CD27" s="481"/>
      <c r="CE27" s="479">
        <f ca="1">SUM(CE23:CE25)*CE9*CE10</f>
        <v>21447.005727323383</v>
      </c>
      <c r="CF27" s="66">
        <f t="shared" ref="CF27:CI27" ca="1" si="117">SUM(CF23:CF25)*CF9*CF10</f>
        <v>-4011.8291346878659</v>
      </c>
      <c r="CG27" s="66">
        <f t="shared" ref="CG27:CH27" ca="1" si="118">SUM(CG23:CG25)*CG9*CG10</f>
        <v>287.8426453081363</v>
      </c>
      <c r="CH27" s="66">
        <f t="shared" ca="1" si="118"/>
        <v>3254.3855836103958</v>
      </c>
      <c r="CI27" s="480">
        <f t="shared" ca="1" si="117"/>
        <v>-3541.8765120358657</v>
      </c>
    </row>
    <row r="28" spans="1:87" ht="13.8" thickTop="1" x14ac:dyDescent="0.25">
      <c r="A28" s="397">
        <f t="shared" si="0"/>
        <v>22</v>
      </c>
      <c r="B28" s="92"/>
      <c r="C28" s="49"/>
      <c r="D28" s="454"/>
      <c r="E28" s="49"/>
      <c r="F28" s="49"/>
      <c r="G28" s="467"/>
      <c r="H28" s="468"/>
      <c r="I28" s="49"/>
      <c r="J28" s="49"/>
      <c r="K28" s="49"/>
      <c r="L28" s="467"/>
      <c r="M28" s="468"/>
      <c r="N28" s="49"/>
      <c r="O28" s="49"/>
      <c r="P28" s="49"/>
      <c r="Q28" s="49"/>
      <c r="R28" s="467"/>
      <c r="S28" s="49"/>
      <c r="T28" s="49"/>
      <c r="U28" s="49"/>
      <c r="V28" s="468"/>
      <c r="W28" s="49"/>
      <c r="X28" s="469"/>
      <c r="Y28" s="454"/>
      <c r="Z28" s="49"/>
      <c r="AA28" s="49"/>
      <c r="AB28" s="467"/>
      <c r="AC28" s="49"/>
      <c r="AD28" s="49"/>
      <c r="AE28" s="49"/>
      <c r="AF28" s="468"/>
      <c r="AG28" s="49"/>
      <c r="AH28" s="469"/>
      <c r="AI28" s="454"/>
      <c r="AJ28" s="49"/>
      <c r="AK28" s="49"/>
      <c r="AL28" s="49"/>
      <c r="AM28" s="49"/>
      <c r="AN28" s="469"/>
      <c r="AO28" s="454"/>
      <c r="AP28" s="49"/>
      <c r="AQ28" s="49"/>
      <c r="AR28" s="49"/>
      <c r="AS28" s="469"/>
      <c r="AT28" s="454"/>
      <c r="AU28" s="49"/>
      <c r="AV28" s="49"/>
      <c r="AW28" s="49"/>
      <c r="AX28" s="469"/>
      <c r="AY28" s="454"/>
      <c r="AZ28" s="49"/>
      <c r="BA28" s="49"/>
      <c r="BB28" s="469"/>
      <c r="BC28" s="454"/>
      <c r="BD28" s="49"/>
      <c r="BE28" s="49"/>
      <c r="BF28" s="469"/>
      <c r="BG28" s="454"/>
      <c r="BH28" s="49"/>
      <c r="BI28" s="49"/>
      <c r="BJ28" s="49"/>
      <c r="BK28" s="49"/>
      <c r="BL28" s="49"/>
      <c r="BM28" s="454"/>
      <c r="BN28" s="49"/>
      <c r="BO28" s="469"/>
      <c r="BP28" s="454"/>
      <c r="BQ28" s="49"/>
      <c r="BR28" s="469"/>
      <c r="BS28" s="454"/>
      <c r="BT28" s="49"/>
      <c r="BU28" s="49"/>
      <c r="BV28" s="49"/>
      <c r="BW28" s="49"/>
      <c r="BX28" s="469"/>
      <c r="BY28" s="454"/>
      <c r="BZ28" s="49"/>
      <c r="CA28" s="469"/>
      <c r="CB28" s="454"/>
      <c r="CC28" s="49"/>
      <c r="CD28" s="470"/>
      <c r="CE28" s="454"/>
      <c r="CF28" s="49"/>
      <c r="CG28" s="49"/>
      <c r="CH28" s="49"/>
      <c r="CI28" s="469"/>
    </row>
    <row r="29" spans="1:87" x14ac:dyDescent="0.25">
      <c r="A29" s="397">
        <f t="shared" si="0"/>
        <v>23</v>
      </c>
      <c r="B29" s="92" t="s">
        <v>405</v>
      </c>
      <c r="C29" s="49">
        <f ca="1">SUM(D29:AH29)</f>
        <v>-250000</v>
      </c>
      <c r="D29" s="482"/>
      <c r="E29" s="49"/>
      <c r="F29" s="49"/>
      <c r="G29" s="467"/>
      <c r="H29" s="468"/>
      <c r="I29" s="49"/>
      <c r="J29" s="49"/>
      <c r="K29" s="49"/>
      <c r="L29" s="467"/>
      <c r="M29" s="468"/>
      <c r="N29" s="49"/>
      <c r="O29" s="49"/>
      <c r="P29" s="49"/>
      <c r="Q29" s="49"/>
      <c r="R29" s="467"/>
      <c r="S29" s="49"/>
      <c r="T29" s="49"/>
      <c r="U29" s="49"/>
      <c r="V29" s="468">
        <f ca="1">ROUND(+V27*-250000/SUM($V$27,$AF$27),0)</f>
        <v>-160750</v>
      </c>
      <c r="W29" s="49"/>
      <c r="X29" s="469"/>
      <c r="Y29" s="454"/>
      <c r="Z29" s="49"/>
      <c r="AA29" s="49"/>
      <c r="AB29" s="467"/>
      <c r="AC29" s="49"/>
      <c r="AD29" s="49"/>
      <c r="AE29" s="49"/>
      <c r="AF29" s="468">
        <f ca="1">ROUND(+AF27*-250000/SUM($V$27,$AF$27),0)</f>
        <v>-89250</v>
      </c>
      <c r="AG29" s="49"/>
      <c r="AH29" s="469"/>
      <c r="AI29" s="454"/>
      <c r="AJ29" s="49"/>
      <c r="AK29" s="49"/>
      <c r="AL29" s="49"/>
      <c r="AM29" s="49"/>
      <c r="AN29" s="469"/>
      <c r="AO29" s="454"/>
      <c r="AP29" s="49"/>
      <c r="AQ29" s="49"/>
      <c r="AR29" s="49"/>
      <c r="AS29" s="469"/>
      <c r="AT29" s="454"/>
      <c r="AU29" s="49"/>
      <c r="AV29" s="49"/>
      <c r="AW29" s="49"/>
      <c r="AX29" s="469"/>
      <c r="AY29" s="454"/>
      <c r="AZ29" s="49"/>
      <c r="BA29" s="49"/>
      <c r="BB29" s="469"/>
      <c r="BC29" s="454"/>
      <c r="BD29" s="49"/>
      <c r="BE29" s="49"/>
      <c r="BF29" s="469"/>
      <c r="BG29" s="454"/>
      <c r="BH29" s="49"/>
      <c r="BI29" s="49"/>
      <c r="BJ29" s="49"/>
      <c r="BK29" s="49"/>
      <c r="BL29" s="49"/>
      <c r="BM29" s="454"/>
      <c r="BN29" s="49"/>
      <c r="BO29" s="469"/>
      <c r="BP29" s="454"/>
      <c r="BQ29" s="49"/>
      <c r="BR29" s="469"/>
      <c r="BS29" s="454"/>
      <c r="BT29" s="49"/>
      <c r="BU29" s="49"/>
      <c r="BV29" s="49"/>
      <c r="BW29" s="49"/>
      <c r="BX29" s="469"/>
      <c r="BY29" s="454"/>
      <c r="BZ29" s="49"/>
      <c r="CA29" s="469"/>
      <c r="CB29" s="454"/>
      <c r="CC29" s="49"/>
      <c r="CD29" s="470"/>
      <c r="CE29" s="454"/>
      <c r="CF29" s="49"/>
      <c r="CG29" s="49"/>
      <c r="CH29" s="49"/>
      <c r="CI29" s="469"/>
    </row>
    <row r="30" spans="1:87" x14ac:dyDescent="0.25">
      <c r="A30" s="397">
        <f t="shared" si="0"/>
        <v>24</v>
      </c>
      <c r="B30" s="92"/>
      <c r="C30" s="49"/>
      <c r="D30" s="454"/>
      <c r="E30" s="49"/>
      <c r="F30" s="49"/>
      <c r="G30" s="467"/>
      <c r="H30" s="468"/>
      <c r="I30" s="49"/>
      <c r="J30" s="49"/>
      <c r="K30" s="49"/>
      <c r="L30" s="467"/>
      <c r="M30" s="468"/>
      <c r="N30" s="49"/>
      <c r="O30" s="49"/>
      <c r="P30" s="49"/>
      <c r="Q30" s="49"/>
      <c r="R30" s="467"/>
      <c r="S30" s="49"/>
      <c r="T30" s="49"/>
      <c r="U30" s="49"/>
      <c r="V30" s="468"/>
      <c r="W30" s="49"/>
      <c r="X30" s="469"/>
      <c r="Y30" s="454"/>
      <c r="Z30" s="49"/>
      <c r="AA30" s="49"/>
      <c r="AB30" s="467"/>
      <c r="AC30" s="49"/>
      <c r="AD30" s="49"/>
      <c r="AE30" s="49"/>
      <c r="AF30" s="468"/>
      <c r="AG30" s="49"/>
      <c r="AH30" s="469"/>
      <c r="AI30" s="454"/>
      <c r="AJ30" s="49"/>
      <c r="AK30" s="49"/>
      <c r="AL30" s="49"/>
      <c r="AM30" s="49"/>
      <c r="AN30" s="469"/>
      <c r="AO30" s="454"/>
      <c r="AP30" s="49"/>
      <c r="AQ30" s="49"/>
      <c r="AR30" s="49"/>
      <c r="AS30" s="469"/>
      <c r="AT30" s="454"/>
      <c r="AU30" s="49"/>
      <c r="AV30" s="49"/>
      <c r="AW30" s="49"/>
      <c r="AX30" s="469"/>
      <c r="AY30" s="454"/>
      <c r="AZ30" s="49"/>
      <c r="BA30" s="49"/>
      <c r="BB30" s="469"/>
      <c r="BC30" s="454"/>
      <c r="BD30" s="49"/>
      <c r="BE30" s="49"/>
      <c r="BF30" s="469"/>
      <c r="BG30" s="454"/>
      <c r="BH30" s="49"/>
      <c r="BI30" s="49"/>
      <c r="BJ30" s="49"/>
      <c r="BK30" s="49"/>
      <c r="BL30" s="49"/>
      <c r="BM30" s="454"/>
      <c r="BN30" s="49"/>
      <c r="BO30" s="469"/>
      <c r="BP30" s="454"/>
      <c r="BQ30" s="49"/>
      <c r="BR30" s="469"/>
      <c r="BS30" s="454"/>
      <c r="BT30" s="49"/>
      <c r="BU30" s="49"/>
      <c r="BV30" s="49"/>
      <c r="BW30" s="49"/>
      <c r="BX30" s="469"/>
      <c r="BY30" s="454"/>
      <c r="BZ30" s="49"/>
      <c r="CA30" s="469"/>
      <c r="CB30" s="454"/>
      <c r="CC30" s="49"/>
      <c r="CD30" s="470"/>
      <c r="CE30" s="454"/>
      <c r="CF30" s="49"/>
      <c r="CG30" s="49"/>
      <c r="CH30" s="49"/>
      <c r="CI30" s="469"/>
    </row>
    <row r="31" spans="1:87" ht="13.8" thickBot="1" x14ac:dyDescent="0.3">
      <c r="A31" s="397">
        <f t="shared" si="0"/>
        <v>25</v>
      </c>
      <c r="B31" s="26" t="s">
        <v>480</v>
      </c>
      <c r="C31" s="66">
        <f ca="1">SUM(D31:CI31)</f>
        <v>2868291.4568443252</v>
      </c>
      <c r="D31" s="482">
        <f ca="1">SUM(D27:X29)</f>
        <v>1349473.7911122374</v>
      </c>
      <c r="E31" s="49"/>
      <c r="F31" s="49"/>
      <c r="G31" s="467"/>
      <c r="H31" s="468"/>
      <c r="I31" s="49"/>
      <c r="J31" s="49"/>
      <c r="K31" s="49"/>
      <c r="L31" s="467"/>
      <c r="M31" s="468"/>
      <c r="N31" s="49"/>
      <c r="O31" s="49"/>
      <c r="P31" s="49"/>
      <c r="Q31" s="49"/>
      <c r="R31" s="467"/>
      <c r="S31" s="49"/>
      <c r="T31" s="49"/>
      <c r="U31" s="49"/>
      <c r="V31" s="468"/>
      <c r="W31" s="49"/>
      <c r="X31" s="469"/>
      <c r="Y31" s="482">
        <f ca="1">SUM(Y27:AH29)</f>
        <v>1045863.3246080191</v>
      </c>
      <c r="Z31" s="93"/>
      <c r="AA31" s="93"/>
      <c r="AB31" s="483"/>
      <c r="AC31" s="49"/>
      <c r="AD31" s="49"/>
      <c r="AE31" s="49"/>
      <c r="AF31" s="468"/>
      <c r="AG31" s="49"/>
      <c r="AH31" s="469"/>
      <c r="AI31" s="482">
        <f ca="1">SUM(AI27:AN27)</f>
        <v>55271.901031329813</v>
      </c>
      <c r="AJ31" s="49"/>
      <c r="AK31" s="49"/>
      <c r="AL31" s="49"/>
      <c r="AM31" s="49"/>
      <c r="AN31" s="469"/>
      <c r="AO31" s="454">
        <f ca="1">SUM(AO27:AS27)</f>
        <v>16159.118389743115</v>
      </c>
      <c r="AP31" s="49"/>
      <c r="AQ31" s="49"/>
      <c r="AR31" s="49"/>
      <c r="AS31" s="469"/>
      <c r="AT31" s="454">
        <f ca="1">SUM(AT27:AX27)</f>
        <v>43586.701651431853</v>
      </c>
      <c r="AU31" s="49"/>
      <c r="AV31" s="49"/>
      <c r="AW31" s="49"/>
      <c r="AX31" s="469"/>
      <c r="AY31" s="454">
        <f ca="1">SUM(AY27:BB27)</f>
        <v>14827.872241517967</v>
      </c>
      <c r="AZ31" s="49"/>
      <c r="BA31" s="49"/>
      <c r="BB31" s="469"/>
      <c r="BC31" s="454">
        <f ca="1">SUM(BC27:BF27)</f>
        <v>65339.930627718189</v>
      </c>
      <c r="BD31" s="49"/>
      <c r="BE31" s="49"/>
      <c r="BF31" s="469"/>
      <c r="BG31" s="454">
        <f ca="1">SUM(BG27:BL27)</f>
        <v>181047.26260189962</v>
      </c>
      <c r="BH31" s="49"/>
      <c r="BI31" s="49"/>
      <c r="BJ31" s="49"/>
      <c r="BK31" s="49"/>
      <c r="BL31" s="49"/>
      <c r="BM31" s="454">
        <f ca="1">SUM(BM27:BO27)</f>
        <v>25808.952778766492</v>
      </c>
      <c r="BN31" s="49"/>
      <c r="BO31" s="469"/>
      <c r="BP31" s="454">
        <f ca="1">SUM(BP27:BR27)</f>
        <v>44282.090783811815</v>
      </c>
      <c r="BQ31" s="49"/>
      <c r="BR31" s="469"/>
      <c r="BS31" s="454">
        <f ca="1">SUM(BS27:BX27)</f>
        <v>9194.9827083329528</v>
      </c>
      <c r="BT31" s="49"/>
      <c r="BU31" s="49"/>
      <c r="BV31" s="49"/>
      <c r="BW31" s="49"/>
      <c r="BX31" s="469"/>
      <c r="BY31" s="454"/>
      <c r="BZ31" s="49"/>
      <c r="CA31" s="469"/>
      <c r="CB31" s="454"/>
      <c r="CC31" s="49"/>
      <c r="CD31" s="470"/>
      <c r="CE31" s="454">
        <f ca="1">SUM(CE27:CI27)</f>
        <v>17435.528309518188</v>
      </c>
      <c r="CF31" s="49"/>
      <c r="CG31" s="49"/>
      <c r="CH31" s="49"/>
      <c r="CI31" s="469"/>
    </row>
    <row r="32" spans="1:87" ht="13.8" thickTop="1" x14ac:dyDescent="0.25">
      <c r="A32" s="397">
        <f t="shared" si="0"/>
        <v>26</v>
      </c>
      <c r="B32" s="92"/>
      <c r="C32" s="49"/>
      <c r="D32" s="454"/>
      <c r="E32" s="49"/>
      <c r="F32" s="49"/>
      <c r="G32" s="467"/>
      <c r="H32" s="468"/>
      <c r="I32" s="49"/>
      <c r="J32" s="49"/>
      <c r="K32" s="49"/>
      <c r="L32" s="467"/>
      <c r="M32" s="468"/>
      <c r="N32" s="49"/>
      <c r="O32" s="49"/>
      <c r="P32" s="49"/>
      <c r="Q32" s="49"/>
      <c r="R32" s="467"/>
      <c r="S32" s="49"/>
      <c r="T32" s="49"/>
      <c r="U32" s="49"/>
      <c r="V32" s="468"/>
      <c r="W32" s="49"/>
      <c r="X32" s="469"/>
      <c r="Y32" s="454"/>
      <c r="Z32" s="49"/>
      <c r="AA32" s="49"/>
      <c r="AB32" s="467"/>
      <c r="AC32" s="49"/>
      <c r="AD32" s="49"/>
      <c r="AE32" s="49"/>
      <c r="AF32" s="468"/>
      <c r="AG32" s="49"/>
      <c r="AH32" s="469"/>
      <c r="AI32" s="454"/>
      <c r="AJ32" s="49"/>
      <c r="AK32" s="49"/>
      <c r="AL32" s="49"/>
      <c r="AM32" s="49"/>
      <c r="AN32" s="469"/>
      <c r="AO32" s="454"/>
      <c r="AP32" s="49"/>
      <c r="AQ32" s="49"/>
      <c r="AR32" s="49"/>
      <c r="AS32" s="469"/>
      <c r="AT32" s="454"/>
      <c r="AU32" s="49"/>
      <c r="AV32" s="49"/>
      <c r="AW32" s="49"/>
      <c r="AX32" s="469"/>
      <c r="AY32" s="454"/>
      <c r="AZ32" s="49"/>
      <c r="BA32" s="49"/>
      <c r="BB32" s="469"/>
      <c r="BC32" s="454"/>
      <c r="BD32" s="49"/>
      <c r="BE32" s="49"/>
      <c r="BF32" s="469"/>
      <c r="BG32" s="454"/>
      <c r="BH32" s="49"/>
      <c r="BI32" s="49"/>
      <c r="BJ32" s="49"/>
      <c r="BK32" s="49"/>
      <c r="BL32" s="49"/>
      <c r="BM32" s="454"/>
      <c r="BN32" s="49"/>
      <c r="BO32" s="469"/>
      <c r="BP32" s="454"/>
      <c r="BQ32" s="49"/>
      <c r="BR32" s="469"/>
      <c r="BS32" s="454"/>
      <c r="BT32" s="49"/>
      <c r="BU32" s="49"/>
      <c r="BV32" s="49"/>
      <c r="BW32" s="49"/>
      <c r="BX32" s="469"/>
      <c r="BY32" s="454"/>
      <c r="BZ32" s="49"/>
      <c r="CA32" s="469"/>
      <c r="CB32" s="454"/>
      <c r="CC32" s="49"/>
      <c r="CD32" s="470"/>
      <c r="CE32" s="454"/>
      <c r="CF32" s="49"/>
      <c r="CG32" s="49"/>
      <c r="CH32" s="49"/>
      <c r="CI32" s="469"/>
    </row>
    <row r="33" spans="1:87" x14ac:dyDescent="0.25">
      <c r="A33" s="397">
        <f t="shared" si="0"/>
        <v>27</v>
      </c>
      <c r="B33" s="26" t="str">
        <f>+'Dist Line Transformers 2017'!B27</f>
        <v>Sec Voltage Billed Demand</v>
      </c>
      <c r="C33" s="26"/>
      <c r="D33" s="452">
        <f>+'Dist Line Transformers 2017'!F27</f>
        <v>273811</v>
      </c>
      <c r="E33" s="73"/>
      <c r="F33" s="73"/>
      <c r="G33" s="450"/>
      <c r="H33" s="72"/>
      <c r="I33" s="57"/>
      <c r="J33" s="57"/>
      <c r="K33" s="57"/>
      <c r="L33" s="450"/>
      <c r="M33" s="451"/>
      <c r="N33" s="73"/>
      <c r="O33" s="73"/>
      <c r="P33" s="73"/>
      <c r="Q33" s="73"/>
      <c r="R33" s="450"/>
      <c r="S33" s="73"/>
      <c r="T33" s="73"/>
      <c r="U33" s="73"/>
      <c r="V33" s="72"/>
      <c r="W33" s="73"/>
      <c r="X33" s="453"/>
      <c r="Y33" s="452">
        <f>+'Dist Line Transformers 2017'!H27</f>
        <v>193363</v>
      </c>
      <c r="Z33" s="73"/>
      <c r="AA33" s="73"/>
      <c r="AB33" s="450"/>
      <c r="AC33" s="73"/>
      <c r="AD33" s="73"/>
      <c r="AE33" s="73"/>
      <c r="AF33" s="72"/>
      <c r="AG33" s="73"/>
      <c r="AH33" s="453"/>
      <c r="AI33" s="452">
        <f>+'Dist Line Transformers 2017'!J27</f>
        <v>0</v>
      </c>
      <c r="AJ33" s="73"/>
      <c r="AK33" s="73"/>
      <c r="AL33" s="73"/>
      <c r="AM33" s="73"/>
      <c r="AN33" s="453"/>
      <c r="AO33" s="452">
        <f>+'Dist Line Transformers 2017'!L27</f>
        <v>0</v>
      </c>
      <c r="AP33" s="73"/>
      <c r="AQ33" s="73"/>
      <c r="AR33" s="73"/>
      <c r="AS33" s="453"/>
      <c r="AT33" s="452">
        <f>+'Dist Line Transformers 2017'!N27</f>
        <v>3319</v>
      </c>
      <c r="AU33" s="73"/>
      <c r="AV33" s="73"/>
      <c r="AW33" s="73"/>
      <c r="AX33" s="453"/>
      <c r="AY33" s="452">
        <f>+'Dist Line Transformers 2017'!P27</f>
        <v>0</v>
      </c>
      <c r="AZ33" s="73"/>
      <c r="BA33" s="73"/>
      <c r="BB33" s="453"/>
      <c r="BC33" s="452">
        <f>+'Dist Line Transformers 2017'!T27</f>
        <v>1040</v>
      </c>
      <c r="BD33" s="73"/>
      <c r="BE33" s="73"/>
      <c r="BF33" s="453"/>
      <c r="BG33" s="452">
        <f>+'Dist Line Transformers 2017'!V27</f>
        <v>47677</v>
      </c>
      <c r="BH33" s="73"/>
      <c r="BI33" s="73"/>
      <c r="BJ33" s="73"/>
      <c r="BK33" s="73"/>
      <c r="BL33" s="73"/>
      <c r="BM33" s="452">
        <f>+'Dist Line Transformers 2017'!X27</f>
        <v>47824</v>
      </c>
      <c r="BN33" s="73"/>
      <c r="BO33" s="453"/>
      <c r="BP33" s="452">
        <f>+'Dist Line Transformers 2017'!Z27</f>
        <v>53929</v>
      </c>
      <c r="BQ33" s="73"/>
      <c r="BR33" s="453"/>
      <c r="BS33" s="452">
        <f>+'Dist Line Transformers 2017'!AB27</f>
        <v>8557</v>
      </c>
      <c r="BT33" s="73"/>
      <c r="BU33" s="73"/>
      <c r="BV33" s="73"/>
      <c r="BW33" s="73"/>
      <c r="BX33" s="453"/>
      <c r="BY33" s="452"/>
      <c r="BZ33" s="73"/>
      <c r="CA33" s="453"/>
      <c r="CB33" s="452"/>
      <c r="CC33" s="73"/>
      <c r="CD33" s="455"/>
      <c r="CE33" s="452">
        <f>+'Dist Line Transformers 2017'!R27</f>
        <v>0</v>
      </c>
      <c r="CF33" s="73"/>
      <c r="CG33" s="73"/>
      <c r="CH33" s="73"/>
      <c r="CI33" s="453"/>
    </row>
    <row r="34" spans="1:87" x14ac:dyDescent="0.25">
      <c r="A34" s="397">
        <f t="shared" si="0"/>
        <v>28</v>
      </c>
      <c r="B34" s="26" t="str">
        <f>+'Dist Line Transformers 2017'!B28</f>
        <v>Primary Voltage Billed Demand</v>
      </c>
      <c r="C34" s="26"/>
      <c r="D34" s="452">
        <f>+'Dist Line Transformers 2017'!F28</f>
        <v>264056</v>
      </c>
      <c r="E34" s="73"/>
      <c r="F34" s="73"/>
      <c r="G34" s="450"/>
      <c r="H34" s="72"/>
      <c r="I34" s="57"/>
      <c r="J34" s="57"/>
      <c r="K34" s="57"/>
      <c r="L34" s="450"/>
      <c r="M34" s="451"/>
      <c r="N34" s="73"/>
      <c r="O34" s="73"/>
      <c r="P34" s="73"/>
      <c r="Q34" s="73"/>
      <c r="R34" s="450"/>
      <c r="S34" s="73"/>
      <c r="T34" s="73"/>
      <c r="U34" s="73"/>
      <c r="V34" s="72"/>
      <c r="W34" s="73"/>
      <c r="X34" s="453"/>
      <c r="Y34" s="452">
        <f>+'Dist Line Transformers 2017'!H28</f>
        <v>83914</v>
      </c>
      <c r="Z34" s="73"/>
      <c r="AA34" s="73"/>
      <c r="AB34" s="450"/>
      <c r="AC34" s="73"/>
      <c r="AD34" s="73"/>
      <c r="AE34" s="73"/>
      <c r="AF34" s="72"/>
      <c r="AG34" s="73"/>
      <c r="AH34" s="453"/>
      <c r="AI34" s="452">
        <f>+'Dist Line Transformers 2017'!J28</f>
        <v>56070</v>
      </c>
      <c r="AJ34" s="73"/>
      <c r="AK34" s="73"/>
      <c r="AL34" s="73"/>
      <c r="AM34" s="73"/>
      <c r="AN34" s="453"/>
      <c r="AO34" s="452">
        <f>+'Dist Line Transformers 2017'!L28</f>
        <v>41376</v>
      </c>
      <c r="AP34" s="73"/>
      <c r="AQ34" s="73"/>
      <c r="AR34" s="73"/>
      <c r="AS34" s="453"/>
      <c r="AT34" s="452">
        <f>+'Dist Line Transformers 2017'!N28</f>
        <v>51915</v>
      </c>
      <c r="AU34" s="73"/>
      <c r="AV34" s="73"/>
      <c r="AW34" s="73"/>
      <c r="AX34" s="453"/>
      <c r="AY34" s="452">
        <f>+'Dist Line Transformers 2017'!P28</f>
        <v>67312</v>
      </c>
      <c r="AZ34" s="73"/>
      <c r="BA34" s="73"/>
      <c r="BB34" s="453"/>
      <c r="BC34" s="452">
        <f>+'Dist Line Transformers 2017'!T28</f>
        <v>50976</v>
      </c>
      <c r="BD34" s="73"/>
      <c r="BE34" s="73"/>
      <c r="BF34" s="453"/>
      <c r="BG34" s="452">
        <f>+'Dist Line Transformers 2017'!V28</f>
        <v>22692</v>
      </c>
      <c r="BH34" s="73"/>
      <c r="BI34" s="73"/>
      <c r="BJ34" s="73"/>
      <c r="BK34" s="73"/>
      <c r="BL34" s="73"/>
      <c r="BM34" s="452">
        <f>+'Dist Line Transformers 2017'!X28</f>
        <v>0</v>
      </c>
      <c r="BN34" s="73"/>
      <c r="BO34" s="453"/>
      <c r="BP34" s="452">
        <f>+'Dist Line Transformers 2017'!Z28</f>
        <v>0</v>
      </c>
      <c r="BQ34" s="73"/>
      <c r="BR34" s="453"/>
      <c r="BS34" s="452">
        <f>+'Dist Line Transformers 2017'!AB28</f>
        <v>18816</v>
      </c>
      <c r="BT34" s="73"/>
      <c r="BU34" s="73"/>
      <c r="BV34" s="73"/>
      <c r="BW34" s="73"/>
      <c r="BX34" s="453"/>
      <c r="BY34" s="452"/>
      <c r="BZ34" s="73"/>
      <c r="CA34" s="453"/>
      <c r="CB34" s="452"/>
      <c r="CC34" s="73"/>
      <c r="CD34" s="455"/>
      <c r="CE34" s="452">
        <f>+'Dist Line Transformers 2017'!R28</f>
        <v>11290</v>
      </c>
      <c r="CF34" s="73"/>
      <c r="CG34" s="73"/>
      <c r="CH34" s="73"/>
      <c r="CI34" s="453"/>
    </row>
    <row r="35" spans="1:87" x14ac:dyDescent="0.25">
      <c r="A35" s="397">
        <f t="shared" si="0"/>
        <v>29</v>
      </c>
      <c r="B35" s="26"/>
      <c r="C35" s="26"/>
      <c r="D35" s="484"/>
      <c r="E35" s="57"/>
      <c r="F35" s="57"/>
      <c r="G35" s="270"/>
      <c r="H35" s="72"/>
      <c r="I35" s="57"/>
      <c r="J35" s="57"/>
      <c r="K35" s="57"/>
      <c r="L35" s="270"/>
      <c r="M35" s="72"/>
      <c r="N35" s="57"/>
      <c r="O35" s="57"/>
      <c r="P35" s="57"/>
      <c r="Q35" s="57"/>
      <c r="R35" s="270"/>
      <c r="S35" s="57"/>
      <c r="T35" s="57"/>
      <c r="U35" s="57"/>
      <c r="V35" s="72"/>
      <c r="W35" s="57"/>
      <c r="X35" s="94"/>
      <c r="Y35" s="484"/>
      <c r="Z35" s="57"/>
      <c r="AA35" s="57"/>
      <c r="AB35" s="270"/>
      <c r="AC35" s="57"/>
      <c r="AD35" s="57"/>
      <c r="AE35" s="57"/>
      <c r="AF35" s="72"/>
      <c r="AG35" s="57"/>
      <c r="AH35" s="94"/>
      <c r="AI35" s="484"/>
      <c r="AJ35" s="57"/>
      <c r="AK35" s="57"/>
      <c r="AL35" s="57"/>
      <c r="AM35" s="57"/>
      <c r="AN35" s="94"/>
      <c r="AO35" s="484"/>
      <c r="AP35" s="57"/>
      <c r="AQ35" s="57"/>
      <c r="AR35" s="57"/>
      <c r="AS35" s="94"/>
      <c r="AT35" s="484"/>
      <c r="AU35" s="57"/>
      <c r="AV35" s="57"/>
      <c r="AW35" s="57"/>
      <c r="AX35" s="94"/>
      <c r="AY35" s="484"/>
      <c r="AZ35" s="57"/>
      <c r="BA35" s="57"/>
      <c r="BB35" s="94"/>
      <c r="BC35" s="484"/>
      <c r="BD35" s="57"/>
      <c r="BE35" s="57"/>
      <c r="BF35" s="94"/>
      <c r="BG35" s="484"/>
      <c r="BH35" s="57"/>
      <c r="BI35" s="57"/>
      <c r="BJ35" s="57"/>
      <c r="BK35" s="57"/>
      <c r="BL35" s="57"/>
      <c r="BM35" s="484"/>
      <c r="BN35" s="57"/>
      <c r="BO35" s="94"/>
      <c r="BP35" s="484"/>
      <c r="BQ35" s="57"/>
      <c r="BR35" s="94"/>
      <c r="BS35" s="484"/>
      <c r="BT35" s="57"/>
      <c r="BU35" s="57"/>
      <c r="BV35" s="57"/>
      <c r="BW35" s="57"/>
      <c r="BX35" s="94"/>
      <c r="BY35" s="484"/>
      <c r="BZ35" s="57"/>
      <c r="CA35" s="94"/>
      <c r="CB35" s="484"/>
      <c r="CC35" s="57"/>
      <c r="CD35" s="485"/>
      <c r="CE35" s="484"/>
      <c r="CF35" s="57"/>
      <c r="CG35" s="57"/>
      <c r="CH35" s="57"/>
      <c r="CI35" s="94"/>
    </row>
    <row r="36" spans="1:87" ht="13.8" thickBot="1" x14ac:dyDescent="0.3">
      <c r="A36" s="397">
        <f t="shared" si="0"/>
        <v>30</v>
      </c>
      <c r="B36" s="26" t="s">
        <v>28</v>
      </c>
      <c r="C36" s="126">
        <f>SUM(D36:CE36)</f>
        <v>1297937</v>
      </c>
      <c r="D36" s="452">
        <f>SUM(D33:D35)</f>
        <v>537867</v>
      </c>
      <c r="E36" s="73"/>
      <c r="F36" s="73"/>
      <c r="G36" s="450"/>
      <c r="H36" s="72"/>
      <c r="I36" s="57"/>
      <c r="J36" s="57"/>
      <c r="K36" s="57"/>
      <c r="L36" s="450"/>
      <c r="M36" s="451"/>
      <c r="N36" s="73"/>
      <c r="O36" s="73"/>
      <c r="P36" s="73"/>
      <c r="Q36" s="73"/>
      <c r="R36" s="450"/>
      <c r="S36" s="73"/>
      <c r="T36" s="73"/>
      <c r="U36" s="73"/>
      <c r="V36" s="72"/>
      <c r="W36" s="73"/>
      <c r="X36" s="453"/>
      <c r="Y36" s="452">
        <f>SUM(Y33:Y35)</f>
        <v>277277</v>
      </c>
      <c r="Z36" s="73"/>
      <c r="AA36" s="73"/>
      <c r="AB36" s="450"/>
      <c r="AC36" s="73"/>
      <c r="AD36" s="73"/>
      <c r="AE36" s="73"/>
      <c r="AF36" s="72"/>
      <c r="AG36" s="73"/>
      <c r="AH36" s="453"/>
      <c r="AI36" s="452">
        <f>SUM(AI33:AI35)</f>
        <v>56070</v>
      </c>
      <c r="AJ36" s="73"/>
      <c r="AK36" s="73"/>
      <c r="AL36" s="73"/>
      <c r="AM36" s="73"/>
      <c r="AN36" s="453"/>
      <c r="AO36" s="452">
        <f>SUM(AO33:AO35)</f>
        <v>41376</v>
      </c>
      <c r="AP36" s="73"/>
      <c r="AQ36" s="73"/>
      <c r="AR36" s="73"/>
      <c r="AS36" s="453"/>
      <c r="AT36" s="452">
        <f>SUM(AT33:AT35)</f>
        <v>55234</v>
      </c>
      <c r="AU36" s="73"/>
      <c r="AV36" s="73"/>
      <c r="AW36" s="73"/>
      <c r="AX36" s="453"/>
      <c r="AY36" s="452">
        <f>SUM(AY33:AY35)</f>
        <v>67312</v>
      </c>
      <c r="AZ36" s="73"/>
      <c r="BA36" s="73"/>
      <c r="BB36" s="453"/>
      <c r="BC36" s="452">
        <f>SUM(BC33:BC35)</f>
        <v>52016</v>
      </c>
      <c r="BD36" s="73"/>
      <c r="BE36" s="73"/>
      <c r="BF36" s="453"/>
      <c r="BG36" s="452">
        <f>SUM(BG33:BG35)</f>
        <v>70369</v>
      </c>
      <c r="BH36" s="73"/>
      <c r="BI36" s="73"/>
      <c r="BJ36" s="73"/>
      <c r="BK36" s="73"/>
      <c r="BL36" s="73"/>
      <c r="BM36" s="452">
        <f>SUM(BM33:BM35)</f>
        <v>47824</v>
      </c>
      <c r="BN36" s="73"/>
      <c r="BO36" s="453"/>
      <c r="BP36" s="452">
        <f>SUM(BP33:BP35)</f>
        <v>53929</v>
      </c>
      <c r="BQ36" s="73"/>
      <c r="BR36" s="453"/>
      <c r="BS36" s="452">
        <f>SUM(BS33:BS35)</f>
        <v>27373</v>
      </c>
      <c r="BT36" s="73"/>
      <c r="BU36" s="73"/>
      <c r="BV36" s="73"/>
      <c r="BW36" s="73"/>
      <c r="BX36" s="453"/>
      <c r="BY36" s="452"/>
      <c r="BZ36" s="73"/>
      <c r="CA36" s="453"/>
      <c r="CB36" s="452"/>
      <c r="CC36" s="73"/>
      <c r="CD36" s="455"/>
      <c r="CE36" s="452">
        <f>SUM(CE33:CE35)</f>
        <v>11290</v>
      </c>
      <c r="CF36" s="73"/>
      <c r="CG36" s="73"/>
      <c r="CH36" s="73"/>
      <c r="CI36" s="453"/>
    </row>
    <row r="37" spans="1:87" ht="13.8" thickTop="1" x14ac:dyDescent="0.25">
      <c r="A37" s="397">
        <f t="shared" si="0"/>
        <v>31</v>
      </c>
      <c r="B37" s="26"/>
      <c r="C37" s="26"/>
      <c r="D37" s="484"/>
      <c r="E37" s="57"/>
      <c r="F37" s="57"/>
      <c r="G37" s="270"/>
      <c r="H37" s="72"/>
      <c r="I37" s="57"/>
      <c r="J37" s="57"/>
      <c r="K37" s="57"/>
      <c r="L37" s="270"/>
      <c r="M37" s="72"/>
      <c r="N37" s="57"/>
      <c r="O37" s="57"/>
      <c r="P37" s="57"/>
      <c r="Q37" s="57"/>
      <c r="R37" s="270"/>
      <c r="S37" s="57"/>
      <c r="T37" s="57"/>
      <c r="U37" s="57"/>
      <c r="V37" s="72"/>
      <c r="W37" s="57"/>
      <c r="X37" s="94"/>
      <c r="Y37" s="484"/>
      <c r="Z37" s="57"/>
      <c r="AA37" s="57"/>
      <c r="AB37" s="270"/>
      <c r="AC37" s="57"/>
      <c r="AD37" s="57"/>
      <c r="AE37" s="57"/>
      <c r="AF37" s="72"/>
      <c r="AG37" s="57"/>
      <c r="AH37" s="94"/>
      <c r="AI37" s="484"/>
      <c r="AJ37" s="57"/>
      <c r="AK37" s="57"/>
      <c r="AL37" s="57"/>
      <c r="AM37" s="57"/>
      <c r="AN37" s="94"/>
      <c r="AO37" s="484"/>
      <c r="AP37" s="57"/>
      <c r="AQ37" s="57"/>
      <c r="AR37" s="57"/>
      <c r="AS37" s="94"/>
      <c r="AT37" s="484"/>
      <c r="AU37" s="57"/>
      <c r="AV37" s="57"/>
      <c r="AW37" s="57"/>
      <c r="AX37" s="94"/>
      <c r="AY37" s="484"/>
      <c r="AZ37" s="57"/>
      <c r="BA37" s="57"/>
      <c r="BB37" s="94"/>
      <c r="BC37" s="484"/>
      <c r="BD37" s="57"/>
      <c r="BE37" s="57"/>
      <c r="BF37" s="94"/>
      <c r="BG37" s="484"/>
      <c r="BH37" s="57"/>
      <c r="BI37" s="57"/>
      <c r="BJ37" s="57"/>
      <c r="BK37" s="57"/>
      <c r="BL37" s="57"/>
      <c r="BM37" s="484"/>
      <c r="BN37" s="57"/>
      <c r="BO37" s="94"/>
      <c r="BP37" s="484"/>
      <c r="BQ37" s="57"/>
      <c r="BR37" s="94"/>
      <c r="BS37" s="484"/>
      <c r="BT37" s="57"/>
      <c r="BU37" s="57"/>
      <c r="BV37" s="57"/>
      <c r="BW37" s="57"/>
      <c r="BX37" s="94"/>
      <c r="BY37" s="484"/>
      <c r="BZ37" s="57"/>
      <c r="CA37" s="94"/>
      <c r="CB37" s="484"/>
      <c r="CC37" s="57"/>
      <c r="CD37" s="485"/>
      <c r="CE37" s="484"/>
      <c r="CF37" s="57"/>
      <c r="CG37" s="57"/>
      <c r="CH37" s="57"/>
      <c r="CI37" s="94"/>
    </row>
    <row r="38" spans="1:87" x14ac:dyDescent="0.25">
      <c r="A38" s="397">
        <f t="shared" si="0"/>
        <v>32</v>
      </c>
      <c r="B38" s="26" t="s">
        <v>29</v>
      </c>
      <c r="C38" s="26"/>
      <c r="D38" s="464">
        <f>+'Dist Line Transformers 2017'!F32</f>
        <v>0.88980000000000004</v>
      </c>
      <c r="E38" s="60"/>
      <c r="F38" s="60"/>
      <c r="G38" s="462"/>
      <c r="H38" s="463"/>
      <c r="I38" s="60"/>
      <c r="J38" s="60"/>
      <c r="K38" s="60"/>
      <c r="L38" s="462"/>
      <c r="M38" s="463"/>
      <c r="N38" s="60"/>
      <c r="O38" s="60"/>
      <c r="P38" s="60"/>
      <c r="Q38" s="60"/>
      <c r="R38" s="462"/>
      <c r="S38" s="60"/>
      <c r="T38" s="60"/>
      <c r="U38" s="60"/>
      <c r="V38" s="463"/>
      <c r="W38" s="60"/>
      <c r="X38" s="465"/>
      <c r="Y38" s="464">
        <f>+'Dist Line Transformers 2017'!H32</f>
        <v>0.89859999999999995</v>
      </c>
      <c r="Z38" s="60"/>
      <c r="AA38" s="60"/>
      <c r="AB38" s="462"/>
      <c r="AC38" s="60"/>
      <c r="AD38" s="60"/>
      <c r="AE38" s="60"/>
      <c r="AF38" s="463"/>
      <c r="AG38" s="60"/>
      <c r="AH38" s="465"/>
      <c r="AI38" s="464">
        <f>+'Dist Line Transformers 2017'!J32</f>
        <v>1</v>
      </c>
      <c r="AJ38" s="60"/>
      <c r="AK38" s="60"/>
      <c r="AL38" s="60"/>
      <c r="AM38" s="60"/>
      <c r="AN38" s="465"/>
      <c r="AO38" s="464">
        <f>+'Dist Line Transformers 2017'!L32</f>
        <v>1</v>
      </c>
      <c r="AP38" s="60"/>
      <c r="AQ38" s="60"/>
      <c r="AR38" s="60"/>
      <c r="AS38" s="465"/>
      <c r="AT38" s="464">
        <f>+'Dist Line Transformers 2017'!N32</f>
        <v>0.98680000000000001</v>
      </c>
      <c r="AU38" s="60"/>
      <c r="AV38" s="60"/>
      <c r="AW38" s="60"/>
      <c r="AX38" s="465"/>
      <c r="AY38" s="464">
        <f>+'Dist Line Transformers 2017'!P32</f>
        <v>1</v>
      </c>
      <c r="AZ38" s="60"/>
      <c r="BA38" s="60"/>
      <c r="BB38" s="465"/>
      <c r="BC38" s="464">
        <f>+'Dist Line Transformers 2017'!T32</f>
        <v>0.99770000000000003</v>
      </c>
      <c r="BD38" s="60"/>
      <c r="BE38" s="60"/>
      <c r="BF38" s="465"/>
      <c r="BG38" s="464">
        <f>+'Dist Line Transformers 2017'!V32</f>
        <v>0.91700000000000004</v>
      </c>
      <c r="BH38" s="60"/>
      <c r="BI38" s="60"/>
      <c r="BJ38" s="60"/>
      <c r="BK38" s="60"/>
      <c r="BL38" s="60"/>
      <c r="BM38" s="464">
        <f>+'Dist Line Transformers 2017'!X32</f>
        <v>0.95850000000000002</v>
      </c>
      <c r="BN38" s="60"/>
      <c r="BO38" s="465"/>
      <c r="BP38" s="464">
        <f>+'Dist Line Transformers 2017'!Z32</f>
        <v>0.94930000000000003</v>
      </c>
      <c r="BQ38" s="60"/>
      <c r="BR38" s="465"/>
      <c r="BS38" s="464">
        <f>+'Dist Line Transformers 2017'!AB32</f>
        <v>0.97319999999999995</v>
      </c>
      <c r="BT38" s="60"/>
      <c r="BU38" s="60"/>
      <c r="BV38" s="60"/>
      <c r="BW38" s="60"/>
      <c r="BX38" s="465"/>
      <c r="BY38" s="464"/>
      <c r="BZ38" s="60"/>
      <c r="CA38" s="465"/>
      <c r="CB38" s="464"/>
      <c r="CC38" s="60"/>
      <c r="CD38" s="466"/>
      <c r="CE38" s="464">
        <f>+'Dist Line Transformers 2017'!R32</f>
        <v>1</v>
      </c>
      <c r="CF38" s="60"/>
      <c r="CG38" s="60"/>
      <c r="CH38" s="60"/>
      <c r="CI38" s="465"/>
    </row>
    <row r="39" spans="1:87" x14ac:dyDescent="0.25">
      <c r="A39" s="397">
        <f t="shared" si="0"/>
        <v>33</v>
      </c>
      <c r="B39" s="26"/>
      <c r="C39" s="26"/>
      <c r="D39" s="484"/>
      <c r="E39" s="57"/>
      <c r="F39" s="57"/>
      <c r="G39" s="270"/>
      <c r="H39" s="72"/>
      <c r="I39" s="57"/>
      <c r="J39" s="57"/>
      <c r="K39" s="57"/>
      <c r="L39" s="270"/>
      <c r="M39" s="72"/>
      <c r="N39" s="57"/>
      <c r="O39" s="57"/>
      <c r="P39" s="57"/>
      <c r="Q39" s="57"/>
      <c r="R39" s="270"/>
      <c r="S39" s="57"/>
      <c r="T39" s="57"/>
      <c r="U39" s="57"/>
      <c r="V39" s="72"/>
      <c r="W39" s="57"/>
      <c r="X39" s="94"/>
      <c r="Y39" s="484"/>
      <c r="Z39" s="57"/>
      <c r="AA39" s="57"/>
      <c r="AB39" s="270"/>
      <c r="AC39" s="57"/>
      <c r="AD39" s="57"/>
      <c r="AE39" s="57"/>
      <c r="AF39" s="72"/>
      <c r="AG39" s="57"/>
      <c r="AH39" s="94"/>
      <c r="AI39" s="484"/>
      <c r="AJ39" s="57"/>
      <c r="AK39" s="57"/>
      <c r="AL39" s="57"/>
      <c r="AM39" s="57"/>
      <c r="AN39" s="94"/>
      <c r="AO39" s="484"/>
      <c r="AP39" s="57"/>
      <c r="AQ39" s="57"/>
      <c r="AR39" s="57"/>
      <c r="AS39" s="94"/>
      <c r="AT39" s="484"/>
      <c r="AU39" s="57"/>
      <c r="AV39" s="57"/>
      <c r="AW39" s="57"/>
      <c r="AX39" s="94"/>
      <c r="AY39" s="484"/>
      <c r="AZ39" s="57"/>
      <c r="BA39" s="57"/>
      <c r="BB39" s="94"/>
      <c r="BC39" s="484"/>
      <c r="BD39" s="57"/>
      <c r="BE39" s="57"/>
      <c r="BF39" s="94"/>
      <c r="BG39" s="484"/>
      <c r="BH39" s="57"/>
      <c r="BI39" s="57"/>
      <c r="BJ39" s="57"/>
      <c r="BK39" s="57"/>
      <c r="BL39" s="57"/>
      <c r="BM39" s="484"/>
      <c r="BN39" s="57"/>
      <c r="BO39" s="94"/>
      <c r="BP39" s="484"/>
      <c r="BQ39" s="57"/>
      <c r="BR39" s="94"/>
      <c r="BS39" s="484"/>
      <c r="BT39" s="57"/>
      <c r="BU39" s="57"/>
      <c r="BV39" s="57"/>
      <c r="BW39" s="57"/>
      <c r="BX39" s="94"/>
      <c r="BY39" s="484"/>
      <c r="BZ39" s="57"/>
      <c r="CA39" s="94"/>
      <c r="CB39" s="484"/>
      <c r="CC39" s="57"/>
      <c r="CD39" s="485"/>
      <c r="CE39" s="484"/>
      <c r="CF39" s="57"/>
      <c r="CG39" s="57"/>
      <c r="CH39" s="57"/>
      <c r="CI39" s="94"/>
    </row>
    <row r="40" spans="1:87" ht="13.8" thickBot="1" x14ac:dyDescent="0.3">
      <c r="A40" s="397">
        <f t="shared" si="0"/>
        <v>34</v>
      </c>
      <c r="B40" s="26" t="s">
        <v>30</v>
      </c>
      <c r="C40" s="126">
        <f>SUM(D40:CI40)</f>
        <v>1198405</v>
      </c>
      <c r="D40" s="452">
        <f>ROUND(+D36*D38,0)</f>
        <v>478594</v>
      </c>
      <c r="E40" s="73"/>
      <c r="F40" s="73"/>
      <c r="G40" s="450"/>
      <c r="H40" s="72"/>
      <c r="I40" s="57"/>
      <c r="J40" s="57"/>
      <c r="K40" s="57"/>
      <c r="L40" s="450"/>
      <c r="M40" s="451"/>
      <c r="N40" s="73"/>
      <c r="O40" s="73"/>
      <c r="P40" s="73"/>
      <c r="Q40" s="73"/>
      <c r="R40" s="450"/>
      <c r="S40" s="73"/>
      <c r="T40" s="73"/>
      <c r="U40" s="73"/>
      <c r="V40" s="72"/>
      <c r="W40" s="73"/>
      <c r="X40" s="453"/>
      <c r="Y40" s="452">
        <f>ROUND(+Y36*Y38,0)</f>
        <v>249161</v>
      </c>
      <c r="Z40" s="73"/>
      <c r="AA40" s="73"/>
      <c r="AB40" s="450"/>
      <c r="AC40" s="73"/>
      <c r="AD40" s="73"/>
      <c r="AE40" s="73"/>
      <c r="AF40" s="72"/>
      <c r="AG40" s="73"/>
      <c r="AH40" s="453"/>
      <c r="AI40" s="452">
        <f>ROUND(+AI36*AI38,0)</f>
        <v>56070</v>
      </c>
      <c r="AJ40" s="73"/>
      <c r="AK40" s="73"/>
      <c r="AL40" s="73"/>
      <c r="AM40" s="73"/>
      <c r="AN40" s="453"/>
      <c r="AO40" s="452">
        <f>ROUND(+AO36*AO38,0)</f>
        <v>41376</v>
      </c>
      <c r="AP40" s="73"/>
      <c r="AQ40" s="73"/>
      <c r="AR40" s="73"/>
      <c r="AS40" s="453"/>
      <c r="AT40" s="452">
        <f>ROUND(+AT36*AT38,0)</f>
        <v>54505</v>
      </c>
      <c r="AU40" s="73"/>
      <c r="AV40" s="73"/>
      <c r="AW40" s="73"/>
      <c r="AX40" s="453"/>
      <c r="AY40" s="452">
        <f>ROUND(+AY36*AY38,0)</f>
        <v>67312</v>
      </c>
      <c r="AZ40" s="73"/>
      <c r="BA40" s="73"/>
      <c r="BB40" s="453"/>
      <c r="BC40" s="452">
        <f>ROUND(+BC36*BC38,0)</f>
        <v>51896</v>
      </c>
      <c r="BD40" s="73"/>
      <c r="BE40" s="73"/>
      <c r="BF40" s="453"/>
      <c r="BG40" s="452">
        <f>ROUND(+BG36*BG38,0)</f>
        <v>64528</v>
      </c>
      <c r="BH40" s="73"/>
      <c r="BI40" s="73"/>
      <c r="BJ40" s="73"/>
      <c r="BK40" s="73"/>
      <c r="BL40" s="73"/>
      <c r="BM40" s="452">
        <f>ROUND(+BM36*BM38,0)</f>
        <v>45839</v>
      </c>
      <c r="BN40" s="73"/>
      <c r="BO40" s="453"/>
      <c r="BP40" s="452">
        <f>ROUND(+BP36*BP38,0)</f>
        <v>51195</v>
      </c>
      <c r="BQ40" s="73"/>
      <c r="BR40" s="453"/>
      <c r="BS40" s="452">
        <f>ROUND(+BS36*BS38,0)</f>
        <v>26639</v>
      </c>
      <c r="BT40" s="73"/>
      <c r="BU40" s="73"/>
      <c r="BV40" s="73"/>
      <c r="BW40" s="73"/>
      <c r="BX40" s="453"/>
      <c r="BY40" s="452"/>
      <c r="BZ40" s="73"/>
      <c r="CA40" s="453"/>
      <c r="CB40" s="452"/>
      <c r="CC40" s="73"/>
      <c r="CD40" s="455"/>
      <c r="CE40" s="452">
        <f>ROUND(+CE36*CE38,0)</f>
        <v>11290</v>
      </c>
      <c r="CF40" s="73"/>
      <c r="CG40" s="73"/>
      <c r="CH40" s="73"/>
      <c r="CI40" s="453"/>
    </row>
    <row r="41" spans="1:87" ht="13.8" thickTop="1" x14ac:dyDescent="0.25">
      <c r="A41" s="397">
        <f t="shared" si="0"/>
        <v>35</v>
      </c>
      <c r="B41" s="26"/>
      <c r="C41" s="26"/>
      <c r="D41" s="484"/>
      <c r="E41" s="57"/>
      <c r="F41" s="57"/>
      <c r="G41" s="270"/>
      <c r="H41" s="72"/>
      <c r="I41" s="57"/>
      <c r="J41" s="57"/>
      <c r="K41" s="57"/>
      <c r="L41" s="270"/>
      <c r="M41" s="72"/>
      <c r="N41" s="57"/>
      <c r="O41" s="57"/>
      <c r="P41" s="57"/>
      <c r="Q41" s="57"/>
      <c r="R41" s="270"/>
      <c r="S41" s="57"/>
      <c r="T41" s="57"/>
      <c r="U41" s="57"/>
      <c r="V41" s="72"/>
      <c r="W41" s="57"/>
      <c r="X41" s="94"/>
      <c r="Y41" s="484"/>
      <c r="Z41" s="57"/>
      <c r="AA41" s="57"/>
      <c r="AB41" s="270"/>
      <c r="AC41" s="57"/>
      <c r="AD41" s="57"/>
      <c r="AE41" s="57"/>
      <c r="AF41" s="72"/>
      <c r="AG41" s="57"/>
      <c r="AH41" s="94"/>
      <c r="AI41" s="484"/>
      <c r="AJ41" s="57"/>
      <c r="AK41" s="57"/>
      <c r="AL41" s="57"/>
      <c r="AM41" s="57"/>
      <c r="AN41" s="94"/>
      <c r="AO41" s="484"/>
      <c r="AP41" s="57"/>
      <c r="AQ41" s="57"/>
      <c r="AR41" s="57"/>
      <c r="AS41" s="94"/>
      <c r="AT41" s="484"/>
      <c r="AU41" s="57"/>
      <c r="AV41" s="57"/>
      <c r="AW41" s="57"/>
      <c r="AX41" s="94"/>
      <c r="AY41" s="484"/>
      <c r="AZ41" s="57"/>
      <c r="BA41" s="57"/>
      <c r="BB41" s="94"/>
      <c r="BC41" s="484"/>
      <c r="BD41" s="57"/>
      <c r="BE41" s="57"/>
      <c r="BF41" s="94"/>
      <c r="BG41" s="484"/>
      <c r="BH41" s="57"/>
      <c r="BI41" s="57"/>
      <c r="BJ41" s="57"/>
      <c r="BK41" s="57"/>
      <c r="BL41" s="57"/>
      <c r="BM41" s="484"/>
      <c r="BN41" s="57"/>
      <c r="BO41" s="94"/>
      <c r="BP41" s="484"/>
      <c r="BQ41" s="57"/>
      <c r="BR41" s="94"/>
      <c r="BS41" s="484"/>
      <c r="BT41" s="57"/>
      <c r="BU41" s="57"/>
      <c r="BV41" s="57"/>
      <c r="BW41" s="57"/>
      <c r="BX41" s="94"/>
      <c r="BY41" s="484"/>
      <c r="BZ41" s="57"/>
      <c r="CA41" s="94"/>
      <c r="CB41" s="484"/>
      <c r="CC41" s="57"/>
      <c r="CD41" s="485"/>
      <c r="CE41" s="484"/>
      <c r="CF41" s="57"/>
      <c r="CG41" s="57"/>
      <c r="CH41" s="57"/>
      <c r="CI41" s="94"/>
    </row>
    <row r="42" spans="1:87" x14ac:dyDescent="0.25">
      <c r="A42" s="397">
        <f t="shared" si="0"/>
        <v>36</v>
      </c>
      <c r="B42" s="26" t="s">
        <v>116</v>
      </c>
      <c r="C42" s="26"/>
      <c r="D42" s="489">
        <f ca="1">IF(D40=0,0,ROUND(+D31/D40,2))</f>
        <v>2.82</v>
      </c>
      <c r="E42" s="95"/>
      <c r="F42" s="95"/>
      <c r="G42" s="486"/>
      <c r="H42" s="487"/>
      <c r="I42" s="95"/>
      <c r="J42" s="95"/>
      <c r="K42" s="95"/>
      <c r="L42" s="486"/>
      <c r="M42" s="487"/>
      <c r="N42" s="95"/>
      <c r="O42" s="95"/>
      <c r="P42" s="95"/>
      <c r="Q42" s="95"/>
      <c r="R42" s="486"/>
      <c r="S42" s="95"/>
      <c r="T42" s="95"/>
      <c r="U42" s="95"/>
      <c r="V42" s="487"/>
      <c r="W42" s="95"/>
      <c r="X42" s="488"/>
      <c r="Y42" s="489">
        <f ca="1">IF(Y40=0,0,ROUND(+Y31/Y40,2))</f>
        <v>4.2</v>
      </c>
      <c r="Z42" s="95"/>
      <c r="AA42" s="95"/>
      <c r="AB42" s="486"/>
      <c r="AC42" s="95"/>
      <c r="AD42" s="95"/>
      <c r="AE42" s="95"/>
      <c r="AF42" s="72"/>
      <c r="AG42" s="95"/>
      <c r="AH42" s="488"/>
      <c r="AI42" s="489">
        <f ca="1">IF(AI40=0,0,ROUND(+AI31/AI40,2))</f>
        <v>0.99</v>
      </c>
      <c r="AJ42" s="95"/>
      <c r="AK42" s="95"/>
      <c r="AL42" s="95"/>
      <c r="AM42" s="95"/>
      <c r="AN42" s="488"/>
      <c r="AO42" s="489">
        <f ca="1">IF(AO40=0,0,ROUND(+AO31/AO40,2))</f>
        <v>0.39</v>
      </c>
      <c r="AP42" s="95"/>
      <c r="AQ42" s="95"/>
      <c r="AR42" s="95"/>
      <c r="AS42" s="488"/>
      <c r="AT42" s="489">
        <f ca="1">IF(AT40=0,0,ROUND(+AT31/AT40,2))</f>
        <v>0.8</v>
      </c>
      <c r="AU42" s="95"/>
      <c r="AV42" s="95"/>
      <c r="AW42" s="95"/>
      <c r="AX42" s="488"/>
      <c r="AY42" s="489">
        <f ca="1">IF(AY40=0,0,ROUND(+AY31/AY40,2))</f>
        <v>0.22</v>
      </c>
      <c r="AZ42" s="95"/>
      <c r="BA42" s="95"/>
      <c r="BB42" s="488"/>
      <c r="BC42" s="489">
        <f ca="1">IF(BC40=0,0,ROUND(+BC31/BC40,2))</f>
        <v>1.26</v>
      </c>
      <c r="BD42" s="95"/>
      <c r="BE42" s="95"/>
      <c r="BF42" s="488"/>
      <c r="BG42" s="489">
        <f ca="1">IF(BG40=0,0,ROUND(+BG31/BG40,2))</f>
        <v>2.81</v>
      </c>
      <c r="BH42" s="95"/>
      <c r="BI42" s="95"/>
      <c r="BJ42" s="95"/>
      <c r="BK42" s="95"/>
      <c r="BL42" s="95"/>
      <c r="BM42" s="489">
        <f ca="1">IF(BM40=0,0,ROUND(+BM31/BM40,2))</f>
        <v>0.56000000000000005</v>
      </c>
      <c r="BN42" s="95"/>
      <c r="BO42" s="488"/>
      <c r="BP42" s="489">
        <f ca="1">IF(BP40=0,0,ROUND(+BP31/BP40,2))</f>
        <v>0.86</v>
      </c>
      <c r="BQ42" s="95"/>
      <c r="BR42" s="488"/>
      <c r="BS42" s="489">
        <f ca="1">IF(BS40=0,0,ROUND(+BS31/BS40,2))</f>
        <v>0.35</v>
      </c>
      <c r="BT42" s="490"/>
      <c r="BU42" s="490"/>
      <c r="BV42" s="490"/>
      <c r="BW42" s="490"/>
      <c r="BX42" s="488"/>
      <c r="BY42" s="489"/>
      <c r="BZ42" s="490"/>
      <c r="CA42" s="488"/>
      <c r="CB42" s="489"/>
      <c r="CC42" s="490"/>
      <c r="CD42" s="491"/>
      <c r="CE42" s="489">
        <f ca="1">IF(CE40=0,0,ROUND(+CE31/CE40,2))</f>
        <v>1.54</v>
      </c>
      <c r="CF42" s="95"/>
      <c r="CG42" s="95"/>
      <c r="CH42" s="95"/>
      <c r="CI42" s="488"/>
    </row>
    <row r="43" spans="1:87" ht="13.8" thickBot="1" x14ac:dyDescent="0.3">
      <c r="A43" s="397">
        <f t="shared" si="0"/>
        <v>37</v>
      </c>
      <c r="D43" s="494"/>
      <c r="E43" s="96"/>
      <c r="F43" s="96"/>
      <c r="G43" s="492"/>
      <c r="H43" s="493"/>
      <c r="I43" s="96"/>
      <c r="J43" s="96"/>
      <c r="K43" s="96"/>
      <c r="L43" s="492"/>
      <c r="M43" s="493"/>
      <c r="N43" s="96"/>
      <c r="O43" s="96"/>
      <c r="P43" s="96"/>
      <c r="Q43" s="96"/>
      <c r="R43" s="492"/>
      <c r="S43" s="96"/>
      <c r="T43" s="96"/>
      <c r="U43" s="96"/>
      <c r="V43" s="493"/>
      <c r="W43" s="96"/>
      <c r="X43" s="97"/>
      <c r="Y43" s="494"/>
      <c r="Z43" s="96"/>
      <c r="AA43" s="96"/>
      <c r="AB43" s="492"/>
      <c r="AC43" s="96"/>
      <c r="AD43" s="96"/>
      <c r="AE43" s="96"/>
      <c r="AF43" s="493"/>
      <c r="AG43" s="96"/>
      <c r="AH43" s="97"/>
      <c r="AI43" s="494"/>
      <c r="AJ43" s="96"/>
      <c r="AK43" s="96"/>
      <c r="AL43" s="96"/>
      <c r="AM43" s="96"/>
      <c r="AN43" s="97"/>
      <c r="AO43" s="494"/>
      <c r="AP43" s="96"/>
      <c r="AQ43" s="96"/>
      <c r="AR43" s="96"/>
      <c r="AS43" s="97"/>
      <c r="AT43" s="494"/>
      <c r="AU43" s="96"/>
      <c r="AV43" s="96"/>
      <c r="AW43" s="96"/>
      <c r="AX43" s="97"/>
      <c r="AY43" s="494"/>
      <c r="AZ43" s="96"/>
      <c r="BA43" s="96"/>
      <c r="BB43" s="97"/>
      <c r="BC43" s="494"/>
      <c r="BD43" s="96"/>
      <c r="BE43" s="96"/>
      <c r="BF43" s="97"/>
      <c r="BG43" s="494"/>
      <c r="BH43" s="96"/>
      <c r="BI43" s="96"/>
      <c r="BJ43" s="96"/>
      <c r="BK43" s="96"/>
      <c r="BL43" s="96"/>
      <c r="BM43" s="494"/>
      <c r="BN43" s="96"/>
      <c r="BO43" s="97"/>
      <c r="BP43" s="494"/>
      <c r="BQ43" s="96"/>
      <c r="BR43" s="97"/>
      <c r="BS43" s="494"/>
      <c r="BT43" s="96"/>
      <c r="BU43" s="96"/>
      <c r="BV43" s="96"/>
      <c r="BW43" s="96"/>
      <c r="BX43" s="97"/>
      <c r="BY43" s="494"/>
      <c r="BZ43" s="96"/>
      <c r="CA43" s="97"/>
      <c r="CB43" s="494"/>
      <c r="CC43" s="96"/>
      <c r="CD43" s="495"/>
      <c r="CE43" s="494"/>
      <c r="CF43" s="96"/>
      <c r="CG43" s="96"/>
      <c r="CH43" s="96"/>
      <c r="CI43" s="97"/>
    </row>
    <row r="44" spans="1:87" x14ac:dyDescent="0.25">
      <c r="A44" s="397">
        <f t="shared" si="0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484"/>
      <c r="BT44" s="57"/>
      <c r="BU44" s="57"/>
      <c r="BV44" s="57"/>
      <c r="BW44" s="57"/>
      <c r="BX44" s="94"/>
      <c r="BY44" s="484"/>
      <c r="BZ44" s="57"/>
      <c r="CA44" s="94"/>
      <c r="CB44" s="484"/>
      <c r="CC44" s="57"/>
      <c r="CD44" s="485"/>
      <c r="CE44" s="57"/>
      <c r="CF44" s="57"/>
      <c r="CG44" s="57"/>
      <c r="CH44" s="57"/>
      <c r="CI44" s="94"/>
    </row>
    <row r="45" spans="1:87" s="57" customFormat="1" ht="13.8" thickBot="1" x14ac:dyDescent="0.3">
      <c r="A45" s="397">
        <f t="shared" si="0"/>
        <v>39</v>
      </c>
      <c r="B45" s="86" t="s">
        <v>211</v>
      </c>
      <c r="C45" s="66">
        <f>SUM(D45:CI45)</f>
        <v>64584651.640000001</v>
      </c>
      <c r="D45" s="454">
        <f>SUM(D13:G15)</f>
        <v>1380642.62</v>
      </c>
      <c r="E45" s="496"/>
      <c r="F45" s="496"/>
      <c r="G45" s="496"/>
      <c r="H45" s="49">
        <f>SUM(H13:L15)</f>
        <v>1410367.48</v>
      </c>
      <c r="I45" s="496"/>
      <c r="J45" s="496"/>
      <c r="K45" s="496"/>
      <c r="L45" s="496"/>
      <c r="M45" s="49">
        <f>SUM(M13:R15)</f>
        <v>1115331.17</v>
      </c>
      <c r="N45" s="496"/>
      <c r="O45" s="496"/>
      <c r="P45" s="496"/>
      <c r="Q45" s="496"/>
      <c r="R45" s="496"/>
      <c r="S45" s="49">
        <f>SUM(S13:U15)</f>
        <v>4562662.13</v>
      </c>
      <c r="T45" s="496"/>
      <c r="U45" s="496"/>
      <c r="V45" s="49">
        <f>SUM(V13:X15)</f>
        <v>17334633.57</v>
      </c>
      <c r="W45" s="496"/>
      <c r="X45" s="496"/>
      <c r="Y45" s="49">
        <f>SUM(Y13:AB15)</f>
        <v>1380642.62</v>
      </c>
      <c r="AC45" s="49">
        <f>SUM(AC13:AE15)</f>
        <v>4562662.13</v>
      </c>
      <c r="AD45" s="496"/>
      <c r="AE45" s="496"/>
      <c r="AF45" s="49">
        <f>SUM(AF13:AH15)</f>
        <v>17334633.57</v>
      </c>
      <c r="AG45" s="496"/>
      <c r="AH45" s="496"/>
      <c r="AI45" s="49">
        <f>SUM(AI13:AN15)</f>
        <v>1115331.17</v>
      </c>
      <c r="AJ45" s="496"/>
      <c r="AK45" s="496"/>
      <c r="AL45" s="496"/>
      <c r="AM45" s="496"/>
      <c r="AN45" s="496"/>
      <c r="AO45" s="49">
        <f>SUM(AO13:AS15)</f>
        <v>671743.11999999976</v>
      </c>
      <c r="AP45" s="496"/>
      <c r="AQ45" s="496"/>
      <c r="AR45" s="496"/>
      <c r="AS45" s="496"/>
      <c r="AT45" s="49">
        <f>SUM(AT13:AX15)</f>
        <v>774803.43000000017</v>
      </c>
      <c r="AU45" s="496"/>
      <c r="AV45" s="496"/>
      <c r="AW45" s="496"/>
      <c r="AX45" s="496"/>
      <c r="AY45" s="49">
        <f>SUM(AY13:BB15)</f>
        <v>219536.30999999997</v>
      </c>
      <c r="AZ45" s="49"/>
      <c r="BA45" s="49"/>
      <c r="BB45" s="496"/>
      <c r="BC45" s="49">
        <f>SUM(BC13:BF15)</f>
        <v>2453366.6399999997</v>
      </c>
      <c r="BD45" s="49"/>
      <c r="BE45" s="49"/>
      <c r="BG45" s="49">
        <f>SUM(BG13:BL15)</f>
        <v>7455295.0999999996</v>
      </c>
      <c r="BH45" s="49"/>
      <c r="BI45" s="49"/>
      <c r="BJ45" s="49"/>
      <c r="BK45" s="49"/>
      <c r="BL45" s="49"/>
      <c r="BM45" s="49">
        <f>SUM(BM13:BO15)</f>
        <v>565559.37999999989</v>
      </c>
      <c r="BN45" s="49"/>
      <c r="BO45" s="49"/>
      <c r="BP45" s="49">
        <f>SUM(BP13:BR15)</f>
        <v>824634.66</v>
      </c>
      <c r="BQ45" s="49"/>
      <c r="BR45" s="49"/>
      <c r="BS45" s="454">
        <f>SUM(BS13:BX15)</f>
        <v>369012.88</v>
      </c>
      <c r="BT45" s="49"/>
      <c r="BU45" s="49"/>
      <c r="BV45" s="49"/>
      <c r="BW45" s="49"/>
      <c r="BX45" s="94"/>
      <c r="BY45" s="454"/>
      <c r="BZ45" s="49"/>
      <c r="CA45" s="94"/>
      <c r="CB45" s="454"/>
      <c r="CC45" s="49"/>
      <c r="CD45" s="485"/>
      <c r="CE45" s="49">
        <f>SUM(CE13:CI15)</f>
        <v>1053793.6600000001</v>
      </c>
      <c r="CF45" s="49"/>
      <c r="CG45" s="49"/>
      <c r="CH45" s="49"/>
      <c r="CI45" s="469"/>
    </row>
    <row r="46" spans="1:87" s="57" customFormat="1" ht="14.4" thickTop="1" thickBot="1" x14ac:dyDescent="0.3">
      <c r="A46" s="397">
        <f t="shared" si="0"/>
        <v>40</v>
      </c>
      <c r="B46" s="86" t="s">
        <v>188</v>
      </c>
      <c r="C46" s="66">
        <f>SUM(D46:CI46)</f>
        <v>64584651.640000001</v>
      </c>
      <c r="D46" s="454">
        <f>+'Sub Net Book 9-16'!B8</f>
        <v>1380642.62</v>
      </c>
      <c r="H46" s="49">
        <f>+'Sub Net Book 9-16'!C8</f>
        <v>1410367.4799999997</v>
      </c>
      <c r="M46" s="49">
        <f>+'Sub Net Book 9-16'!D8</f>
        <v>1115331.17</v>
      </c>
      <c r="S46" s="49">
        <f>+'Sub Net Book 9-16'!E8</f>
        <v>4562662.13</v>
      </c>
      <c r="V46" s="49">
        <f>+'Sub Net Book 9-16'!O8</f>
        <v>17334633.57</v>
      </c>
      <c r="Y46" s="49">
        <f>+'Sub Net Book 9-16'!B8</f>
        <v>1380642.62</v>
      </c>
      <c r="AC46" s="49">
        <f>+'Sub Net Book 9-16'!E8</f>
        <v>4562662.13</v>
      </c>
      <c r="AF46" s="49">
        <f>+'Sub Net Book 9-16'!O8</f>
        <v>17334633.57</v>
      </c>
      <c r="AI46" s="49">
        <f>+'Sub Net Book 9-16'!D8</f>
        <v>1115331.17</v>
      </c>
      <c r="AO46" s="49">
        <f>+'Sub Net Book 9-16'!F8</f>
        <v>671743.11999999988</v>
      </c>
      <c r="AT46" s="49">
        <f>+'Sub Net Book 9-16'!G8</f>
        <v>774803.43</v>
      </c>
      <c r="AY46" s="49">
        <f>+'Sub Net Book 9-16'!H8</f>
        <v>219536.30999999997</v>
      </c>
      <c r="AZ46" s="49"/>
      <c r="BA46" s="49"/>
      <c r="BC46" s="49">
        <f>+'Sub Net Book 9-16'!J8</f>
        <v>2453366.6399999997</v>
      </c>
      <c r="BD46" s="49"/>
      <c r="BE46" s="49"/>
      <c r="BG46" s="49">
        <f>+'Sub Net Book 9-16'!J8+'Sub Net Book 9-16'!K8</f>
        <v>7455295.0999999996</v>
      </c>
      <c r="BH46" s="49"/>
      <c r="BI46" s="49"/>
      <c r="BJ46" s="49"/>
      <c r="BK46" s="49"/>
      <c r="BL46" s="49"/>
      <c r="BM46" s="49">
        <f>+'Sub Net Book 9-16'!L8</f>
        <v>565559.38</v>
      </c>
      <c r="BN46" s="49"/>
      <c r="BO46" s="49"/>
      <c r="BP46" s="49">
        <f>+'Sub Net Book 9-16'!M8</f>
        <v>824634.66</v>
      </c>
      <c r="BQ46" s="49"/>
      <c r="BR46" s="49"/>
      <c r="BS46" s="454">
        <f>+'Sub Net Book 9-16'!N8</f>
        <v>369012.88</v>
      </c>
      <c r="BT46" s="49"/>
      <c r="BU46" s="49"/>
      <c r="BV46" s="49"/>
      <c r="BW46" s="49"/>
      <c r="BX46" s="94"/>
      <c r="BY46" s="454"/>
      <c r="BZ46" s="49"/>
      <c r="CA46" s="94"/>
      <c r="CB46" s="454"/>
      <c r="CC46" s="49"/>
      <c r="CD46" s="485"/>
      <c r="CE46" s="49">
        <f>+'Sub Net Book 9-16'!I8</f>
        <v>1053793.6600000001</v>
      </c>
      <c r="CF46" s="49"/>
      <c r="CG46" s="49"/>
      <c r="CH46" s="49"/>
      <c r="CI46" s="469"/>
    </row>
    <row r="47" spans="1:87" s="57" customFormat="1" ht="14.4" thickTop="1" thickBot="1" x14ac:dyDescent="0.3">
      <c r="A47" s="397">
        <f t="shared" si="0"/>
        <v>41</v>
      </c>
      <c r="B47" s="86" t="s">
        <v>188</v>
      </c>
      <c r="C47" s="66">
        <f>SUM(D47:CI47)</f>
        <v>0</v>
      </c>
      <c r="D47" s="505">
        <f>+D45-D46</f>
        <v>0</v>
      </c>
      <c r="E47" s="96"/>
      <c r="F47" s="96"/>
      <c r="G47" s="96"/>
      <c r="H47" s="506">
        <f>+H45-H46</f>
        <v>0</v>
      </c>
      <c r="I47" s="96"/>
      <c r="J47" s="96"/>
      <c r="K47" s="96"/>
      <c r="L47" s="96"/>
      <c r="M47" s="506">
        <f>+M45-M46</f>
        <v>0</v>
      </c>
      <c r="N47" s="96"/>
      <c r="O47" s="96"/>
      <c r="P47" s="96"/>
      <c r="Q47" s="96"/>
      <c r="R47" s="96"/>
      <c r="S47" s="506">
        <f>+S45-S46</f>
        <v>0</v>
      </c>
      <c r="T47" s="96"/>
      <c r="U47" s="96"/>
      <c r="V47" s="506">
        <f>+V45-V46</f>
        <v>0</v>
      </c>
      <c r="W47" s="96"/>
      <c r="X47" s="96"/>
      <c r="Y47" s="506">
        <f>+Y45-Y46</f>
        <v>0</v>
      </c>
      <c r="Z47" s="96"/>
      <c r="AA47" s="96"/>
      <c r="AB47" s="96"/>
      <c r="AC47" s="506">
        <f>+AC45-AC46</f>
        <v>0</v>
      </c>
      <c r="AD47" s="96"/>
      <c r="AE47" s="96"/>
      <c r="AF47" s="506">
        <f>+AF45-AF46</f>
        <v>0</v>
      </c>
      <c r="AG47" s="96"/>
      <c r="AH47" s="96"/>
      <c r="AI47" s="506">
        <f>+AI45-AI46</f>
        <v>0</v>
      </c>
      <c r="AJ47" s="96"/>
      <c r="AK47" s="96"/>
      <c r="AL47" s="96"/>
      <c r="AM47" s="96"/>
      <c r="AN47" s="96"/>
      <c r="AO47" s="506">
        <f>+AO45-AO46</f>
        <v>0</v>
      </c>
      <c r="AP47" s="96"/>
      <c r="AQ47" s="96"/>
      <c r="AR47" s="96"/>
      <c r="AS47" s="96"/>
      <c r="AT47" s="506">
        <f>+AT45-AT46</f>
        <v>0</v>
      </c>
      <c r="AU47" s="96"/>
      <c r="AV47" s="96"/>
      <c r="AW47" s="96"/>
      <c r="AX47" s="96"/>
      <c r="AY47" s="506">
        <f>+AY45-AY46</f>
        <v>0</v>
      </c>
      <c r="AZ47" s="506"/>
      <c r="BA47" s="506"/>
      <c r="BB47" s="96"/>
      <c r="BC47" s="506">
        <f>+BC45-BC46</f>
        <v>0</v>
      </c>
      <c r="BD47" s="506"/>
      <c r="BE47" s="506"/>
      <c r="BF47" s="96"/>
      <c r="BG47" s="506">
        <f>+BG45-BG46</f>
        <v>0</v>
      </c>
      <c r="BH47" s="506"/>
      <c r="BI47" s="506"/>
      <c r="BJ47" s="506"/>
      <c r="BK47" s="506"/>
      <c r="BL47" s="506"/>
      <c r="BM47" s="506">
        <f>+BM45-BM46</f>
        <v>0</v>
      </c>
      <c r="BN47" s="506"/>
      <c r="BO47" s="506"/>
      <c r="BP47" s="506">
        <f>+BP45-BP46</f>
        <v>0</v>
      </c>
      <c r="BQ47" s="506"/>
      <c r="BR47" s="506"/>
      <c r="BS47" s="505">
        <f>+BS45-BS46</f>
        <v>0</v>
      </c>
      <c r="BT47" s="506"/>
      <c r="BU47" s="506"/>
      <c r="BV47" s="506"/>
      <c r="BW47" s="506"/>
      <c r="BX47" s="97"/>
      <c r="BY47" s="505"/>
      <c r="BZ47" s="506"/>
      <c r="CA47" s="97"/>
      <c r="CB47" s="505"/>
      <c r="CC47" s="506"/>
      <c r="CD47" s="495"/>
      <c r="CE47" s="506">
        <f>+CE45-CE46</f>
        <v>0</v>
      </c>
      <c r="CF47" s="506"/>
      <c r="CG47" s="506"/>
      <c r="CH47" s="506"/>
      <c r="CI47" s="507"/>
    </row>
    <row r="48" spans="1:87" s="57" customFormat="1" ht="13.8" thickTop="1" x14ac:dyDescent="0.25">
      <c r="A48" s="397">
        <f t="shared" si="0"/>
        <v>42</v>
      </c>
      <c r="B48" s="80"/>
      <c r="C48" s="80"/>
    </row>
    <row r="49" spans="1:87" x14ac:dyDescent="0.25">
      <c r="A49" s="397">
        <f t="shared" si="0"/>
        <v>43</v>
      </c>
    </row>
    <row r="50" spans="1:87" x14ac:dyDescent="0.25">
      <c r="A50" s="397">
        <f t="shared" si="0"/>
        <v>44</v>
      </c>
      <c r="B50" s="80" t="s">
        <v>265</v>
      </c>
      <c r="D50" s="75"/>
      <c r="H50" s="75"/>
      <c r="M50" s="75"/>
      <c r="S50" s="75"/>
      <c r="V50" s="75"/>
      <c r="Y50" s="75"/>
      <c r="AC50" s="75"/>
      <c r="AF50" s="75"/>
      <c r="AI50" s="75"/>
      <c r="AO50" s="75"/>
      <c r="AT50" s="75"/>
      <c r="AY50" s="75"/>
      <c r="BC50" s="75"/>
      <c r="BG50" s="181"/>
      <c r="BM50" s="181"/>
    </row>
    <row r="51" spans="1:87" ht="13.8" thickBot="1" x14ac:dyDescent="0.3">
      <c r="A51" s="397">
        <f t="shared" si="0"/>
        <v>45</v>
      </c>
      <c r="B51" s="53" t="s">
        <v>266</v>
      </c>
      <c r="C51" s="66">
        <f>SUM(D51:CI51)</f>
        <v>64584651.639999986</v>
      </c>
      <c r="D51" s="66">
        <f>SUM(D52:D54)</f>
        <v>1475894</v>
      </c>
      <c r="E51" s="66">
        <f t="shared" ref="E51:BP51" si="119">SUM(E52:E54)</f>
        <v>-465410.10999999987</v>
      </c>
      <c r="F51" s="66">
        <f t="shared" si="119"/>
        <v>6869.39</v>
      </c>
      <c r="G51" s="66">
        <f t="shared" si="119"/>
        <v>363289.33999999997</v>
      </c>
      <c r="H51" s="66">
        <f t="shared" si="119"/>
        <v>342140</v>
      </c>
      <c r="I51" s="66">
        <f t="shared" si="119"/>
        <v>794405.2799999998</v>
      </c>
      <c r="J51" s="66">
        <f t="shared" si="119"/>
        <v>63080.1</v>
      </c>
      <c r="K51" s="66">
        <f t="shared" si="119"/>
        <v>133496.34000000003</v>
      </c>
      <c r="L51" s="66">
        <f t="shared" si="119"/>
        <v>77245.759999999995</v>
      </c>
      <c r="M51" s="66">
        <f t="shared" si="119"/>
        <v>635596</v>
      </c>
      <c r="N51" s="66">
        <f t="shared" si="119"/>
        <v>-411985.39000000013</v>
      </c>
      <c r="O51" s="66">
        <f t="shared" si="119"/>
        <v>10462.09</v>
      </c>
      <c r="P51" s="66">
        <f t="shared" si="119"/>
        <v>742364.67</v>
      </c>
      <c r="Q51" s="66">
        <f t="shared" si="119"/>
        <v>113758</v>
      </c>
      <c r="R51" s="66">
        <f t="shared" si="119"/>
        <v>25135.8</v>
      </c>
      <c r="S51" s="66">
        <f t="shared" si="119"/>
        <v>3885604</v>
      </c>
      <c r="T51" s="66">
        <f t="shared" si="119"/>
        <v>612819.93999999994</v>
      </c>
      <c r="U51" s="66">
        <f t="shared" si="119"/>
        <v>64238.19</v>
      </c>
      <c r="V51" s="66">
        <f t="shared" si="119"/>
        <v>17334633.57</v>
      </c>
      <c r="W51" s="66">
        <f t="shared" si="119"/>
        <v>0</v>
      </c>
      <c r="X51" s="66">
        <f t="shared" si="119"/>
        <v>0</v>
      </c>
      <c r="Y51" s="66">
        <f t="shared" si="119"/>
        <v>1475894</v>
      </c>
      <c r="Z51" s="66">
        <f t="shared" si="119"/>
        <v>-465410.10999999987</v>
      </c>
      <c r="AA51" s="66">
        <f t="shared" si="119"/>
        <v>6869.39</v>
      </c>
      <c r="AB51" s="66">
        <f t="shared" si="119"/>
        <v>363289.33999999997</v>
      </c>
      <c r="AC51" s="66">
        <f t="shared" si="119"/>
        <v>3885604</v>
      </c>
      <c r="AD51" s="66">
        <f t="shared" si="119"/>
        <v>612819.93999999994</v>
      </c>
      <c r="AE51" s="66">
        <f t="shared" si="119"/>
        <v>64238.19</v>
      </c>
      <c r="AF51" s="66">
        <f t="shared" si="119"/>
        <v>17334633.57</v>
      </c>
      <c r="AG51" s="66">
        <f t="shared" si="119"/>
        <v>0</v>
      </c>
      <c r="AH51" s="66">
        <f t="shared" si="119"/>
        <v>0</v>
      </c>
      <c r="AI51" s="66">
        <f t="shared" si="119"/>
        <v>635596</v>
      </c>
      <c r="AJ51" s="66">
        <f t="shared" si="119"/>
        <v>-411985.39000000013</v>
      </c>
      <c r="AK51" s="66">
        <f t="shared" si="119"/>
        <v>10462.09</v>
      </c>
      <c r="AL51" s="66">
        <f t="shared" si="119"/>
        <v>742364.67</v>
      </c>
      <c r="AM51" s="66">
        <f t="shared" si="119"/>
        <v>113758</v>
      </c>
      <c r="AN51" s="66">
        <f t="shared" si="119"/>
        <v>25135.8</v>
      </c>
      <c r="AO51" s="66">
        <f t="shared" si="119"/>
        <v>455221</v>
      </c>
      <c r="AP51" s="66">
        <f t="shared" si="119"/>
        <v>-442435.75000000023</v>
      </c>
      <c r="AQ51" s="66">
        <f t="shared" si="119"/>
        <v>30229.73</v>
      </c>
      <c r="AR51" s="66">
        <f t="shared" si="119"/>
        <v>393606.84</v>
      </c>
      <c r="AS51" s="66">
        <f t="shared" si="119"/>
        <v>235121.3</v>
      </c>
      <c r="AT51" s="66">
        <f t="shared" si="119"/>
        <v>744017.87</v>
      </c>
      <c r="AU51" s="66">
        <f t="shared" si="119"/>
        <v>-551929.5199999999</v>
      </c>
      <c r="AV51" s="66">
        <f t="shared" si="119"/>
        <v>92574.71</v>
      </c>
      <c r="AW51" s="66">
        <f t="shared" si="119"/>
        <v>479614.37</v>
      </c>
      <c r="AX51" s="66">
        <f t="shared" si="119"/>
        <v>10526</v>
      </c>
      <c r="AY51" s="66">
        <f t="shared" si="119"/>
        <v>186731.54</v>
      </c>
      <c r="AZ51" s="66">
        <f t="shared" si="119"/>
        <v>12418.340000000084</v>
      </c>
      <c r="BA51" s="66">
        <f t="shared" si="119"/>
        <v>6263.7699999998731</v>
      </c>
      <c r="BB51" s="66">
        <f t="shared" si="119"/>
        <v>14122.66</v>
      </c>
      <c r="BC51" s="66">
        <f t="shared" si="119"/>
        <v>2121921.54</v>
      </c>
      <c r="BD51" s="66">
        <f t="shared" si="119"/>
        <v>-1154092.1600000006</v>
      </c>
      <c r="BE51" s="66">
        <f t="shared" si="119"/>
        <v>1019332.6100000003</v>
      </c>
      <c r="BF51" s="66">
        <f t="shared" si="119"/>
        <v>466204.64999999997</v>
      </c>
      <c r="BG51" s="66">
        <f t="shared" si="119"/>
        <v>5556571.9300000016</v>
      </c>
      <c r="BH51" s="66">
        <f t="shared" si="119"/>
        <v>-655286.34000000171</v>
      </c>
      <c r="BI51" s="66">
        <f t="shared" si="119"/>
        <v>100642.87</v>
      </c>
      <c r="BJ51" s="66">
        <f t="shared" si="119"/>
        <v>2453366.6399999997</v>
      </c>
      <c r="BK51" s="66">
        <f t="shared" si="119"/>
        <v>0</v>
      </c>
      <c r="BL51" s="66">
        <f t="shared" si="119"/>
        <v>0</v>
      </c>
      <c r="BM51" s="66">
        <f t="shared" si="119"/>
        <v>144810.54999999999</v>
      </c>
      <c r="BN51" s="66">
        <f t="shared" si="119"/>
        <v>-832883.33</v>
      </c>
      <c r="BO51" s="66">
        <f t="shared" si="119"/>
        <v>1253632.1599999999</v>
      </c>
      <c r="BP51" s="66">
        <f t="shared" si="119"/>
        <v>894212.09</v>
      </c>
      <c r="BQ51" s="66">
        <f t="shared" ref="BQ51:BX51" si="120">SUM(BQ52:BQ54)</f>
        <v>-85077.739999999991</v>
      </c>
      <c r="BR51" s="66">
        <f t="shared" si="120"/>
        <v>15500.310000000001</v>
      </c>
      <c r="BS51" s="66">
        <f t="shared" si="120"/>
        <v>312618</v>
      </c>
      <c r="BT51" s="66">
        <f t="shared" si="120"/>
        <v>-112532.85999999999</v>
      </c>
      <c r="BU51" s="66">
        <f t="shared" si="120"/>
        <v>59021</v>
      </c>
      <c r="BV51" s="66">
        <f t="shared" si="120"/>
        <v>84990</v>
      </c>
      <c r="BW51" s="66">
        <f t="shared" si="120"/>
        <v>709</v>
      </c>
      <c r="BX51" s="66">
        <f t="shared" si="120"/>
        <v>24207.739999999998</v>
      </c>
      <c r="BY51" s="66"/>
      <c r="BZ51" s="66"/>
      <c r="CA51" s="66"/>
      <c r="CB51" s="66"/>
      <c r="CC51" s="66"/>
      <c r="CD51" s="66"/>
      <c r="CE51" s="66">
        <f t="shared" ref="CE51:CI51" si="121">SUM(CE52:CE54)</f>
        <v>1294903</v>
      </c>
      <c r="CF51" s="66">
        <f t="shared" si="121"/>
        <v>-241130</v>
      </c>
      <c r="CG51" s="66">
        <f t="shared" si="121"/>
        <v>16908</v>
      </c>
      <c r="CH51" s="66">
        <f t="shared" si="121"/>
        <v>191164</v>
      </c>
      <c r="CI51" s="66">
        <f t="shared" si="121"/>
        <v>-208051.33999999985</v>
      </c>
    </row>
    <row r="52" spans="1:87" ht="13.8" thickTop="1" x14ac:dyDescent="0.25">
      <c r="A52" s="397">
        <f t="shared" si="0"/>
        <v>46</v>
      </c>
      <c r="B52" s="59" t="s">
        <v>267</v>
      </c>
      <c r="C52" s="34">
        <f t="shared" ref="C52:C54" si="122">SUM(D52:CI52)</f>
        <v>18987157.389999997</v>
      </c>
      <c r="D52" s="34">
        <f>+D13</f>
        <v>60571</v>
      </c>
      <c r="E52" s="34">
        <f t="shared" ref="E52:BP52" si="123">+E13</f>
        <v>0</v>
      </c>
      <c r="F52" s="34">
        <f t="shared" si="123"/>
        <v>0</v>
      </c>
      <c r="G52" s="34">
        <f t="shared" si="123"/>
        <v>0</v>
      </c>
      <c r="H52" s="34">
        <f t="shared" si="123"/>
        <v>18145</v>
      </c>
      <c r="I52" s="34">
        <f t="shared" si="123"/>
        <v>0</v>
      </c>
      <c r="J52" s="34">
        <f t="shared" si="123"/>
        <v>0</v>
      </c>
      <c r="K52" s="34">
        <f t="shared" si="123"/>
        <v>0</v>
      </c>
      <c r="L52" s="34">
        <f t="shared" si="123"/>
        <v>0</v>
      </c>
      <c r="M52" s="34">
        <f t="shared" si="123"/>
        <v>29774</v>
      </c>
      <c r="N52" s="34">
        <f t="shared" si="123"/>
        <v>0</v>
      </c>
      <c r="O52" s="34">
        <f t="shared" si="123"/>
        <v>0</v>
      </c>
      <c r="P52" s="34">
        <f t="shared" si="123"/>
        <v>0</v>
      </c>
      <c r="Q52" s="34">
        <f t="shared" si="123"/>
        <v>0</v>
      </c>
      <c r="R52" s="34">
        <f t="shared" si="123"/>
        <v>0</v>
      </c>
      <c r="S52" s="34">
        <f t="shared" si="123"/>
        <v>892651</v>
      </c>
      <c r="T52" s="34">
        <f t="shared" si="123"/>
        <v>0</v>
      </c>
      <c r="U52" s="34">
        <f t="shared" si="123"/>
        <v>0</v>
      </c>
      <c r="V52" s="34">
        <f t="shared" si="123"/>
        <v>7628558.6699999999</v>
      </c>
      <c r="W52" s="34">
        <f t="shared" si="123"/>
        <v>0</v>
      </c>
      <c r="X52" s="34">
        <f t="shared" si="123"/>
        <v>0</v>
      </c>
      <c r="Y52" s="34">
        <f t="shared" si="123"/>
        <v>60571</v>
      </c>
      <c r="Z52" s="34">
        <f t="shared" si="123"/>
        <v>0</v>
      </c>
      <c r="AA52" s="34">
        <f t="shared" si="123"/>
        <v>0</v>
      </c>
      <c r="AB52" s="34">
        <f t="shared" si="123"/>
        <v>0</v>
      </c>
      <c r="AC52" s="34">
        <f t="shared" si="123"/>
        <v>892651</v>
      </c>
      <c r="AD52" s="34">
        <f t="shared" si="123"/>
        <v>0</v>
      </c>
      <c r="AE52" s="34">
        <f t="shared" si="123"/>
        <v>0</v>
      </c>
      <c r="AF52" s="34">
        <f t="shared" si="123"/>
        <v>7628558.6699999999</v>
      </c>
      <c r="AG52" s="34">
        <f t="shared" si="123"/>
        <v>0</v>
      </c>
      <c r="AH52" s="34">
        <f t="shared" si="123"/>
        <v>0</v>
      </c>
      <c r="AI52" s="34">
        <f t="shared" si="123"/>
        <v>29774</v>
      </c>
      <c r="AJ52" s="34">
        <f t="shared" si="123"/>
        <v>0</v>
      </c>
      <c r="AK52" s="34">
        <f t="shared" si="123"/>
        <v>0</v>
      </c>
      <c r="AL52" s="34">
        <f t="shared" si="123"/>
        <v>0</v>
      </c>
      <c r="AM52" s="34">
        <f t="shared" si="123"/>
        <v>0</v>
      </c>
      <c r="AN52" s="34">
        <f t="shared" si="123"/>
        <v>0</v>
      </c>
      <c r="AO52" s="34">
        <f t="shared" si="123"/>
        <v>495</v>
      </c>
      <c r="AP52" s="34">
        <f t="shared" si="123"/>
        <v>0</v>
      </c>
      <c r="AQ52" s="34">
        <f t="shared" si="123"/>
        <v>0</v>
      </c>
      <c r="AR52" s="34">
        <f t="shared" si="123"/>
        <v>0</v>
      </c>
      <c r="AS52" s="34">
        <f t="shared" si="123"/>
        <v>0</v>
      </c>
      <c r="AT52" s="34">
        <f t="shared" si="123"/>
        <v>122539.66</v>
      </c>
      <c r="AU52" s="34">
        <f t="shared" si="123"/>
        <v>0</v>
      </c>
      <c r="AV52" s="34">
        <f t="shared" si="123"/>
        <v>0</v>
      </c>
      <c r="AW52" s="34">
        <f t="shared" si="123"/>
        <v>0</v>
      </c>
      <c r="AX52" s="34">
        <f t="shared" si="123"/>
        <v>0</v>
      </c>
      <c r="AY52" s="34">
        <f t="shared" si="123"/>
        <v>9399.49</v>
      </c>
      <c r="AZ52" s="34">
        <f t="shared" si="123"/>
        <v>0</v>
      </c>
      <c r="BA52" s="34">
        <f t="shared" si="123"/>
        <v>0</v>
      </c>
      <c r="BB52" s="34">
        <f t="shared" si="123"/>
        <v>0</v>
      </c>
      <c r="BC52" s="34">
        <f t="shared" si="123"/>
        <v>159055.57999999999</v>
      </c>
      <c r="BD52" s="34">
        <f t="shared" si="123"/>
        <v>0</v>
      </c>
      <c r="BE52" s="34">
        <f t="shared" si="123"/>
        <v>0</v>
      </c>
      <c r="BF52" s="34">
        <f t="shared" si="123"/>
        <v>0</v>
      </c>
      <c r="BG52" s="34">
        <f t="shared" si="123"/>
        <v>866869.03</v>
      </c>
      <c r="BH52" s="34">
        <f t="shared" si="123"/>
        <v>0</v>
      </c>
      <c r="BI52" s="34">
        <f t="shared" si="123"/>
        <v>0</v>
      </c>
      <c r="BJ52" s="34">
        <f t="shared" si="123"/>
        <v>159055.57999999999</v>
      </c>
      <c r="BK52" s="34">
        <f t="shared" si="123"/>
        <v>0</v>
      </c>
      <c r="BL52" s="34">
        <f t="shared" si="123"/>
        <v>0</v>
      </c>
      <c r="BM52" s="34">
        <f t="shared" si="123"/>
        <v>6075.87</v>
      </c>
      <c r="BN52" s="34">
        <f t="shared" si="123"/>
        <v>0</v>
      </c>
      <c r="BO52" s="34">
        <f t="shared" si="123"/>
        <v>0</v>
      </c>
      <c r="BP52" s="34">
        <f t="shared" si="123"/>
        <v>144494.84</v>
      </c>
      <c r="BQ52" s="34">
        <f t="shared" ref="BQ52:BX52" si="124">+BQ13</f>
        <v>0</v>
      </c>
      <c r="BR52" s="34">
        <f t="shared" si="124"/>
        <v>0</v>
      </c>
      <c r="BS52" s="34">
        <f t="shared" si="124"/>
        <v>7653</v>
      </c>
      <c r="BT52" s="34">
        <f t="shared" si="124"/>
        <v>0</v>
      </c>
      <c r="BU52" s="34">
        <f t="shared" si="124"/>
        <v>0</v>
      </c>
      <c r="BV52" s="34">
        <f t="shared" si="124"/>
        <v>0</v>
      </c>
      <c r="BW52" s="34">
        <f t="shared" si="124"/>
        <v>0</v>
      </c>
      <c r="BX52" s="34">
        <f t="shared" si="124"/>
        <v>0</v>
      </c>
      <c r="BY52" s="34"/>
      <c r="BZ52" s="34"/>
      <c r="CA52" s="34"/>
      <c r="CB52" s="34"/>
      <c r="CC52" s="34"/>
      <c r="CD52" s="34"/>
      <c r="CE52" s="34">
        <f t="shared" ref="CE52:CI52" si="125">+CE13</f>
        <v>270265</v>
      </c>
      <c r="CF52" s="34">
        <f t="shared" si="125"/>
        <v>0</v>
      </c>
      <c r="CG52" s="34">
        <f t="shared" si="125"/>
        <v>0</v>
      </c>
      <c r="CH52" s="34">
        <f t="shared" si="125"/>
        <v>0</v>
      </c>
      <c r="CI52" s="34">
        <f t="shared" si="125"/>
        <v>0</v>
      </c>
    </row>
    <row r="53" spans="1:87" x14ac:dyDescent="0.25">
      <c r="A53" s="397">
        <f t="shared" si="0"/>
        <v>47</v>
      </c>
      <c r="B53" s="59" t="s">
        <v>268</v>
      </c>
      <c r="C53" s="34">
        <f t="shared" si="122"/>
        <v>1221027.08</v>
      </c>
      <c r="D53" s="34">
        <f t="shared" ref="D53:BO53" si="126">+D14</f>
        <v>11487</v>
      </c>
      <c r="E53" s="34">
        <f t="shared" si="126"/>
        <v>0</v>
      </c>
      <c r="F53" s="34">
        <f t="shared" si="126"/>
        <v>0</v>
      </c>
      <c r="G53" s="34">
        <f t="shared" si="126"/>
        <v>0</v>
      </c>
      <c r="H53" s="34">
        <f t="shared" si="126"/>
        <v>22218</v>
      </c>
      <c r="I53" s="34">
        <f t="shared" si="126"/>
        <v>0</v>
      </c>
      <c r="J53" s="34">
        <f t="shared" si="126"/>
        <v>0</v>
      </c>
      <c r="K53" s="34">
        <f t="shared" si="126"/>
        <v>0</v>
      </c>
      <c r="L53" s="34">
        <f t="shared" si="126"/>
        <v>0</v>
      </c>
      <c r="M53" s="34">
        <f t="shared" si="126"/>
        <v>21385</v>
      </c>
      <c r="N53" s="34">
        <f t="shared" si="126"/>
        <v>0</v>
      </c>
      <c r="O53" s="34">
        <f t="shared" si="126"/>
        <v>0</v>
      </c>
      <c r="P53" s="34">
        <f t="shared" si="126"/>
        <v>0</v>
      </c>
      <c r="Q53" s="34">
        <f t="shared" si="126"/>
        <v>0</v>
      </c>
      <c r="R53" s="34">
        <f t="shared" si="126"/>
        <v>0</v>
      </c>
      <c r="S53" s="34">
        <f t="shared" si="126"/>
        <v>10576</v>
      </c>
      <c r="T53" s="34">
        <f t="shared" si="126"/>
        <v>0</v>
      </c>
      <c r="U53" s="34">
        <f t="shared" si="126"/>
        <v>0</v>
      </c>
      <c r="V53" s="34">
        <f t="shared" si="126"/>
        <v>413494.05999999994</v>
      </c>
      <c r="W53" s="34">
        <f t="shared" si="126"/>
        <v>0</v>
      </c>
      <c r="X53" s="34">
        <f t="shared" si="126"/>
        <v>0</v>
      </c>
      <c r="Y53" s="34">
        <f t="shared" si="126"/>
        <v>11487</v>
      </c>
      <c r="Z53" s="34">
        <f t="shared" si="126"/>
        <v>0</v>
      </c>
      <c r="AA53" s="34">
        <f t="shared" si="126"/>
        <v>0</v>
      </c>
      <c r="AB53" s="34">
        <f t="shared" si="126"/>
        <v>0</v>
      </c>
      <c r="AC53" s="34">
        <f t="shared" si="126"/>
        <v>10576</v>
      </c>
      <c r="AD53" s="34">
        <f t="shared" si="126"/>
        <v>0</v>
      </c>
      <c r="AE53" s="34">
        <f t="shared" si="126"/>
        <v>0</v>
      </c>
      <c r="AF53" s="34">
        <f t="shared" si="126"/>
        <v>413494.05999999994</v>
      </c>
      <c r="AG53" s="34">
        <f t="shared" si="126"/>
        <v>0</v>
      </c>
      <c r="AH53" s="34">
        <f t="shared" si="126"/>
        <v>0</v>
      </c>
      <c r="AI53" s="34">
        <f t="shared" si="126"/>
        <v>21385</v>
      </c>
      <c r="AJ53" s="34">
        <f t="shared" si="126"/>
        <v>0</v>
      </c>
      <c r="AK53" s="34">
        <f t="shared" si="126"/>
        <v>0</v>
      </c>
      <c r="AL53" s="34">
        <f t="shared" si="126"/>
        <v>0</v>
      </c>
      <c r="AM53" s="34">
        <f t="shared" si="126"/>
        <v>0</v>
      </c>
      <c r="AN53" s="34">
        <f t="shared" si="126"/>
        <v>0</v>
      </c>
      <c r="AO53" s="34">
        <f t="shared" si="126"/>
        <v>0</v>
      </c>
      <c r="AP53" s="34">
        <f t="shared" si="126"/>
        <v>0</v>
      </c>
      <c r="AQ53" s="34">
        <f t="shared" si="126"/>
        <v>0</v>
      </c>
      <c r="AR53" s="34">
        <f t="shared" si="126"/>
        <v>0</v>
      </c>
      <c r="AS53" s="34">
        <f t="shared" si="126"/>
        <v>0</v>
      </c>
      <c r="AT53" s="34">
        <f t="shared" si="126"/>
        <v>35438.47</v>
      </c>
      <c r="AU53" s="34">
        <f t="shared" si="126"/>
        <v>0</v>
      </c>
      <c r="AV53" s="34">
        <f t="shared" si="126"/>
        <v>0</v>
      </c>
      <c r="AW53" s="34">
        <f t="shared" si="126"/>
        <v>0</v>
      </c>
      <c r="AX53" s="34">
        <f t="shared" si="126"/>
        <v>0</v>
      </c>
      <c r="AY53" s="34">
        <f t="shared" si="126"/>
        <v>4084.96</v>
      </c>
      <c r="AZ53" s="34">
        <f t="shared" si="126"/>
        <v>0</v>
      </c>
      <c r="BA53" s="34">
        <f t="shared" si="126"/>
        <v>0</v>
      </c>
      <c r="BB53" s="34">
        <f t="shared" si="126"/>
        <v>0</v>
      </c>
      <c r="BC53" s="34">
        <f t="shared" si="126"/>
        <v>65943.27</v>
      </c>
      <c r="BD53" s="34">
        <f t="shared" si="126"/>
        <v>0</v>
      </c>
      <c r="BE53" s="34">
        <f t="shared" si="126"/>
        <v>0</v>
      </c>
      <c r="BF53" s="34">
        <f t="shared" si="126"/>
        <v>0</v>
      </c>
      <c r="BG53" s="34">
        <f t="shared" si="126"/>
        <v>68611.37</v>
      </c>
      <c r="BH53" s="34">
        <f t="shared" si="126"/>
        <v>0</v>
      </c>
      <c r="BI53" s="34">
        <f t="shared" si="126"/>
        <v>0</v>
      </c>
      <c r="BJ53" s="34">
        <f t="shared" si="126"/>
        <v>52191.049999999996</v>
      </c>
      <c r="BK53" s="34">
        <f t="shared" si="126"/>
        <v>0</v>
      </c>
      <c r="BL53" s="34">
        <f t="shared" si="126"/>
        <v>0</v>
      </c>
      <c r="BM53" s="34">
        <f t="shared" si="126"/>
        <v>14774.08</v>
      </c>
      <c r="BN53" s="34">
        <f t="shared" si="126"/>
        <v>0</v>
      </c>
      <c r="BO53" s="34">
        <f t="shared" si="126"/>
        <v>0</v>
      </c>
      <c r="BP53" s="34">
        <f t="shared" ref="BP53:BX53" si="127">+BP14</f>
        <v>14467.76</v>
      </c>
      <c r="BQ53" s="34">
        <f t="shared" si="127"/>
        <v>0</v>
      </c>
      <c r="BR53" s="34">
        <f t="shared" si="127"/>
        <v>0</v>
      </c>
      <c r="BS53" s="34">
        <f t="shared" si="127"/>
        <v>0</v>
      </c>
      <c r="BT53" s="34">
        <f t="shared" si="127"/>
        <v>0</v>
      </c>
      <c r="BU53" s="34">
        <f t="shared" si="127"/>
        <v>0</v>
      </c>
      <c r="BV53" s="34">
        <f t="shared" si="127"/>
        <v>0</v>
      </c>
      <c r="BW53" s="34">
        <f t="shared" si="127"/>
        <v>0</v>
      </c>
      <c r="BX53" s="34">
        <f t="shared" si="127"/>
        <v>0</v>
      </c>
      <c r="BY53" s="34"/>
      <c r="BZ53" s="34"/>
      <c r="CA53" s="34"/>
      <c r="CB53" s="34"/>
      <c r="CC53" s="34"/>
      <c r="CD53" s="34"/>
      <c r="CE53" s="34">
        <f t="shared" ref="CE53:CI53" si="128">+CE14</f>
        <v>29414</v>
      </c>
      <c r="CF53" s="34">
        <f t="shared" si="128"/>
        <v>0</v>
      </c>
      <c r="CG53" s="34">
        <f t="shared" si="128"/>
        <v>0</v>
      </c>
      <c r="CH53" s="34">
        <f t="shared" si="128"/>
        <v>0</v>
      </c>
      <c r="CI53" s="34">
        <f t="shared" si="128"/>
        <v>0</v>
      </c>
    </row>
    <row r="54" spans="1:87" x14ac:dyDescent="0.25">
      <c r="A54" s="397">
        <f t="shared" si="0"/>
        <v>48</v>
      </c>
      <c r="B54" s="59" t="s">
        <v>269</v>
      </c>
      <c r="C54" s="34">
        <f t="shared" si="122"/>
        <v>44376467.170000002</v>
      </c>
      <c r="D54" s="34">
        <f t="shared" ref="D54:BO54" si="129">+D15</f>
        <v>1403836</v>
      </c>
      <c r="E54" s="34">
        <f t="shared" si="129"/>
        <v>-465410.10999999987</v>
      </c>
      <c r="F54" s="34">
        <f t="shared" si="129"/>
        <v>6869.39</v>
      </c>
      <c r="G54" s="34">
        <f t="shared" si="129"/>
        <v>363289.33999999997</v>
      </c>
      <c r="H54" s="34">
        <f t="shared" si="129"/>
        <v>301777</v>
      </c>
      <c r="I54" s="34">
        <f t="shared" si="129"/>
        <v>794405.2799999998</v>
      </c>
      <c r="J54" s="34">
        <f t="shared" si="129"/>
        <v>63080.1</v>
      </c>
      <c r="K54" s="34">
        <f t="shared" si="129"/>
        <v>133496.34000000003</v>
      </c>
      <c r="L54" s="34">
        <f t="shared" si="129"/>
        <v>77245.759999999995</v>
      </c>
      <c r="M54" s="34">
        <f t="shared" si="129"/>
        <v>584437</v>
      </c>
      <c r="N54" s="34">
        <f t="shared" si="129"/>
        <v>-411985.39000000013</v>
      </c>
      <c r="O54" s="34">
        <f t="shared" si="129"/>
        <v>10462.09</v>
      </c>
      <c r="P54" s="34">
        <f t="shared" si="129"/>
        <v>742364.67</v>
      </c>
      <c r="Q54" s="34">
        <f t="shared" si="129"/>
        <v>113758</v>
      </c>
      <c r="R54" s="34">
        <f t="shared" si="129"/>
        <v>25135.8</v>
      </c>
      <c r="S54" s="34">
        <f t="shared" si="129"/>
        <v>2982377</v>
      </c>
      <c r="T54" s="34">
        <f t="shared" si="129"/>
        <v>612819.93999999994</v>
      </c>
      <c r="U54" s="34">
        <f t="shared" si="129"/>
        <v>64238.19</v>
      </c>
      <c r="V54" s="34">
        <f t="shared" si="129"/>
        <v>9292580.8399999999</v>
      </c>
      <c r="W54" s="34">
        <f t="shared" si="129"/>
        <v>0</v>
      </c>
      <c r="X54" s="34">
        <f t="shared" si="129"/>
        <v>0</v>
      </c>
      <c r="Y54" s="34">
        <f t="shared" si="129"/>
        <v>1403836</v>
      </c>
      <c r="Z54" s="34">
        <f t="shared" si="129"/>
        <v>-465410.10999999987</v>
      </c>
      <c r="AA54" s="34">
        <f t="shared" si="129"/>
        <v>6869.39</v>
      </c>
      <c r="AB54" s="34">
        <f t="shared" si="129"/>
        <v>363289.33999999997</v>
      </c>
      <c r="AC54" s="34">
        <f t="shared" si="129"/>
        <v>2982377</v>
      </c>
      <c r="AD54" s="34">
        <f t="shared" si="129"/>
        <v>612819.93999999994</v>
      </c>
      <c r="AE54" s="34">
        <f t="shared" si="129"/>
        <v>64238.19</v>
      </c>
      <c r="AF54" s="34">
        <f t="shared" si="129"/>
        <v>9292580.8399999999</v>
      </c>
      <c r="AG54" s="34">
        <f t="shared" si="129"/>
        <v>0</v>
      </c>
      <c r="AH54" s="34">
        <f t="shared" si="129"/>
        <v>0</v>
      </c>
      <c r="AI54" s="34">
        <f t="shared" si="129"/>
        <v>584437</v>
      </c>
      <c r="AJ54" s="34">
        <f t="shared" si="129"/>
        <v>-411985.39000000013</v>
      </c>
      <c r="AK54" s="34">
        <f t="shared" si="129"/>
        <v>10462.09</v>
      </c>
      <c r="AL54" s="34">
        <f t="shared" si="129"/>
        <v>742364.67</v>
      </c>
      <c r="AM54" s="34">
        <f t="shared" si="129"/>
        <v>113758</v>
      </c>
      <c r="AN54" s="34">
        <f t="shared" si="129"/>
        <v>25135.8</v>
      </c>
      <c r="AO54" s="34">
        <f t="shared" si="129"/>
        <v>454726</v>
      </c>
      <c r="AP54" s="34">
        <f t="shared" si="129"/>
        <v>-442435.75000000023</v>
      </c>
      <c r="AQ54" s="34">
        <f t="shared" si="129"/>
        <v>30229.73</v>
      </c>
      <c r="AR54" s="34">
        <f t="shared" si="129"/>
        <v>393606.84</v>
      </c>
      <c r="AS54" s="34">
        <f t="shared" si="129"/>
        <v>235121.3</v>
      </c>
      <c r="AT54" s="34">
        <f t="shared" si="129"/>
        <v>586039.74</v>
      </c>
      <c r="AU54" s="34">
        <f t="shared" si="129"/>
        <v>-551929.5199999999</v>
      </c>
      <c r="AV54" s="34">
        <f t="shared" si="129"/>
        <v>92574.71</v>
      </c>
      <c r="AW54" s="34">
        <f t="shared" si="129"/>
        <v>479614.37</v>
      </c>
      <c r="AX54" s="34">
        <f t="shared" si="129"/>
        <v>10526</v>
      </c>
      <c r="AY54" s="34">
        <f t="shared" si="129"/>
        <v>173247.09</v>
      </c>
      <c r="AZ54" s="34">
        <f t="shared" si="129"/>
        <v>12418.340000000084</v>
      </c>
      <c r="BA54" s="34">
        <f t="shared" si="129"/>
        <v>6263.7699999998731</v>
      </c>
      <c r="BB54" s="34">
        <f t="shared" si="129"/>
        <v>14122.66</v>
      </c>
      <c r="BC54" s="34">
        <f t="shared" si="129"/>
        <v>1896922.69</v>
      </c>
      <c r="BD54" s="34">
        <f t="shared" si="129"/>
        <v>-1154092.1600000006</v>
      </c>
      <c r="BE54" s="34">
        <f t="shared" si="129"/>
        <v>1019332.6100000003</v>
      </c>
      <c r="BF54" s="34">
        <f t="shared" si="129"/>
        <v>466204.64999999997</v>
      </c>
      <c r="BG54" s="34">
        <f t="shared" si="129"/>
        <v>4621091.5300000012</v>
      </c>
      <c r="BH54" s="34">
        <f t="shared" si="129"/>
        <v>-655286.34000000171</v>
      </c>
      <c r="BI54" s="34">
        <f t="shared" si="129"/>
        <v>100642.87</v>
      </c>
      <c r="BJ54" s="34">
        <f t="shared" si="129"/>
        <v>2242120.0099999998</v>
      </c>
      <c r="BK54" s="34">
        <f t="shared" si="129"/>
        <v>0</v>
      </c>
      <c r="BL54" s="34">
        <f t="shared" si="129"/>
        <v>0</v>
      </c>
      <c r="BM54" s="34">
        <f t="shared" si="129"/>
        <v>123960.59999999998</v>
      </c>
      <c r="BN54" s="34">
        <f t="shared" si="129"/>
        <v>-832883.33</v>
      </c>
      <c r="BO54" s="34">
        <f t="shared" si="129"/>
        <v>1253632.1599999999</v>
      </c>
      <c r="BP54" s="34">
        <f t="shared" ref="BP54:BX54" si="130">+BP15</f>
        <v>735249.49</v>
      </c>
      <c r="BQ54" s="34">
        <f t="shared" si="130"/>
        <v>-85077.739999999991</v>
      </c>
      <c r="BR54" s="34">
        <f t="shared" si="130"/>
        <v>15500.310000000001</v>
      </c>
      <c r="BS54" s="34">
        <f t="shared" si="130"/>
        <v>304965</v>
      </c>
      <c r="BT54" s="34">
        <f t="shared" si="130"/>
        <v>-112532.85999999999</v>
      </c>
      <c r="BU54" s="34">
        <f t="shared" si="130"/>
        <v>59021</v>
      </c>
      <c r="BV54" s="34">
        <f t="shared" si="130"/>
        <v>84990</v>
      </c>
      <c r="BW54" s="34">
        <f t="shared" si="130"/>
        <v>709</v>
      </c>
      <c r="BX54" s="34">
        <f t="shared" si="130"/>
        <v>24207.739999999998</v>
      </c>
      <c r="BY54" s="34"/>
      <c r="BZ54" s="34"/>
      <c r="CA54" s="34"/>
      <c r="CB54" s="34"/>
      <c r="CC54" s="34"/>
      <c r="CD54" s="34"/>
      <c r="CE54" s="34">
        <f t="shared" ref="CE54:CI54" si="131">+CE15</f>
        <v>995224</v>
      </c>
      <c r="CF54" s="34">
        <f t="shared" si="131"/>
        <v>-241130</v>
      </c>
      <c r="CG54" s="34">
        <f t="shared" si="131"/>
        <v>16908</v>
      </c>
      <c r="CH54" s="34">
        <f t="shared" si="131"/>
        <v>191164</v>
      </c>
      <c r="CI54" s="34">
        <f t="shared" si="131"/>
        <v>-208051.33999999985</v>
      </c>
    </row>
    <row r="55" spans="1:87" x14ac:dyDescent="0.25">
      <c r="A55" s="397">
        <f t="shared" si="0"/>
        <v>49</v>
      </c>
      <c r="B55" s="68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</row>
    <row r="56" spans="1:87" ht="13.8" thickBot="1" x14ac:dyDescent="0.3">
      <c r="A56" s="397">
        <f t="shared" si="0"/>
        <v>50</v>
      </c>
      <c r="B56" s="53" t="s">
        <v>270</v>
      </c>
      <c r="C56" s="66">
        <f>SUM(D56:CI56)</f>
        <v>15156589</v>
      </c>
      <c r="D56" s="66">
        <f>SUM(D57:D59)</f>
        <v>830184</v>
      </c>
      <c r="E56" s="66">
        <f t="shared" ref="E56:BP56" si="132">SUM(E57:E59)</f>
        <v>-261791</v>
      </c>
      <c r="F56" s="66">
        <f t="shared" si="132"/>
        <v>3864</v>
      </c>
      <c r="G56" s="66">
        <f t="shared" si="132"/>
        <v>204349</v>
      </c>
      <c r="H56" s="66">
        <f t="shared" si="132"/>
        <v>170950</v>
      </c>
      <c r="I56" s="66">
        <f t="shared" si="132"/>
        <v>396925</v>
      </c>
      <c r="J56" s="66">
        <f t="shared" si="132"/>
        <v>31518</v>
      </c>
      <c r="K56" s="66">
        <f t="shared" si="132"/>
        <v>66702</v>
      </c>
      <c r="L56" s="66">
        <f t="shared" si="132"/>
        <v>38596</v>
      </c>
      <c r="M56" s="66">
        <f t="shared" si="132"/>
        <v>163278</v>
      </c>
      <c r="N56" s="66">
        <f t="shared" si="132"/>
        <v>-105834</v>
      </c>
      <c r="O56" s="66">
        <f t="shared" si="132"/>
        <v>2688</v>
      </c>
      <c r="P56" s="66">
        <f t="shared" si="132"/>
        <v>190705</v>
      </c>
      <c r="Q56" s="66">
        <f t="shared" si="132"/>
        <v>29223</v>
      </c>
      <c r="R56" s="66">
        <f t="shared" si="132"/>
        <v>6457</v>
      </c>
      <c r="S56" s="66">
        <f t="shared" si="132"/>
        <v>0</v>
      </c>
      <c r="T56" s="66">
        <f t="shared" si="132"/>
        <v>0</v>
      </c>
      <c r="U56" s="66">
        <f t="shared" si="132"/>
        <v>0</v>
      </c>
      <c r="V56" s="66">
        <f t="shared" si="132"/>
        <v>5578547</v>
      </c>
      <c r="W56" s="66">
        <f t="shared" si="132"/>
        <v>0</v>
      </c>
      <c r="X56" s="66">
        <f t="shared" si="132"/>
        <v>0</v>
      </c>
      <c r="Y56" s="66">
        <f t="shared" si="132"/>
        <v>279439</v>
      </c>
      <c r="Z56" s="66">
        <f t="shared" si="132"/>
        <v>-88119</v>
      </c>
      <c r="AA56" s="66">
        <f t="shared" si="132"/>
        <v>1301</v>
      </c>
      <c r="AB56" s="66">
        <f t="shared" si="132"/>
        <v>68784</v>
      </c>
      <c r="AC56" s="66">
        <f t="shared" si="132"/>
        <v>1840704</v>
      </c>
      <c r="AD56" s="66">
        <f t="shared" si="132"/>
        <v>290308</v>
      </c>
      <c r="AE56" s="66">
        <f t="shared" si="132"/>
        <v>30431</v>
      </c>
      <c r="AF56" s="66">
        <f t="shared" si="132"/>
        <v>3097285</v>
      </c>
      <c r="AG56" s="66">
        <f t="shared" si="132"/>
        <v>0</v>
      </c>
      <c r="AH56" s="66">
        <f t="shared" si="132"/>
        <v>0</v>
      </c>
      <c r="AI56" s="66">
        <f t="shared" si="132"/>
        <v>150682</v>
      </c>
      <c r="AJ56" s="66">
        <f t="shared" si="132"/>
        <v>-97670</v>
      </c>
      <c r="AK56" s="66">
        <f t="shared" si="132"/>
        <v>2480</v>
      </c>
      <c r="AL56" s="66">
        <f t="shared" si="132"/>
        <v>175993</v>
      </c>
      <c r="AM56" s="66">
        <f t="shared" si="132"/>
        <v>26969</v>
      </c>
      <c r="AN56" s="66">
        <f t="shared" si="132"/>
        <v>5959</v>
      </c>
      <c r="AO56" s="66">
        <f t="shared" si="132"/>
        <v>52165</v>
      </c>
      <c r="AP56" s="66">
        <f t="shared" si="132"/>
        <v>-50700</v>
      </c>
      <c r="AQ56" s="66">
        <f t="shared" si="132"/>
        <v>3464</v>
      </c>
      <c r="AR56" s="66">
        <f t="shared" si="132"/>
        <v>45104</v>
      </c>
      <c r="AS56" s="66">
        <f t="shared" si="132"/>
        <v>26943</v>
      </c>
      <c r="AT56" s="66">
        <f t="shared" si="132"/>
        <v>201094</v>
      </c>
      <c r="AU56" s="66">
        <f t="shared" si="132"/>
        <v>-149177</v>
      </c>
      <c r="AV56" s="66">
        <f t="shared" si="132"/>
        <v>25021</v>
      </c>
      <c r="AW56" s="66">
        <f t="shared" si="132"/>
        <v>129631</v>
      </c>
      <c r="AX56" s="66">
        <f t="shared" si="132"/>
        <v>2845</v>
      </c>
      <c r="AY56" s="66">
        <f t="shared" si="132"/>
        <v>60043</v>
      </c>
      <c r="AZ56" s="66">
        <f t="shared" si="132"/>
        <v>3993</v>
      </c>
      <c r="BA56" s="66">
        <f t="shared" si="132"/>
        <v>2014</v>
      </c>
      <c r="BB56" s="66">
        <f t="shared" si="132"/>
        <v>4541</v>
      </c>
      <c r="BC56" s="66">
        <f t="shared" si="132"/>
        <v>271905</v>
      </c>
      <c r="BD56" s="66">
        <f t="shared" si="132"/>
        <v>-147886</v>
      </c>
      <c r="BE56" s="66">
        <f t="shared" si="132"/>
        <v>130618</v>
      </c>
      <c r="BF56" s="66">
        <f t="shared" si="132"/>
        <v>59740</v>
      </c>
      <c r="BG56" s="66">
        <f t="shared" si="132"/>
        <v>848914</v>
      </c>
      <c r="BH56" s="66">
        <f t="shared" si="132"/>
        <v>-100112</v>
      </c>
      <c r="BI56" s="66">
        <f t="shared" si="132"/>
        <v>15376</v>
      </c>
      <c r="BJ56" s="66">
        <f t="shared" si="132"/>
        <v>115377</v>
      </c>
      <c r="BK56" s="66">
        <f t="shared" si="132"/>
        <v>0</v>
      </c>
      <c r="BL56" s="66">
        <f t="shared" si="132"/>
        <v>0</v>
      </c>
      <c r="BM56" s="66">
        <f t="shared" si="132"/>
        <v>33535</v>
      </c>
      <c r="BN56" s="66">
        <f t="shared" si="132"/>
        <v>-192878</v>
      </c>
      <c r="BO56" s="66">
        <f t="shared" si="132"/>
        <v>290315</v>
      </c>
      <c r="BP56" s="66">
        <f t="shared" si="132"/>
        <v>232830</v>
      </c>
      <c r="BQ56" s="66">
        <f t="shared" ref="BQ56:BX56" si="133">SUM(BQ57:BQ59)</f>
        <v>-22152</v>
      </c>
      <c r="BR56" s="66">
        <f t="shared" si="133"/>
        <v>4036</v>
      </c>
      <c r="BS56" s="66">
        <f t="shared" si="133"/>
        <v>36980</v>
      </c>
      <c r="BT56" s="66">
        <f t="shared" si="133"/>
        <v>-13312</v>
      </c>
      <c r="BU56" s="66">
        <f t="shared" si="133"/>
        <v>6982</v>
      </c>
      <c r="BV56" s="66">
        <f t="shared" si="133"/>
        <v>10054</v>
      </c>
      <c r="BW56" s="66">
        <f t="shared" si="133"/>
        <v>84</v>
      </c>
      <c r="BX56" s="66">
        <f t="shared" si="133"/>
        <v>2864</v>
      </c>
      <c r="BY56" s="66"/>
      <c r="BZ56" s="66"/>
      <c r="CA56" s="66"/>
      <c r="CB56" s="66"/>
      <c r="CC56" s="66"/>
      <c r="CD56" s="66"/>
      <c r="CE56" s="66">
        <f t="shared" ref="CE56:CI56" si="134">SUM(CE57:CE59)</f>
        <v>104977</v>
      </c>
      <c r="CF56" s="66">
        <f t="shared" si="134"/>
        <v>-19548</v>
      </c>
      <c r="CG56" s="66">
        <f t="shared" si="134"/>
        <v>1371</v>
      </c>
      <c r="CH56" s="66">
        <f t="shared" si="134"/>
        <v>15498</v>
      </c>
      <c r="CI56" s="66">
        <f t="shared" si="134"/>
        <v>-16867</v>
      </c>
    </row>
    <row r="57" spans="1:87" ht="13.8" thickTop="1" x14ac:dyDescent="0.25">
      <c r="A57" s="397">
        <f t="shared" si="0"/>
        <v>51</v>
      </c>
      <c r="B57" s="59" t="s">
        <v>267</v>
      </c>
      <c r="C57" s="34">
        <f t="shared" ref="C57:C59" si="135">SUM(D57:CI57)</f>
        <v>4568552</v>
      </c>
      <c r="D57" s="34">
        <f>ROUND(+D52*D$10*D$9,0)</f>
        <v>34071</v>
      </c>
      <c r="E57" s="34">
        <f t="shared" ref="E57:BP57" si="136">ROUND(+E52*E$10*E$9,0)</f>
        <v>0</v>
      </c>
      <c r="F57" s="34">
        <f t="shared" si="136"/>
        <v>0</v>
      </c>
      <c r="G57" s="34">
        <f t="shared" si="136"/>
        <v>0</v>
      </c>
      <c r="H57" s="34">
        <f t="shared" si="136"/>
        <v>9066</v>
      </c>
      <c r="I57" s="34">
        <f t="shared" si="136"/>
        <v>0</v>
      </c>
      <c r="J57" s="34">
        <f t="shared" si="136"/>
        <v>0</v>
      </c>
      <c r="K57" s="34">
        <f t="shared" si="136"/>
        <v>0</v>
      </c>
      <c r="L57" s="34">
        <f t="shared" si="136"/>
        <v>0</v>
      </c>
      <c r="M57" s="34">
        <f t="shared" si="136"/>
        <v>7649</v>
      </c>
      <c r="N57" s="34">
        <f t="shared" si="136"/>
        <v>0</v>
      </c>
      <c r="O57" s="34">
        <f t="shared" si="136"/>
        <v>0</v>
      </c>
      <c r="P57" s="34">
        <f t="shared" si="136"/>
        <v>0</v>
      </c>
      <c r="Q57" s="34">
        <f t="shared" si="136"/>
        <v>0</v>
      </c>
      <c r="R57" s="34">
        <f t="shared" si="136"/>
        <v>0</v>
      </c>
      <c r="S57" s="34">
        <f t="shared" si="136"/>
        <v>0</v>
      </c>
      <c r="T57" s="34">
        <f t="shared" si="136"/>
        <v>0</v>
      </c>
      <c r="U57" s="34">
        <f t="shared" si="136"/>
        <v>0</v>
      </c>
      <c r="V57" s="34">
        <f t="shared" si="136"/>
        <v>2454985</v>
      </c>
      <c r="W57" s="34">
        <f t="shared" si="136"/>
        <v>0</v>
      </c>
      <c r="X57" s="34">
        <f t="shared" si="136"/>
        <v>0</v>
      </c>
      <c r="Y57" s="34">
        <f t="shared" si="136"/>
        <v>11468</v>
      </c>
      <c r="Z57" s="34">
        <f t="shared" si="136"/>
        <v>0</v>
      </c>
      <c r="AA57" s="34">
        <f t="shared" si="136"/>
        <v>0</v>
      </c>
      <c r="AB57" s="34">
        <f t="shared" si="136"/>
        <v>0</v>
      </c>
      <c r="AC57" s="34">
        <f t="shared" si="136"/>
        <v>422870</v>
      </c>
      <c r="AD57" s="34">
        <f t="shared" si="136"/>
        <v>0</v>
      </c>
      <c r="AE57" s="34">
        <f t="shared" si="136"/>
        <v>0</v>
      </c>
      <c r="AF57" s="34">
        <f t="shared" si="136"/>
        <v>1363041</v>
      </c>
      <c r="AG57" s="34">
        <f t="shared" si="136"/>
        <v>0</v>
      </c>
      <c r="AH57" s="34">
        <f t="shared" si="136"/>
        <v>0</v>
      </c>
      <c r="AI57" s="34">
        <f t="shared" si="136"/>
        <v>7059</v>
      </c>
      <c r="AJ57" s="34">
        <f t="shared" si="136"/>
        <v>0</v>
      </c>
      <c r="AK57" s="34">
        <f t="shared" si="136"/>
        <v>0</v>
      </c>
      <c r="AL57" s="34">
        <f t="shared" si="136"/>
        <v>0</v>
      </c>
      <c r="AM57" s="34">
        <f t="shared" si="136"/>
        <v>0</v>
      </c>
      <c r="AN57" s="34">
        <f t="shared" si="136"/>
        <v>0</v>
      </c>
      <c r="AO57" s="34">
        <f t="shared" si="136"/>
        <v>57</v>
      </c>
      <c r="AP57" s="34">
        <f t="shared" si="136"/>
        <v>0</v>
      </c>
      <c r="AQ57" s="34">
        <f t="shared" si="136"/>
        <v>0</v>
      </c>
      <c r="AR57" s="34">
        <f t="shared" si="136"/>
        <v>0</v>
      </c>
      <c r="AS57" s="34">
        <f t="shared" si="136"/>
        <v>0</v>
      </c>
      <c r="AT57" s="34">
        <f t="shared" si="136"/>
        <v>33120</v>
      </c>
      <c r="AU57" s="34">
        <f t="shared" si="136"/>
        <v>0</v>
      </c>
      <c r="AV57" s="34">
        <f t="shared" si="136"/>
        <v>0</v>
      </c>
      <c r="AW57" s="34">
        <f t="shared" si="136"/>
        <v>0</v>
      </c>
      <c r="AX57" s="34">
        <f t="shared" si="136"/>
        <v>0</v>
      </c>
      <c r="AY57" s="34">
        <f t="shared" si="136"/>
        <v>3022</v>
      </c>
      <c r="AZ57" s="34">
        <f t="shared" si="136"/>
        <v>0</v>
      </c>
      <c r="BA57" s="34">
        <f t="shared" si="136"/>
        <v>0</v>
      </c>
      <c r="BB57" s="34">
        <f t="shared" si="136"/>
        <v>0</v>
      </c>
      <c r="BC57" s="34">
        <f t="shared" si="136"/>
        <v>20382</v>
      </c>
      <c r="BD57" s="34">
        <f t="shared" si="136"/>
        <v>0</v>
      </c>
      <c r="BE57" s="34">
        <f t="shared" si="136"/>
        <v>0</v>
      </c>
      <c r="BF57" s="34">
        <f t="shared" si="136"/>
        <v>0</v>
      </c>
      <c r="BG57" s="34">
        <f t="shared" si="136"/>
        <v>132437</v>
      </c>
      <c r="BH57" s="34">
        <f t="shared" si="136"/>
        <v>0</v>
      </c>
      <c r="BI57" s="34">
        <f t="shared" si="136"/>
        <v>0</v>
      </c>
      <c r="BJ57" s="34">
        <f t="shared" si="136"/>
        <v>7480</v>
      </c>
      <c r="BK57" s="34">
        <f t="shared" si="136"/>
        <v>0</v>
      </c>
      <c r="BL57" s="34">
        <f t="shared" si="136"/>
        <v>0</v>
      </c>
      <c r="BM57" s="34">
        <f t="shared" si="136"/>
        <v>1407</v>
      </c>
      <c r="BN57" s="34">
        <f t="shared" si="136"/>
        <v>0</v>
      </c>
      <c r="BO57" s="34">
        <f t="shared" si="136"/>
        <v>0</v>
      </c>
      <c r="BP57" s="34">
        <f t="shared" si="136"/>
        <v>37623</v>
      </c>
      <c r="BQ57" s="34">
        <f t="shared" ref="BQ57:BX57" si="137">ROUND(+BQ52*BQ$10*BQ$9,0)</f>
        <v>0</v>
      </c>
      <c r="BR57" s="34">
        <f t="shared" si="137"/>
        <v>0</v>
      </c>
      <c r="BS57" s="34">
        <f t="shared" si="137"/>
        <v>905</v>
      </c>
      <c r="BT57" s="34">
        <f t="shared" si="137"/>
        <v>0</v>
      </c>
      <c r="BU57" s="34">
        <f t="shared" si="137"/>
        <v>0</v>
      </c>
      <c r="BV57" s="34">
        <f t="shared" si="137"/>
        <v>0</v>
      </c>
      <c r="BW57" s="34">
        <f t="shared" si="137"/>
        <v>0</v>
      </c>
      <c r="BX57" s="34">
        <f t="shared" si="137"/>
        <v>0</v>
      </c>
      <c r="BY57" s="34"/>
      <c r="BZ57" s="34"/>
      <c r="CA57" s="34"/>
      <c r="CB57" s="34"/>
      <c r="CC57" s="34"/>
      <c r="CD57" s="34"/>
      <c r="CE57" s="34">
        <f t="shared" ref="CE57:CI57" si="138">ROUND(+CE52*CE$10*CE$9,0)</f>
        <v>21910</v>
      </c>
      <c r="CF57" s="34">
        <f t="shared" si="138"/>
        <v>0</v>
      </c>
      <c r="CG57" s="34">
        <f t="shared" si="138"/>
        <v>0</v>
      </c>
      <c r="CH57" s="34">
        <f t="shared" si="138"/>
        <v>0</v>
      </c>
      <c r="CI57" s="34">
        <f t="shared" si="138"/>
        <v>0</v>
      </c>
    </row>
    <row r="58" spans="1:87" x14ac:dyDescent="0.25">
      <c r="A58" s="397">
        <f t="shared" si="0"/>
        <v>52</v>
      </c>
      <c r="B58" s="59" t="s">
        <v>268</v>
      </c>
      <c r="C58" s="34">
        <f t="shared" si="135"/>
        <v>284113</v>
      </c>
      <c r="D58" s="34">
        <f t="shared" ref="D58:BO58" si="139">ROUND(+D53*D$10*D$9,0)</f>
        <v>6461</v>
      </c>
      <c r="E58" s="34">
        <f t="shared" si="139"/>
        <v>0</v>
      </c>
      <c r="F58" s="34">
        <f t="shared" si="139"/>
        <v>0</v>
      </c>
      <c r="G58" s="34">
        <f t="shared" si="139"/>
        <v>0</v>
      </c>
      <c r="H58" s="34">
        <f t="shared" si="139"/>
        <v>11101</v>
      </c>
      <c r="I58" s="34">
        <f t="shared" si="139"/>
        <v>0</v>
      </c>
      <c r="J58" s="34">
        <f t="shared" si="139"/>
        <v>0</v>
      </c>
      <c r="K58" s="34">
        <f t="shared" si="139"/>
        <v>0</v>
      </c>
      <c r="L58" s="34">
        <f t="shared" si="139"/>
        <v>0</v>
      </c>
      <c r="M58" s="34">
        <f t="shared" si="139"/>
        <v>5494</v>
      </c>
      <c r="N58" s="34">
        <f t="shared" si="139"/>
        <v>0</v>
      </c>
      <c r="O58" s="34">
        <f t="shared" si="139"/>
        <v>0</v>
      </c>
      <c r="P58" s="34">
        <f t="shared" si="139"/>
        <v>0</v>
      </c>
      <c r="Q58" s="34">
        <f t="shared" si="139"/>
        <v>0</v>
      </c>
      <c r="R58" s="34">
        <f t="shared" si="139"/>
        <v>0</v>
      </c>
      <c r="S58" s="34">
        <f t="shared" si="139"/>
        <v>0</v>
      </c>
      <c r="T58" s="34">
        <f t="shared" si="139"/>
        <v>0</v>
      </c>
      <c r="U58" s="34">
        <f t="shared" si="139"/>
        <v>0</v>
      </c>
      <c r="V58" s="34">
        <f t="shared" si="139"/>
        <v>133069</v>
      </c>
      <c r="W58" s="34">
        <f t="shared" si="139"/>
        <v>0</v>
      </c>
      <c r="X58" s="34">
        <f t="shared" si="139"/>
        <v>0</v>
      </c>
      <c r="Y58" s="34">
        <f t="shared" si="139"/>
        <v>2175</v>
      </c>
      <c r="Z58" s="34">
        <f t="shared" si="139"/>
        <v>0</v>
      </c>
      <c r="AA58" s="34">
        <f t="shared" si="139"/>
        <v>0</v>
      </c>
      <c r="AB58" s="34">
        <f t="shared" si="139"/>
        <v>0</v>
      </c>
      <c r="AC58" s="34">
        <f t="shared" si="139"/>
        <v>5010</v>
      </c>
      <c r="AD58" s="34">
        <f t="shared" si="139"/>
        <v>0</v>
      </c>
      <c r="AE58" s="34">
        <f t="shared" si="139"/>
        <v>0</v>
      </c>
      <c r="AF58" s="34">
        <f t="shared" si="139"/>
        <v>73882</v>
      </c>
      <c r="AG58" s="34">
        <f t="shared" si="139"/>
        <v>0</v>
      </c>
      <c r="AH58" s="34">
        <f t="shared" si="139"/>
        <v>0</v>
      </c>
      <c r="AI58" s="34">
        <f t="shared" si="139"/>
        <v>5070</v>
      </c>
      <c r="AJ58" s="34">
        <f t="shared" si="139"/>
        <v>0</v>
      </c>
      <c r="AK58" s="34">
        <f t="shared" si="139"/>
        <v>0</v>
      </c>
      <c r="AL58" s="34">
        <f t="shared" si="139"/>
        <v>0</v>
      </c>
      <c r="AM58" s="34">
        <f t="shared" si="139"/>
        <v>0</v>
      </c>
      <c r="AN58" s="34">
        <f t="shared" si="139"/>
        <v>0</v>
      </c>
      <c r="AO58" s="34">
        <f t="shared" si="139"/>
        <v>0</v>
      </c>
      <c r="AP58" s="34">
        <f t="shared" si="139"/>
        <v>0</v>
      </c>
      <c r="AQ58" s="34">
        <f t="shared" si="139"/>
        <v>0</v>
      </c>
      <c r="AR58" s="34">
        <f t="shared" si="139"/>
        <v>0</v>
      </c>
      <c r="AS58" s="34">
        <f t="shared" si="139"/>
        <v>0</v>
      </c>
      <c r="AT58" s="34">
        <f t="shared" si="139"/>
        <v>9578</v>
      </c>
      <c r="AU58" s="34">
        <f t="shared" si="139"/>
        <v>0</v>
      </c>
      <c r="AV58" s="34">
        <f t="shared" si="139"/>
        <v>0</v>
      </c>
      <c r="AW58" s="34">
        <f t="shared" si="139"/>
        <v>0</v>
      </c>
      <c r="AX58" s="34">
        <f t="shared" si="139"/>
        <v>0</v>
      </c>
      <c r="AY58" s="34">
        <f t="shared" si="139"/>
        <v>1314</v>
      </c>
      <c r="AZ58" s="34">
        <f t="shared" si="139"/>
        <v>0</v>
      </c>
      <c r="BA58" s="34">
        <f t="shared" si="139"/>
        <v>0</v>
      </c>
      <c r="BB58" s="34">
        <f t="shared" si="139"/>
        <v>0</v>
      </c>
      <c r="BC58" s="34">
        <f t="shared" si="139"/>
        <v>8450</v>
      </c>
      <c r="BD58" s="34">
        <f t="shared" si="139"/>
        <v>0</v>
      </c>
      <c r="BE58" s="34">
        <f t="shared" si="139"/>
        <v>0</v>
      </c>
      <c r="BF58" s="34">
        <f t="shared" si="139"/>
        <v>0</v>
      </c>
      <c r="BG58" s="34">
        <f t="shared" si="139"/>
        <v>10482</v>
      </c>
      <c r="BH58" s="34">
        <f t="shared" si="139"/>
        <v>0</v>
      </c>
      <c r="BI58" s="34">
        <f t="shared" si="139"/>
        <v>0</v>
      </c>
      <c r="BJ58" s="34">
        <f t="shared" si="139"/>
        <v>2454</v>
      </c>
      <c r="BK58" s="34">
        <f t="shared" si="139"/>
        <v>0</v>
      </c>
      <c r="BL58" s="34">
        <f t="shared" si="139"/>
        <v>0</v>
      </c>
      <c r="BM58" s="34">
        <f t="shared" si="139"/>
        <v>3421</v>
      </c>
      <c r="BN58" s="34">
        <f t="shared" si="139"/>
        <v>0</v>
      </c>
      <c r="BO58" s="34">
        <f t="shared" si="139"/>
        <v>0</v>
      </c>
      <c r="BP58" s="34">
        <f t="shared" ref="BP58:BX58" si="140">ROUND(+BP53*BP$10*BP$9,0)</f>
        <v>3767</v>
      </c>
      <c r="BQ58" s="34">
        <f t="shared" si="140"/>
        <v>0</v>
      </c>
      <c r="BR58" s="34">
        <f t="shared" si="140"/>
        <v>0</v>
      </c>
      <c r="BS58" s="34">
        <f t="shared" si="140"/>
        <v>0</v>
      </c>
      <c r="BT58" s="34">
        <f t="shared" si="140"/>
        <v>0</v>
      </c>
      <c r="BU58" s="34">
        <f t="shared" si="140"/>
        <v>0</v>
      </c>
      <c r="BV58" s="34">
        <f t="shared" si="140"/>
        <v>0</v>
      </c>
      <c r="BW58" s="34">
        <f t="shared" si="140"/>
        <v>0</v>
      </c>
      <c r="BX58" s="34">
        <f t="shared" si="140"/>
        <v>0</v>
      </c>
      <c r="BY58" s="34"/>
      <c r="BZ58" s="34"/>
      <c r="CA58" s="34"/>
      <c r="CB58" s="34"/>
      <c r="CC58" s="34"/>
      <c r="CD58" s="34"/>
      <c r="CE58" s="34">
        <f t="shared" ref="CE58:CI58" si="141">ROUND(+CE53*CE$10*CE$9,0)</f>
        <v>2385</v>
      </c>
      <c r="CF58" s="34">
        <f t="shared" si="141"/>
        <v>0</v>
      </c>
      <c r="CG58" s="34">
        <f t="shared" si="141"/>
        <v>0</v>
      </c>
      <c r="CH58" s="34">
        <f t="shared" si="141"/>
        <v>0</v>
      </c>
      <c r="CI58" s="34">
        <f t="shared" si="141"/>
        <v>0</v>
      </c>
    </row>
    <row r="59" spans="1:87" x14ac:dyDescent="0.25">
      <c r="A59" s="397">
        <f t="shared" si="0"/>
        <v>53</v>
      </c>
      <c r="B59" s="59" t="s">
        <v>269</v>
      </c>
      <c r="C59" s="34">
        <f t="shared" si="135"/>
        <v>10303924</v>
      </c>
      <c r="D59" s="34">
        <f t="shared" ref="D59:BO59" si="142">ROUND(+D54*D$10*D$9,0)</f>
        <v>789652</v>
      </c>
      <c r="E59" s="34">
        <f t="shared" si="142"/>
        <v>-261791</v>
      </c>
      <c r="F59" s="34">
        <f t="shared" si="142"/>
        <v>3864</v>
      </c>
      <c r="G59" s="34">
        <f t="shared" si="142"/>
        <v>204349</v>
      </c>
      <c r="H59" s="34">
        <f t="shared" si="142"/>
        <v>150783</v>
      </c>
      <c r="I59" s="34">
        <f t="shared" si="142"/>
        <v>396925</v>
      </c>
      <c r="J59" s="34">
        <f t="shared" si="142"/>
        <v>31518</v>
      </c>
      <c r="K59" s="34">
        <f t="shared" si="142"/>
        <v>66702</v>
      </c>
      <c r="L59" s="34">
        <f t="shared" si="142"/>
        <v>38596</v>
      </c>
      <c r="M59" s="34">
        <f t="shared" si="142"/>
        <v>150135</v>
      </c>
      <c r="N59" s="34">
        <f t="shared" si="142"/>
        <v>-105834</v>
      </c>
      <c r="O59" s="34">
        <f t="shared" si="142"/>
        <v>2688</v>
      </c>
      <c r="P59" s="34">
        <f t="shared" si="142"/>
        <v>190705</v>
      </c>
      <c r="Q59" s="34">
        <f t="shared" si="142"/>
        <v>29223</v>
      </c>
      <c r="R59" s="34">
        <f t="shared" si="142"/>
        <v>6457</v>
      </c>
      <c r="S59" s="34">
        <f t="shared" si="142"/>
        <v>0</v>
      </c>
      <c r="T59" s="34">
        <f t="shared" si="142"/>
        <v>0</v>
      </c>
      <c r="U59" s="34">
        <f t="shared" si="142"/>
        <v>0</v>
      </c>
      <c r="V59" s="34">
        <f t="shared" si="142"/>
        <v>2990493</v>
      </c>
      <c r="W59" s="34">
        <f t="shared" si="142"/>
        <v>0</v>
      </c>
      <c r="X59" s="34">
        <f t="shared" si="142"/>
        <v>0</v>
      </c>
      <c r="Y59" s="34">
        <f t="shared" si="142"/>
        <v>265796</v>
      </c>
      <c r="Z59" s="34">
        <f t="shared" si="142"/>
        <v>-88119</v>
      </c>
      <c r="AA59" s="34">
        <f t="shared" si="142"/>
        <v>1301</v>
      </c>
      <c r="AB59" s="34">
        <f t="shared" si="142"/>
        <v>68784</v>
      </c>
      <c r="AC59" s="34">
        <f t="shared" si="142"/>
        <v>1412824</v>
      </c>
      <c r="AD59" s="34">
        <f t="shared" si="142"/>
        <v>290308</v>
      </c>
      <c r="AE59" s="34">
        <f t="shared" si="142"/>
        <v>30431</v>
      </c>
      <c r="AF59" s="34">
        <f t="shared" si="142"/>
        <v>1660362</v>
      </c>
      <c r="AG59" s="34">
        <f t="shared" si="142"/>
        <v>0</v>
      </c>
      <c r="AH59" s="34">
        <f t="shared" si="142"/>
        <v>0</v>
      </c>
      <c r="AI59" s="34">
        <f t="shared" si="142"/>
        <v>138553</v>
      </c>
      <c r="AJ59" s="34">
        <f t="shared" si="142"/>
        <v>-97670</v>
      </c>
      <c r="AK59" s="34">
        <f t="shared" si="142"/>
        <v>2480</v>
      </c>
      <c r="AL59" s="34">
        <f t="shared" si="142"/>
        <v>175993</v>
      </c>
      <c r="AM59" s="34">
        <f t="shared" si="142"/>
        <v>26969</v>
      </c>
      <c r="AN59" s="34">
        <f t="shared" si="142"/>
        <v>5959</v>
      </c>
      <c r="AO59" s="34">
        <f t="shared" si="142"/>
        <v>52108</v>
      </c>
      <c r="AP59" s="34">
        <f t="shared" si="142"/>
        <v>-50700</v>
      </c>
      <c r="AQ59" s="34">
        <f t="shared" si="142"/>
        <v>3464</v>
      </c>
      <c r="AR59" s="34">
        <f t="shared" si="142"/>
        <v>45104</v>
      </c>
      <c r="AS59" s="34">
        <f t="shared" si="142"/>
        <v>26943</v>
      </c>
      <c r="AT59" s="34">
        <f t="shared" si="142"/>
        <v>158396</v>
      </c>
      <c r="AU59" s="34">
        <f t="shared" si="142"/>
        <v>-149177</v>
      </c>
      <c r="AV59" s="34">
        <f t="shared" si="142"/>
        <v>25021</v>
      </c>
      <c r="AW59" s="34">
        <f t="shared" si="142"/>
        <v>129631</v>
      </c>
      <c r="AX59" s="34">
        <f t="shared" si="142"/>
        <v>2845</v>
      </c>
      <c r="AY59" s="34">
        <f t="shared" si="142"/>
        <v>55707</v>
      </c>
      <c r="AZ59" s="34">
        <f t="shared" si="142"/>
        <v>3993</v>
      </c>
      <c r="BA59" s="34">
        <f t="shared" si="142"/>
        <v>2014</v>
      </c>
      <c r="BB59" s="34">
        <f t="shared" si="142"/>
        <v>4541</v>
      </c>
      <c r="BC59" s="34">
        <f t="shared" si="142"/>
        <v>243073</v>
      </c>
      <c r="BD59" s="34">
        <f t="shared" si="142"/>
        <v>-147886</v>
      </c>
      <c r="BE59" s="34">
        <f t="shared" si="142"/>
        <v>130618</v>
      </c>
      <c r="BF59" s="34">
        <f t="shared" si="142"/>
        <v>59740</v>
      </c>
      <c r="BG59" s="34">
        <f t="shared" si="142"/>
        <v>705995</v>
      </c>
      <c r="BH59" s="34">
        <f t="shared" si="142"/>
        <v>-100112</v>
      </c>
      <c r="BI59" s="34">
        <f t="shared" si="142"/>
        <v>15376</v>
      </c>
      <c r="BJ59" s="34">
        <f t="shared" si="142"/>
        <v>105443</v>
      </c>
      <c r="BK59" s="34">
        <f t="shared" si="142"/>
        <v>0</v>
      </c>
      <c r="BL59" s="34">
        <f t="shared" si="142"/>
        <v>0</v>
      </c>
      <c r="BM59" s="34">
        <f t="shared" si="142"/>
        <v>28707</v>
      </c>
      <c r="BN59" s="34">
        <f t="shared" si="142"/>
        <v>-192878</v>
      </c>
      <c r="BO59" s="34">
        <f t="shared" si="142"/>
        <v>290315</v>
      </c>
      <c r="BP59" s="34">
        <f t="shared" ref="BP59:BX59" si="143">ROUND(+BP54*BP$10*BP$9,0)</f>
        <v>191440</v>
      </c>
      <c r="BQ59" s="34">
        <f t="shared" si="143"/>
        <v>-22152</v>
      </c>
      <c r="BR59" s="34">
        <f t="shared" si="143"/>
        <v>4036</v>
      </c>
      <c r="BS59" s="34">
        <f t="shared" si="143"/>
        <v>36075</v>
      </c>
      <c r="BT59" s="34">
        <f t="shared" si="143"/>
        <v>-13312</v>
      </c>
      <c r="BU59" s="34">
        <f t="shared" si="143"/>
        <v>6982</v>
      </c>
      <c r="BV59" s="34">
        <f t="shared" si="143"/>
        <v>10054</v>
      </c>
      <c r="BW59" s="34">
        <f t="shared" si="143"/>
        <v>84</v>
      </c>
      <c r="BX59" s="34">
        <f t="shared" si="143"/>
        <v>2864</v>
      </c>
      <c r="BY59" s="34"/>
      <c r="BZ59" s="34"/>
      <c r="CA59" s="34"/>
      <c r="CB59" s="34"/>
      <c r="CC59" s="34"/>
      <c r="CD59" s="34"/>
      <c r="CE59" s="34">
        <f t="shared" ref="CE59:CI59" si="144">ROUND(+CE54*CE$10*CE$9,0)</f>
        <v>80682</v>
      </c>
      <c r="CF59" s="34">
        <f t="shared" si="144"/>
        <v>-19548</v>
      </c>
      <c r="CG59" s="34">
        <f t="shared" si="144"/>
        <v>1371</v>
      </c>
      <c r="CH59" s="34">
        <f t="shared" si="144"/>
        <v>15498</v>
      </c>
      <c r="CI59" s="34">
        <f t="shared" si="144"/>
        <v>-16867</v>
      </c>
    </row>
    <row r="62" spans="1:87" x14ac:dyDescent="0.25">
      <c r="G62" s="183"/>
    </row>
    <row r="63" spans="1:87" x14ac:dyDescent="0.25">
      <c r="D63" s="75">
        <f>SUM(D13:X15)</f>
        <v>25803636.969999999</v>
      </c>
    </row>
  </sheetData>
  <mergeCells count="40">
    <mergeCell ref="BP7:BR7"/>
    <mergeCell ref="BU8:BX8"/>
    <mergeCell ref="BJ7:BL7"/>
    <mergeCell ref="BG6:BL6"/>
    <mergeCell ref="BG7:BI7"/>
    <mergeCell ref="BM6:BO6"/>
    <mergeCell ref="BM7:BO7"/>
    <mergeCell ref="BS6:BX6"/>
    <mergeCell ref="BS7:BX7"/>
    <mergeCell ref="BP6:BR6"/>
    <mergeCell ref="A1:B1"/>
    <mergeCell ref="A2:B2"/>
    <mergeCell ref="A3:B3"/>
    <mergeCell ref="A4:B4"/>
    <mergeCell ref="BC6:BF6"/>
    <mergeCell ref="AY6:BB6"/>
    <mergeCell ref="D6:X6"/>
    <mergeCell ref="AT6:AX6"/>
    <mergeCell ref="AO6:AS6"/>
    <mergeCell ref="Y6:AH6"/>
    <mergeCell ref="AI6:AN6"/>
    <mergeCell ref="BC7:BF7"/>
    <mergeCell ref="H7:L7"/>
    <mergeCell ref="D7:G7"/>
    <mergeCell ref="M7:R7"/>
    <mergeCell ref="V7:X7"/>
    <mergeCell ref="AI7:AN7"/>
    <mergeCell ref="AF7:AH7"/>
    <mergeCell ref="Y7:AB7"/>
    <mergeCell ref="AC7:AE7"/>
    <mergeCell ref="S7:U7"/>
    <mergeCell ref="AY7:BB7"/>
    <mergeCell ref="AO7:AS7"/>
    <mergeCell ref="AT7:AX7"/>
    <mergeCell ref="CE6:CI6"/>
    <mergeCell ref="CE7:CI7"/>
    <mergeCell ref="BY6:CA6"/>
    <mergeCell ref="BY7:CA7"/>
    <mergeCell ref="CB6:CD6"/>
    <mergeCell ref="CB7:CD7"/>
  </mergeCells>
  <phoneticPr fontId="0" type="noConversion"/>
  <printOptions horizontalCentered="1"/>
  <pageMargins left="0.25" right="0.25" top="1" bottom="1" header="0.5" footer="0.5"/>
  <pageSetup scale="62" fitToWidth="5" orientation="landscape" r:id="rId1"/>
  <headerFooter alignWithMargins="0">
    <oddHeader>&amp;RSchedule 40 Rate Design
Compliance Filing
Docket No. UE-170033
Page &amp;P of &amp;N</oddHeader>
    <oddFooter>&amp;L&amp;F
&amp;A</oddFooter>
  </headerFooter>
  <colBreaks count="5" manualBreakCount="5">
    <brk id="18" min="4" max="44" man="1"/>
    <brk id="31" min="4" max="44" man="1"/>
    <brk id="45" min="4" max="44" man="1"/>
    <brk id="58" min="4" max="44" man="1"/>
    <brk id="70" min="4" max="44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6"/>
  <sheetViews>
    <sheetView workbookViewId="0">
      <selection activeCell="B4" sqref="B4"/>
    </sheetView>
  </sheetViews>
  <sheetFormatPr defaultColWidth="9.109375" defaultRowHeight="13.2" x14ac:dyDescent="0.25"/>
  <cols>
    <col min="1" max="1" width="20" style="26" bestFit="1" customWidth="1"/>
    <col min="2" max="2" width="12" style="26" bestFit="1" customWidth="1"/>
    <col min="3" max="4" width="11.44140625" style="26" bestFit="1" customWidth="1"/>
    <col min="5" max="6" width="12.21875" style="26" bestFit="1" customWidth="1"/>
    <col min="7" max="8" width="11.5546875" style="26" bestFit="1" customWidth="1"/>
    <col min="9" max="9" width="12.5546875" style="26" customWidth="1"/>
    <col min="10" max="10" width="11.44140625" style="26" bestFit="1" customWidth="1"/>
    <col min="11" max="11" width="12.5546875" style="26" customWidth="1"/>
    <col min="12" max="12" width="11.44140625" style="26" bestFit="1" customWidth="1"/>
    <col min="13" max="13" width="10" style="26" bestFit="1" customWidth="1"/>
    <col min="14" max="15" width="12.44140625" style="26" bestFit="1" customWidth="1"/>
    <col min="16" max="16" width="11.44140625" style="26" bestFit="1" customWidth="1"/>
    <col min="17" max="17" width="12.44140625" style="26" bestFit="1" customWidth="1"/>
    <col min="18" max="18" width="12.5546875" style="26" customWidth="1"/>
    <col min="19" max="30" width="19" style="26" bestFit="1" customWidth="1"/>
    <col min="31" max="31" width="23.109375" style="26" bestFit="1" customWidth="1"/>
    <col min="32" max="32" width="23.5546875" style="26" bestFit="1" customWidth="1"/>
    <col min="33" max="33" width="23.6640625" style="26" bestFit="1" customWidth="1"/>
    <col min="34" max="16384" width="9.109375" style="26"/>
  </cols>
  <sheetData>
    <row r="1" spans="1:18" x14ac:dyDescent="0.25">
      <c r="A1" s="69"/>
      <c r="B1" s="70">
        <v>42614</v>
      </c>
    </row>
    <row r="3" spans="1:18" x14ac:dyDescent="0.25">
      <c r="A3" s="263" t="s">
        <v>207</v>
      </c>
      <c r="B3" s="153" t="s">
        <v>208</v>
      </c>
      <c r="C3" s="266" t="s">
        <v>209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8" s="182" customFormat="1" ht="39.6" x14ac:dyDescent="0.25">
      <c r="A4" s="272" t="s">
        <v>84</v>
      </c>
      <c r="B4" s="267" t="str">
        <f>+'Distribution Subs 2017'!$D$7</f>
        <v>Sub 1 - Evergreen</v>
      </c>
      <c r="C4" s="273" t="str">
        <f>+'Distribution Subs 2017'!$H$7</f>
        <v>Sub 2 - Kenilworth</v>
      </c>
      <c r="D4" s="267" t="str">
        <f>+'Distribution Subs 2017'!$M$7</f>
        <v>Sub 3 - Spiritbrook</v>
      </c>
      <c r="E4" s="267" t="str">
        <f>+'Distribution Subs 2017'!$AC$7</f>
        <v>Sub 5 - Bridal Trails</v>
      </c>
      <c r="F4" s="267" t="str">
        <f>+'Distribution Subs 2017'!$AO$7</f>
        <v>Sub 6 - Kent</v>
      </c>
      <c r="G4" s="267" t="str">
        <f>+'Distribution Subs 2017'!$AT$7</f>
        <v>Sub 7 - Victoria Park</v>
      </c>
      <c r="H4" s="267" t="str">
        <f>+'Distribution Subs 2017'!$AY$7</f>
        <v>Sub 8 - Airport</v>
      </c>
      <c r="I4" s="267" t="s">
        <v>230</v>
      </c>
      <c r="J4" s="267" t="str">
        <f>+'Distribution Subs 2017'!$BC$7</f>
        <v>Sub 10 - North Bellevue</v>
      </c>
      <c r="K4" s="267" t="str">
        <f>+'Distribution Subs 2017'!$BG$7</f>
        <v>Sub 11 - Center</v>
      </c>
      <c r="L4" s="267" t="str">
        <f>+'Distribution Subs 2017'!$BM$7</f>
        <v>Sub 12 - M Street</v>
      </c>
      <c r="M4" s="267" t="str">
        <f>+'Distribution Subs 2017'!$BP$7</f>
        <v>Sub 13 - Goodes Corner</v>
      </c>
      <c r="N4" s="267" t="str">
        <f>+$K$34</f>
        <v>Sub 14 - Cedarhurst</v>
      </c>
      <c r="O4" s="267" t="str">
        <f>+'Distribution Subs 2017'!$V$7</f>
        <v>Sub 15 - Ardmore</v>
      </c>
      <c r="P4" s="267"/>
      <c r="Q4" s="267"/>
      <c r="R4" s="267"/>
    </row>
    <row r="5" spans="1:18" x14ac:dyDescent="0.25">
      <c r="A5" s="253" t="s">
        <v>91</v>
      </c>
      <c r="B5" s="254">
        <v>60570.58</v>
      </c>
      <c r="C5" s="254">
        <v>18144.91</v>
      </c>
      <c r="D5" s="254">
        <v>29773.78</v>
      </c>
      <c r="E5" s="254">
        <v>892650.84</v>
      </c>
      <c r="F5" s="254">
        <v>495</v>
      </c>
      <c r="G5" s="254">
        <v>122539.66</v>
      </c>
      <c r="H5" s="254">
        <v>9399.49</v>
      </c>
      <c r="I5" s="275">
        <v>271188.17</v>
      </c>
      <c r="J5" s="254">
        <v>159055.57999999999</v>
      </c>
      <c r="K5" s="254">
        <v>866869.03</v>
      </c>
      <c r="L5" s="254">
        <v>6075.87</v>
      </c>
      <c r="M5" s="254">
        <v>362370.03</v>
      </c>
      <c r="N5" s="254">
        <v>7653.26</v>
      </c>
      <c r="O5" s="254">
        <v>7628558.6699999999</v>
      </c>
      <c r="P5" s="254"/>
      <c r="Q5" s="254"/>
      <c r="R5" s="254">
        <f>SUM(B5:Q5)</f>
        <v>10435344.870000001</v>
      </c>
    </row>
    <row r="6" spans="1:18" x14ac:dyDescent="0.25">
      <c r="A6" s="72" t="s">
        <v>92</v>
      </c>
      <c r="B6" s="56">
        <v>10319.599999999999</v>
      </c>
      <c r="C6" s="56">
        <v>19466.36</v>
      </c>
      <c r="D6" s="56">
        <v>17813.669999999998</v>
      </c>
      <c r="E6" s="56"/>
      <c r="F6" s="56"/>
      <c r="G6" s="56">
        <v>30305.26</v>
      </c>
      <c r="H6" s="56">
        <v>9104.48</v>
      </c>
      <c r="I6" s="275">
        <v>25993.72</v>
      </c>
      <c r="J6" s="56">
        <v>52191.049999999996</v>
      </c>
      <c r="K6" s="56">
        <v>55014.06</v>
      </c>
      <c r="L6" s="56">
        <v>12579.25</v>
      </c>
      <c r="M6" s="56">
        <v>11340.380000000001</v>
      </c>
      <c r="N6" s="56"/>
      <c r="O6" s="56">
        <v>413494.05999999994</v>
      </c>
      <c r="P6" s="56"/>
      <c r="Q6" s="56"/>
      <c r="R6" s="56">
        <f>SUM(B6:Q6)</f>
        <v>657621.8899999999</v>
      </c>
    </row>
    <row r="7" spans="1:18" x14ac:dyDescent="0.25">
      <c r="A7" s="72" t="s">
        <v>93</v>
      </c>
      <c r="B7" s="56">
        <v>1309752.4400000002</v>
      </c>
      <c r="C7" s="56">
        <v>1372756.2099999997</v>
      </c>
      <c r="D7" s="56">
        <v>1067743.72</v>
      </c>
      <c r="E7" s="56">
        <v>3670011.29</v>
      </c>
      <c r="F7" s="56">
        <v>671248.11999999988</v>
      </c>
      <c r="G7" s="56">
        <v>621958.51</v>
      </c>
      <c r="H7" s="56">
        <v>201032.33999999997</v>
      </c>
      <c r="I7" s="275">
        <v>756611.77000000014</v>
      </c>
      <c r="J7" s="56">
        <v>2242120.0099999998</v>
      </c>
      <c r="K7" s="56">
        <v>4080045.37</v>
      </c>
      <c r="L7" s="56">
        <v>546904.26</v>
      </c>
      <c r="M7" s="56">
        <v>450924.25</v>
      </c>
      <c r="N7" s="56">
        <v>361359.62</v>
      </c>
      <c r="O7" s="56">
        <v>9292580.8399999999</v>
      </c>
      <c r="P7" s="56"/>
      <c r="Q7" s="56"/>
      <c r="R7" s="56">
        <f>SUM(B7:Q7)</f>
        <v>26645048.75</v>
      </c>
    </row>
    <row r="8" spans="1:18" x14ac:dyDescent="0.25">
      <c r="A8" s="252" t="s">
        <v>86</v>
      </c>
      <c r="B8" s="257">
        <v>1380642.62</v>
      </c>
      <c r="C8" s="257">
        <v>1410367.4799999997</v>
      </c>
      <c r="D8" s="257">
        <v>1115331.17</v>
      </c>
      <c r="E8" s="257">
        <v>4562662.13</v>
      </c>
      <c r="F8" s="257">
        <v>671743.11999999988</v>
      </c>
      <c r="G8" s="257">
        <v>774803.43</v>
      </c>
      <c r="H8" s="257">
        <v>219536.30999999997</v>
      </c>
      <c r="I8" s="257">
        <v>1053793.6600000001</v>
      </c>
      <c r="J8" s="257">
        <v>2453366.6399999997</v>
      </c>
      <c r="K8" s="257">
        <v>5001928.46</v>
      </c>
      <c r="L8" s="257">
        <v>565559.38</v>
      </c>
      <c r="M8" s="257">
        <v>824634.66</v>
      </c>
      <c r="N8" s="257">
        <v>369012.88</v>
      </c>
      <c r="O8" s="257">
        <v>17334633.57</v>
      </c>
      <c r="P8" s="257"/>
      <c r="Q8" s="257"/>
      <c r="R8" s="258">
        <f t="shared" ref="R8" si="0">SUM(R5:R7)</f>
        <v>37738015.510000005</v>
      </c>
    </row>
    <row r="9" spans="1:18" x14ac:dyDescent="0.25">
      <c r="A9" s="57"/>
      <c r="B9" s="56">
        <f>SUM('Distribution Subs 2017'!D13:G15)</f>
        <v>1380642.62</v>
      </c>
      <c r="C9" s="56">
        <f>SUM('Distribution Subs 2017'!H13:L15)</f>
        <v>1410367.48</v>
      </c>
      <c r="D9" s="56">
        <f>SUM('Distribution Subs 2017'!M13:R15)</f>
        <v>1115331.17</v>
      </c>
      <c r="E9" s="56">
        <f>SUM('Distribution Subs 2017'!S13:U15)</f>
        <v>4562662.13</v>
      </c>
      <c r="F9" s="56">
        <f>SUM('Distribution Subs 2017'!AO13:AS15)</f>
        <v>671743.11999999976</v>
      </c>
      <c r="G9" s="56">
        <f>SUM('Distribution Subs 2017'!AT13:AX15)</f>
        <v>774803.43000000017</v>
      </c>
      <c r="H9" s="56">
        <f>SUM('Distribution Subs 2017'!AY13:BB15)</f>
        <v>219536.30999999997</v>
      </c>
      <c r="I9" s="56">
        <f>SUM('Distribution Subs 2017'!CE13:CI15)</f>
        <v>1053793.6600000001</v>
      </c>
      <c r="J9" s="56">
        <f>SUM('Distribution Subs 2017'!BC13:BF15)</f>
        <v>2453366.6399999997</v>
      </c>
      <c r="K9" s="56">
        <f>SUM('Distribution Subs 2017'!BG13:BI15)</f>
        <v>5001928.46</v>
      </c>
      <c r="L9" s="56">
        <f>SUM('Distribution Subs 2017'!BM13:BO15)</f>
        <v>565559.37999999989</v>
      </c>
      <c r="M9" s="56">
        <f>SUM('Distribution Subs 2017'!BP13:BR15)</f>
        <v>824634.66</v>
      </c>
      <c r="N9" s="56">
        <f>SUM('Distribution Subs 2017'!BS13:BX15)</f>
        <v>369012.88</v>
      </c>
      <c r="O9" s="56">
        <f>SUM('Distribution Subs 2017'!V13:V15)</f>
        <v>17334633.57</v>
      </c>
      <c r="P9" s="56"/>
      <c r="Q9" s="56"/>
      <c r="R9" s="172">
        <f>SUM(B9:Q9)</f>
        <v>37738015.509999998</v>
      </c>
    </row>
    <row r="11" spans="1:18" x14ac:dyDescent="0.25">
      <c r="A11" s="69"/>
      <c r="B11" s="70">
        <v>40513</v>
      </c>
    </row>
    <row r="13" spans="1:18" x14ac:dyDescent="0.25">
      <c r="A13" s="263" t="s">
        <v>207</v>
      </c>
      <c r="B13" s="153" t="s">
        <v>208</v>
      </c>
      <c r="C13" s="266" t="s">
        <v>209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8" ht="39.6" x14ac:dyDescent="0.25">
      <c r="A14" s="271" t="s">
        <v>84</v>
      </c>
      <c r="B14" s="267" t="s">
        <v>223</v>
      </c>
      <c r="C14" s="267" t="s">
        <v>224</v>
      </c>
      <c r="D14" s="267" t="s">
        <v>225</v>
      </c>
      <c r="E14" s="267" t="s">
        <v>226</v>
      </c>
      <c r="F14" s="267" t="s">
        <v>227</v>
      </c>
      <c r="G14" s="267" t="s">
        <v>222</v>
      </c>
      <c r="H14" s="267" t="s">
        <v>228</v>
      </c>
      <c r="I14" s="267" t="s">
        <v>229</v>
      </c>
      <c r="J14" s="267" t="s">
        <v>230</v>
      </c>
      <c r="K14" s="267" t="s">
        <v>231</v>
      </c>
      <c r="L14" s="267" t="s">
        <v>233</v>
      </c>
      <c r="M14" s="267" t="s">
        <v>234</v>
      </c>
      <c r="N14" s="267" t="s">
        <v>237</v>
      </c>
      <c r="O14" s="268" t="s">
        <v>238</v>
      </c>
    </row>
    <row r="15" spans="1:18" x14ac:dyDescent="0.25">
      <c r="A15" s="253" t="s">
        <v>91</v>
      </c>
      <c r="B15" s="254">
        <v>60570.58</v>
      </c>
      <c r="C15" s="254">
        <v>18144.91</v>
      </c>
      <c r="D15" s="254">
        <v>29773.78</v>
      </c>
      <c r="E15" s="254">
        <v>384397.38</v>
      </c>
      <c r="F15" s="254">
        <v>892650.84</v>
      </c>
      <c r="G15" s="254">
        <v>495</v>
      </c>
      <c r="H15" s="254">
        <v>122539.66</v>
      </c>
      <c r="I15" s="254">
        <v>9399.49</v>
      </c>
      <c r="J15" s="254">
        <v>271409.62</v>
      </c>
      <c r="K15" s="254">
        <v>159055.58000000002</v>
      </c>
      <c r="L15" s="254">
        <v>866869.03</v>
      </c>
      <c r="M15" s="254">
        <v>6075.87</v>
      </c>
      <c r="N15" s="254">
        <v>144494.84</v>
      </c>
      <c r="O15" s="255">
        <v>7653.26</v>
      </c>
    </row>
    <row r="16" spans="1:18" x14ac:dyDescent="0.25">
      <c r="A16" s="72" t="s">
        <v>92</v>
      </c>
      <c r="B16" s="56">
        <v>13590.44</v>
      </c>
      <c r="C16" s="56">
        <v>25024.780000000002</v>
      </c>
      <c r="D16" s="56">
        <v>22390.39</v>
      </c>
      <c r="E16" s="56">
        <v>22018.989999999998</v>
      </c>
      <c r="F16" s="56"/>
      <c r="G16" s="56"/>
      <c r="H16" s="56">
        <v>37362.639999999999</v>
      </c>
      <c r="I16" s="56">
        <v>11114.42</v>
      </c>
      <c r="J16" s="56">
        <v>31725.34</v>
      </c>
      <c r="K16" s="56">
        <v>65682.990000000005</v>
      </c>
      <c r="L16" s="56">
        <v>68611.37</v>
      </c>
      <c r="M16" s="56">
        <v>14774.08</v>
      </c>
      <c r="N16" s="56">
        <v>14467.76</v>
      </c>
      <c r="O16" s="256">
        <v>0</v>
      </c>
    </row>
    <row r="17" spans="1:15" x14ac:dyDescent="0.25">
      <c r="A17" s="74" t="s">
        <v>93</v>
      </c>
      <c r="B17" s="259">
        <v>1109719.1599999997</v>
      </c>
      <c r="C17" s="259">
        <v>381003.95</v>
      </c>
      <c r="D17" s="259">
        <v>1202758.6500000001</v>
      </c>
      <c r="E17" s="259">
        <v>1064786.3799999999</v>
      </c>
      <c r="F17" s="259">
        <v>4579399.79</v>
      </c>
      <c r="G17" s="259">
        <v>791233.76000000013</v>
      </c>
      <c r="H17" s="259">
        <v>868806.05999999994</v>
      </c>
      <c r="I17" s="259">
        <v>172481.4</v>
      </c>
      <c r="J17" s="259">
        <v>958710.79999999993</v>
      </c>
      <c r="K17" s="259">
        <v>2916515.58</v>
      </c>
      <c r="L17" s="259">
        <v>4621091.53</v>
      </c>
      <c r="M17" s="259">
        <v>123960.59999999999</v>
      </c>
      <c r="N17" s="259">
        <v>735249.49</v>
      </c>
      <c r="O17" s="260">
        <v>339871.14</v>
      </c>
    </row>
    <row r="18" spans="1:15" x14ac:dyDescent="0.25">
      <c r="A18" s="74" t="s">
        <v>86</v>
      </c>
      <c r="B18" s="259">
        <v>1183880.1799999997</v>
      </c>
      <c r="C18" s="259">
        <v>424173.64</v>
      </c>
      <c r="D18" s="259">
        <v>1254922.82</v>
      </c>
      <c r="E18" s="259">
        <v>1471202.75</v>
      </c>
      <c r="F18" s="259">
        <v>5472050.6299999999</v>
      </c>
      <c r="G18" s="259">
        <v>791728.76000000013</v>
      </c>
      <c r="H18" s="259">
        <v>1028708.3599999999</v>
      </c>
      <c r="I18" s="259">
        <v>192995.31</v>
      </c>
      <c r="J18" s="259">
        <v>1261845.76</v>
      </c>
      <c r="K18" s="259">
        <v>3141254.15</v>
      </c>
      <c r="L18" s="259">
        <v>5556571.9300000006</v>
      </c>
      <c r="M18" s="259">
        <v>144810.54999999999</v>
      </c>
      <c r="N18" s="259">
        <v>894212.09</v>
      </c>
      <c r="O18" s="260">
        <v>347524.4</v>
      </c>
    </row>
    <row r="19" spans="1:1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O19" s="78"/>
    </row>
    <row r="21" spans="1:15" x14ac:dyDescent="0.25">
      <c r="A21" s="69" t="s">
        <v>210</v>
      </c>
      <c r="B21" s="70">
        <v>39783</v>
      </c>
    </row>
    <row r="23" spans="1:15" x14ac:dyDescent="0.25">
      <c r="A23" s="253" t="s">
        <v>207</v>
      </c>
      <c r="B23" s="261"/>
      <c r="C23" s="262"/>
    </row>
    <row r="24" spans="1:15" x14ac:dyDescent="0.25">
      <c r="A24" s="269"/>
      <c r="B24" s="57" t="s">
        <v>208</v>
      </c>
      <c r="C24" s="270" t="s">
        <v>209</v>
      </c>
      <c r="D24" s="57"/>
      <c r="E24" s="57"/>
      <c r="F24" s="57"/>
      <c r="G24" s="57"/>
      <c r="H24" s="57"/>
      <c r="I24" s="57"/>
      <c r="J24" s="57"/>
      <c r="K24" s="57"/>
      <c r="L24" s="57"/>
    </row>
    <row r="25" spans="1:15" ht="39.6" x14ac:dyDescent="0.25">
      <c r="A25" s="271" t="s">
        <v>84</v>
      </c>
      <c r="B25" s="267" t="s">
        <v>223</v>
      </c>
      <c r="C25" s="267" t="s">
        <v>224</v>
      </c>
      <c r="D25" s="267" t="s">
        <v>225</v>
      </c>
      <c r="E25" s="267" t="s">
        <v>226</v>
      </c>
      <c r="F25" s="267" t="s">
        <v>227</v>
      </c>
      <c r="G25" s="267" t="s">
        <v>222</v>
      </c>
      <c r="H25" s="267" t="s">
        <v>228</v>
      </c>
      <c r="I25" s="267" t="s">
        <v>229</v>
      </c>
      <c r="J25" s="267" t="s">
        <v>230</v>
      </c>
      <c r="K25" s="267" t="s">
        <v>231</v>
      </c>
      <c r="L25" s="268" t="s">
        <v>238</v>
      </c>
    </row>
    <row r="26" spans="1:15" x14ac:dyDescent="0.25">
      <c r="A26" s="263" t="s">
        <v>91</v>
      </c>
      <c r="B26" s="264">
        <v>60570.58</v>
      </c>
      <c r="C26" s="264">
        <v>18144.91</v>
      </c>
      <c r="D26" s="264">
        <v>29773.78</v>
      </c>
      <c r="E26" s="264">
        <v>384397.38</v>
      </c>
      <c r="F26" s="264">
        <v>892650.84</v>
      </c>
      <c r="G26" s="264">
        <v>495</v>
      </c>
      <c r="H26" s="264">
        <v>122539.66</v>
      </c>
      <c r="I26" s="264">
        <v>9399.49</v>
      </c>
      <c r="J26" s="264">
        <v>271495.96000000002</v>
      </c>
      <c r="K26" s="264">
        <v>159055.57999999999</v>
      </c>
      <c r="L26" s="265">
        <v>7653</v>
      </c>
    </row>
    <row r="27" spans="1:15" x14ac:dyDescent="0.25">
      <c r="A27" s="72" t="s">
        <v>92</v>
      </c>
      <c r="B27" s="56">
        <v>13509.85</v>
      </c>
      <c r="C27" s="56">
        <v>25142.799999999999</v>
      </c>
      <c r="D27" s="56">
        <v>22486.5</v>
      </c>
      <c r="E27" s="56">
        <v>21975.9</v>
      </c>
      <c r="F27" s="56"/>
      <c r="G27" s="56"/>
      <c r="H27" s="56">
        <v>37756.199999999997</v>
      </c>
      <c r="I27" s="56">
        <v>11334.84</v>
      </c>
      <c r="J27" s="56">
        <v>32180.97</v>
      </c>
      <c r="K27" s="56">
        <v>65943.27</v>
      </c>
      <c r="L27" s="256">
        <v>0</v>
      </c>
    </row>
    <row r="28" spans="1:15" x14ac:dyDescent="0.25">
      <c r="A28" s="74" t="s">
        <v>93</v>
      </c>
      <c r="B28" s="259">
        <v>1125510.3999999999</v>
      </c>
      <c r="C28" s="259">
        <v>277611.89</v>
      </c>
      <c r="D28" s="259">
        <v>1185072.03</v>
      </c>
      <c r="E28" s="259">
        <v>263140.78000000003</v>
      </c>
      <c r="F28" s="259">
        <v>2208322.75</v>
      </c>
      <c r="G28" s="259">
        <v>426625</v>
      </c>
      <c r="H28" s="259">
        <v>480690.26</v>
      </c>
      <c r="I28" s="259">
        <v>173745.73</v>
      </c>
      <c r="J28" s="259">
        <v>850139.52</v>
      </c>
      <c r="K28" s="259">
        <v>1896922.69</v>
      </c>
      <c r="L28" s="260">
        <v>351936</v>
      </c>
    </row>
    <row r="29" spans="1:15" x14ac:dyDescent="0.25">
      <c r="A29" s="74" t="s">
        <v>86</v>
      </c>
      <c r="B29" s="259">
        <v>1199590.83</v>
      </c>
      <c r="C29" s="259">
        <v>320899.59999999998</v>
      </c>
      <c r="D29" s="259">
        <v>1237332.31</v>
      </c>
      <c r="E29" s="259">
        <v>669514.06000000006</v>
      </c>
      <c r="F29" s="259">
        <v>3100973.59</v>
      </c>
      <c r="G29" s="259">
        <v>427120</v>
      </c>
      <c r="H29" s="259">
        <v>640986.12</v>
      </c>
      <c r="I29" s="259">
        <v>194480.06</v>
      </c>
      <c r="J29" s="259">
        <v>1153816.45</v>
      </c>
      <c r="K29" s="259">
        <v>2121921.54</v>
      </c>
      <c r="L29" s="260">
        <v>359589</v>
      </c>
    </row>
    <row r="30" spans="1:1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2" spans="1:15" x14ac:dyDescent="0.25">
      <c r="A32" s="71">
        <v>39355</v>
      </c>
    </row>
    <row r="33" spans="1:11" x14ac:dyDescent="0.25">
      <c r="A33" s="263" t="s">
        <v>185</v>
      </c>
      <c r="B33" s="266" t="s">
        <v>184</v>
      </c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26.4" x14ac:dyDescent="0.25">
      <c r="A34" s="106" t="s">
        <v>84</v>
      </c>
      <c r="B34" s="267" t="s">
        <v>223</v>
      </c>
      <c r="C34" s="267" t="s">
        <v>224</v>
      </c>
      <c r="D34" s="267" t="s">
        <v>225</v>
      </c>
      <c r="E34" s="267" t="s">
        <v>226</v>
      </c>
      <c r="F34" s="267" t="s">
        <v>227</v>
      </c>
      <c r="G34" s="267" t="s">
        <v>222</v>
      </c>
      <c r="H34" s="267" t="s">
        <v>228</v>
      </c>
      <c r="I34" s="267" t="s">
        <v>229</v>
      </c>
      <c r="J34" s="267" t="s">
        <v>230</v>
      </c>
      <c r="K34" s="268" t="s">
        <v>238</v>
      </c>
    </row>
    <row r="35" spans="1:11" x14ac:dyDescent="0.25">
      <c r="A35" s="263" t="s">
        <v>91</v>
      </c>
      <c r="B35" s="264">
        <v>60570.58</v>
      </c>
      <c r="C35" s="264">
        <v>18144.91</v>
      </c>
      <c r="D35" s="264">
        <v>29773.78</v>
      </c>
      <c r="E35" s="264">
        <v>384397.38</v>
      </c>
      <c r="F35" s="264">
        <v>892650.84</v>
      </c>
      <c r="G35" s="264">
        <v>495</v>
      </c>
      <c r="H35" s="264">
        <v>122539.66</v>
      </c>
      <c r="I35" s="264">
        <v>9399.49</v>
      </c>
      <c r="J35" s="264">
        <v>270265.49</v>
      </c>
      <c r="K35" s="265">
        <v>7653</v>
      </c>
    </row>
    <row r="36" spans="1:11" x14ac:dyDescent="0.25">
      <c r="A36" s="72" t="s">
        <v>92</v>
      </c>
      <c r="B36" s="56">
        <v>15734.44</v>
      </c>
      <c r="C36" s="56">
        <v>21258.080000000002</v>
      </c>
      <c r="D36" s="56">
        <v>19547.740000000002</v>
      </c>
      <c r="E36" s="56">
        <v>18775.669999999998</v>
      </c>
      <c r="F36" s="56"/>
      <c r="G36" s="56"/>
      <c r="H36" s="56">
        <v>33408.31</v>
      </c>
      <c r="I36" s="56">
        <v>4404.3599999999997</v>
      </c>
      <c r="J36" s="56">
        <v>29413.9</v>
      </c>
      <c r="K36" s="256">
        <v>0</v>
      </c>
    </row>
    <row r="37" spans="1:11" x14ac:dyDescent="0.25">
      <c r="A37" s="74" t="s">
        <v>93</v>
      </c>
      <c r="B37" s="259">
        <v>1346922.35</v>
      </c>
      <c r="C37" s="259">
        <v>307332.47999999998</v>
      </c>
      <c r="D37" s="259">
        <v>601041.56000000006</v>
      </c>
      <c r="E37" s="259">
        <v>277519.94</v>
      </c>
      <c r="F37" s="259">
        <v>2763202.96</v>
      </c>
      <c r="G37" s="259">
        <v>583227.23</v>
      </c>
      <c r="H37" s="259">
        <v>666893.75</v>
      </c>
      <c r="I37" s="259">
        <v>243514.76</v>
      </c>
      <c r="J37" s="259">
        <v>995224.11</v>
      </c>
      <c r="K37" s="260">
        <v>417140</v>
      </c>
    </row>
    <row r="38" spans="1:11" x14ac:dyDescent="0.25">
      <c r="A38" s="74"/>
      <c r="B38" s="259">
        <v>1423227.37</v>
      </c>
      <c r="C38" s="259">
        <v>346735.47</v>
      </c>
      <c r="D38" s="259">
        <v>650363.08000000007</v>
      </c>
      <c r="E38" s="259">
        <v>680692.99</v>
      </c>
      <c r="F38" s="259">
        <v>3655853.8</v>
      </c>
      <c r="G38" s="259">
        <v>583722.23</v>
      </c>
      <c r="H38" s="259">
        <v>822841.72</v>
      </c>
      <c r="I38" s="259">
        <v>257318.61000000002</v>
      </c>
      <c r="J38" s="259">
        <v>1294903.5</v>
      </c>
      <c r="K38" s="260">
        <v>424793</v>
      </c>
    </row>
    <row r="39" spans="1:11" x14ac:dyDescent="0.25">
      <c r="A39" s="57"/>
      <c r="B39" s="56"/>
      <c r="C39" s="56"/>
      <c r="D39" s="56"/>
      <c r="E39" s="56"/>
      <c r="F39" s="56"/>
      <c r="G39" s="56"/>
      <c r="H39" s="56"/>
      <c r="I39" s="56"/>
      <c r="J39" s="56"/>
    </row>
    <row r="40" spans="1:11" x14ac:dyDescent="0.25">
      <c r="A40" s="57"/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71">
        <v>38625</v>
      </c>
    </row>
    <row r="42" spans="1:11" x14ac:dyDescent="0.25">
      <c r="A42" s="263" t="s">
        <v>185</v>
      </c>
      <c r="B42" s="266" t="s">
        <v>85</v>
      </c>
      <c r="C42" s="57"/>
      <c r="D42" s="57"/>
      <c r="E42" s="57"/>
      <c r="F42" s="57"/>
      <c r="G42" s="57"/>
      <c r="H42" s="57"/>
      <c r="I42" s="57"/>
      <c r="J42" s="57"/>
    </row>
    <row r="43" spans="1:11" ht="26.4" x14ac:dyDescent="0.25">
      <c r="A43" s="106" t="s">
        <v>84</v>
      </c>
      <c r="B43" s="267" t="s">
        <v>223</v>
      </c>
      <c r="C43" s="267" t="s">
        <v>224</v>
      </c>
      <c r="D43" s="267" t="s">
        <v>225</v>
      </c>
      <c r="E43" s="267" t="s">
        <v>226</v>
      </c>
      <c r="F43" s="267" t="s">
        <v>227</v>
      </c>
      <c r="G43" s="267" t="s">
        <v>222</v>
      </c>
      <c r="H43" s="267" t="s">
        <v>228</v>
      </c>
      <c r="I43" s="267" t="s">
        <v>229</v>
      </c>
      <c r="J43" s="268" t="s">
        <v>238</v>
      </c>
    </row>
    <row r="44" spans="1:11" x14ac:dyDescent="0.25">
      <c r="A44" s="263" t="s">
        <v>91</v>
      </c>
      <c r="B44" s="264">
        <v>60570.58</v>
      </c>
      <c r="C44" s="264">
        <v>18144.91</v>
      </c>
      <c r="D44" s="264">
        <v>29773.78</v>
      </c>
      <c r="E44" s="264">
        <v>384397.38</v>
      </c>
      <c r="F44" s="264">
        <v>892650.84</v>
      </c>
      <c r="G44" s="264">
        <v>495</v>
      </c>
      <c r="H44" s="264">
        <v>122539.66</v>
      </c>
      <c r="I44" s="264">
        <v>9399.49</v>
      </c>
      <c r="J44" s="265">
        <v>7653</v>
      </c>
    </row>
    <row r="45" spans="1:11" x14ac:dyDescent="0.25">
      <c r="A45" s="72" t="s">
        <v>92</v>
      </c>
      <c r="B45" s="56">
        <v>10710.04</v>
      </c>
      <c r="C45" s="56">
        <v>21232.09</v>
      </c>
      <c r="D45" s="56">
        <v>20156.650000000001</v>
      </c>
      <c r="E45" s="56">
        <v>18562.939999999999</v>
      </c>
      <c r="F45" s="56"/>
      <c r="G45" s="56"/>
      <c r="H45" s="56">
        <v>35438.47</v>
      </c>
      <c r="I45" s="56">
        <v>4084.96</v>
      </c>
      <c r="J45" s="256">
        <v>0</v>
      </c>
    </row>
    <row r="46" spans="1:11" x14ac:dyDescent="0.25">
      <c r="A46" s="74" t="s">
        <v>93</v>
      </c>
      <c r="B46" s="259">
        <v>1367559.04</v>
      </c>
      <c r="C46" s="259">
        <v>272798.89</v>
      </c>
      <c r="D46" s="259">
        <v>637648.13</v>
      </c>
      <c r="E46" s="259">
        <v>305009.82</v>
      </c>
      <c r="F46" s="259">
        <v>2844774.97</v>
      </c>
      <c r="G46" s="259">
        <v>437713.2</v>
      </c>
      <c r="H46" s="259">
        <v>586039.74</v>
      </c>
      <c r="I46" s="259">
        <v>173247.09</v>
      </c>
      <c r="J46" s="260">
        <v>365170</v>
      </c>
    </row>
    <row r="47" spans="1:11" x14ac:dyDescent="0.25">
      <c r="A47" s="74"/>
      <c r="B47" s="259">
        <v>1438839.6600000001</v>
      </c>
      <c r="C47" s="259">
        <v>312175.89</v>
      </c>
      <c r="D47" s="259">
        <v>687578.56</v>
      </c>
      <c r="E47" s="259">
        <v>707970.14</v>
      </c>
      <c r="F47" s="259">
        <v>3737425.81</v>
      </c>
      <c r="G47" s="259">
        <v>438208.2</v>
      </c>
      <c r="H47" s="259">
        <v>744017.87</v>
      </c>
      <c r="I47" s="259">
        <v>186731.54</v>
      </c>
      <c r="J47" s="260">
        <v>372823</v>
      </c>
    </row>
    <row r="48" spans="1:11" x14ac:dyDescent="0.25">
      <c r="C48" s="34"/>
      <c r="D48" s="34"/>
      <c r="F48" s="34"/>
      <c r="G48" s="34"/>
      <c r="H48" s="34"/>
      <c r="I48" s="34"/>
      <c r="J48" s="34"/>
    </row>
    <row r="50" spans="1:8" x14ac:dyDescent="0.25">
      <c r="A50" s="71">
        <v>37894</v>
      </c>
    </row>
    <row r="51" spans="1:8" x14ac:dyDescent="0.25">
      <c r="A51" s="263" t="s">
        <v>185</v>
      </c>
      <c r="B51" s="266" t="s">
        <v>184</v>
      </c>
      <c r="C51" s="57"/>
      <c r="D51" s="57"/>
      <c r="E51" s="57"/>
      <c r="F51" s="57"/>
      <c r="G51" s="57"/>
      <c r="H51" s="57"/>
    </row>
    <row r="52" spans="1:8" ht="26.4" x14ac:dyDescent="0.25">
      <c r="A52" s="106" t="s">
        <v>84</v>
      </c>
      <c r="B52" s="267" t="s">
        <v>223</v>
      </c>
      <c r="C52" s="267" t="s">
        <v>224</v>
      </c>
      <c r="D52" s="267" t="s">
        <v>225</v>
      </c>
      <c r="E52" s="267" t="s">
        <v>226</v>
      </c>
      <c r="F52" s="267" t="s">
        <v>227</v>
      </c>
      <c r="G52" s="267" t="s">
        <v>222</v>
      </c>
      <c r="H52" s="268" t="s">
        <v>238</v>
      </c>
    </row>
    <row r="53" spans="1:8" x14ac:dyDescent="0.25">
      <c r="A53" s="263" t="s">
        <v>91</v>
      </c>
      <c r="B53" s="264">
        <v>60571</v>
      </c>
      <c r="C53" s="264">
        <v>18145</v>
      </c>
      <c r="D53" s="264">
        <v>29774</v>
      </c>
      <c r="E53" s="264">
        <v>384397</v>
      </c>
      <c r="F53" s="264">
        <v>892651</v>
      </c>
      <c r="G53" s="264">
        <v>495</v>
      </c>
      <c r="H53" s="265">
        <v>7653</v>
      </c>
    </row>
    <row r="54" spans="1:8" x14ac:dyDescent="0.25">
      <c r="A54" s="72" t="s">
        <v>92</v>
      </c>
      <c r="B54" s="56">
        <v>11487</v>
      </c>
      <c r="C54" s="56">
        <v>22218</v>
      </c>
      <c r="D54" s="56">
        <v>21385</v>
      </c>
      <c r="E54" s="56">
        <v>19747</v>
      </c>
      <c r="F54" s="56">
        <v>10576</v>
      </c>
      <c r="G54" s="56">
        <v>0</v>
      </c>
      <c r="H54" s="256">
        <v>0</v>
      </c>
    </row>
    <row r="55" spans="1:8" x14ac:dyDescent="0.25">
      <c r="A55" s="74" t="s">
        <v>93</v>
      </c>
      <c r="B55" s="259">
        <v>1403836</v>
      </c>
      <c r="C55" s="259">
        <v>301777</v>
      </c>
      <c r="D55" s="259">
        <v>584437</v>
      </c>
      <c r="E55" s="259">
        <v>326881</v>
      </c>
      <c r="F55" s="259">
        <v>2982377</v>
      </c>
      <c r="G55" s="259">
        <v>454726</v>
      </c>
      <c r="H55" s="260">
        <v>304965</v>
      </c>
    </row>
    <row r="56" spans="1:8" x14ac:dyDescent="0.25">
      <c r="A56" s="74"/>
      <c r="B56" s="259">
        <v>1475894</v>
      </c>
      <c r="C56" s="259">
        <v>342140</v>
      </c>
      <c r="D56" s="259">
        <v>635596</v>
      </c>
      <c r="E56" s="259">
        <v>731025</v>
      </c>
      <c r="F56" s="259">
        <v>3885604</v>
      </c>
      <c r="G56" s="259">
        <v>455221</v>
      </c>
      <c r="H56" s="260">
        <v>312618</v>
      </c>
    </row>
  </sheetData>
  <phoneticPr fontId="0" type="noConversion"/>
  <printOptions horizontalCentered="1"/>
  <pageMargins left="0.25" right="0.25" top="1.5" bottom="1" header="0.5" footer="0.5"/>
  <pageSetup scale="54" orientation="landscape" r:id="rId1"/>
  <headerFooter alignWithMargins="0">
    <oddHeader>&amp;CPuget Sound Energy
Substation Net Plant Balances
2003, 2005, 2007, 2008, 2010 and 2016
&amp;RSchedule 40 Rate Design
Compliance Filing
Docket No. UE-170033
Page &amp;P of &amp;N</oddHeader>
    <oddFooter>&amp;L&amp;F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pane xSplit="3" ySplit="3" topLeftCell="D28" activePane="bottomRight" state="frozen"/>
      <selection activeCell="A3" sqref="A3"/>
      <selection pane="topRight" activeCell="A3" sqref="A3"/>
      <selection pane="bottomLeft" activeCell="A3" sqref="A3"/>
      <selection pane="bottomRight" activeCell="Q20" sqref="Q20"/>
    </sheetView>
  </sheetViews>
  <sheetFormatPr defaultRowHeight="13.2" x14ac:dyDescent="0.25"/>
  <cols>
    <col min="1" max="1" width="33.88671875" style="230" bestFit="1" customWidth="1"/>
    <col min="2" max="2" width="10" style="230" bestFit="1" customWidth="1"/>
    <col min="3" max="3" width="8" style="230" bestFit="1" customWidth="1"/>
    <col min="4" max="4" width="12.77734375" style="230" customWidth="1"/>
    <col min="5" max="5" width="12.77734375" style="230" bestFit="1" customWidth="1"/>
    <col min="6" max="6" width="8.88671875" style="230"/>
    <col min="7" max="7" width="11.109375" style="230" bestFit="1" customWidth="1"/>
    <col min="8" max="8" width="10.88671875" style="230" bestFit="1" customWidth="1"/>
    <col min="9" max="9" width="10.44140625" style="230" bestFit="1" customWidth="1"/>
    <col min="10" max="10" width="9" style="230" bestFit="1" customWidth="1"/>
    <col min="11" max="11" width="8.88671875" style="230"/>
    <col min="12" max="12" width="14.6640625" style="230" bestFit="1" customWidth="1"/>
    <col min="13" max="13" width="10.88671875" style="230" bestFit="1" customWidth="1"/>
    <col min="14" max="14" width="10.44140625" style="230" bestFit="1" customWidth="1"/>
    <col min="15" max="15" width="9" style="230" bestFit="1" customWidth="1"/>
    <col min="16" max="16384" width="8.88671875" style="230"/>
  </cols>
  <sheetData>
    <row r="1" spans="1:15" x14ac:dyDescent="0.25">
      <c r="G1" s="651" t="s">
        <v>399</v>
      </c>
      <c r="H1" s="651"/>
      <c r="I1" s="651"/>
      <c r="J1" s="651"/>
      <c r="L1" s="651" t="s">
        <v>312</v>
      </c>
      <c r="M1" s="651"/>
      <c r="N1" s="651"/>
      <c r="O1" s="651"/>
    </row>
    <row r="2" spans="1:15" x14ac:dyDescent="0.25">
      <c r="D2" s="650" t="s">
        <v>401</v>
      </c>
      <c r="E2" s="650"/>
      <c r="G2" s="651" t="s">
        <v>390</v>
      </c>
      <c r="H2" s="651"/>
      <c r="I2" s="651"/>
      <c r="J2" s="651"/>
      <c r="L2" s="651" t="s">
        <v>390</v>
      </c>
      <c r="M2" s="651"/>
      <c r="N2" s="651"/>
      <c r="O2" s="651"/>
    </row>
    <row r="3" spans="1:15" ht="15" thickBot="1" x14ac:dyDescent="0.35">
      <c r="A3" s="235" t="s">
        <v>309</v>
      </c>
      <c r="B3" s="235" t="s">
        <v>77</v>
      </c>
      <c r="C3" s="235" t="s">
        <v>310</v>
      </c>
      <c r="D3" s="235" t="s">
        <v>311</v>
      </c>
      <c r="E3" s="235" t="s">
        <v>312</v>
      </c>
      <c r="G3" s="651" t="s">
        <v>391</v>
      </c>
      <c r="H3" s="651"/>
      <c r="I3" s="651"/>
      <c r="J3" s="651"/>
      <c r="L3" s="651" t="s">
        <v>398</v>
      </c>
      <c r="M3" s="651"/>
      <c r="N3" s="651"/>
      <c r="O3" s="651"/>
    </row>
    <row r="4" spans="1:15" ht="13.8" thickBot="1" x14ac:dyDescent="0.3">
      <c r="A4" s="400" t="str">
        <f>+'Distribution Subs 2017'!AY6</f>
        <v>Customer 6</v>
      </c>
      <c r="B4" s="401" t="s">
        <v>313</v>
      </c>
      <c r="C4" s="401" t="s">
        <v>314</v>
      </c>
      <c r="D4" s="402">
        <f>+J7</f>
        <v>0.32154859189976726</v>
      </c>
      <c r="E4" s="403">
        <f>+O7</f>
        <v>0.74899413528799641</v>
      </c>
    </row>
    <row r="5" spans="1:15" ht="14.4" x14ac:dyDescent="0.3">
      <c r="A5" s="404" t="str">
        <f>+'Distribution Subs 2017'!BP6</f>
        <v>Customer 11</v>
      </c>
      <c r="B5" s="405" t="s">
        <v>315</v>
      </c>
      <c r="C5" s="405" t="s">
        <v>316</v>
      </c>
      <c r="D5" s="406">
        <f>+J23</f>
        <v>0.26037455233813622</v>
      </c>
      <c r="E5" s="407">
        <f>+O47</f>
        <v>0.81902227776476</v>
      </c>
      <c r="G5" s="230" t="s">
        <v>392</v>
      </c>
      <c r="L5" s="408" t="s">
        <v>392</v>
      </c>
      <c r="M5" s="408"/>
      <c r="N5" s="408"/>
    </row>
    <row r="6" spans="1:15" ht="15" thickBot="1" x14ac:dyDescent="0.35">
      <c r="A6" s="409"/>
      <c r="B6" s="410"/>
      <c r="C6" s="410" t="s">
        <v>317</v>
      </c>
      <c r="D6" s="411"/>
      <c r="E6" s="412">
        <f>+O49</f>
        <v>0.14932038378209841</v>
      </c>
      <c r="G6" s="230" t="s">
        <v>77</v>
      </c>
      <c r="H6" s="230" t="s">
        <v>394</v>
      </c>
      <c r="I6" s="230" t="s">
        <v>38</v>
      </c>
      <c r="J6" s="408" t="s">
        <v>395</v>
      </c>
      <c r="L6" s="408" t="s">
        <v>393</v>
      </c>
      <c r="M6" s="408" t="s">
        <v>394</v>
      </c>
      <c r="N6" s="408" t="s">
        <v>38</v>
      </c>
      <c r="O6" s="408" t="s">
        <v>395</v>
      </c>
    </row>
    <row r="7" spans="1:15" x14ac:dyDescent="0.25">
      <c r="A7" s="404"/>
      <c r="B7" s="405"/>
      <c r="C7" s="405"/>
      <c r="D7" s="406"/>
      <c r="E7" s="407"/>
      <c r="G7" s="413" t="s">
        <v>313</v>
      </c>
      <c r="H7" s="405" t="s">
        <v>486</v>
      </c>
      <c r="I7" s="414">
        <v>136858.74</v>
      </c>
      <c r="J7" s="415">
        <f>+I7/SUM(I7:I8)</f>
        <v>0.32154859189976726</v>
      </c>
      <c r="L7" s="413" t="s">
        <v>314</v>
      </c>
      <c r="M7" s="405" t="s">
        <v>486</v>
      </c>
      <c r="N7" s="588">
        <v>136858.74</v>
      </c>
      <c r="O7" s="585">
        <f>+N7/SUM(N7:N8)</f>
        <v>0.74899413528799641</v>
      </c>
    </row>
    <row r="8" spans="1:15" ht="13.8" thickBot="1" x14ac:dyDescent="0.3">
      <c r="A8" s="416"/>
      <c r="B8" s="417"/>
      <c r="C8" s="417"/>
      <c r="D8" s="418"/>
      <c r="E8" s="407"/>
      <c r="G8" s="411"/>
      <c r="H8" s="410" t="s">
        <v>396</v>
      </c>
      <c r="I8" s="419">
        <v>288765.08</v>
      </c>
      <c r="J8" s="420"/>
      <c r="L8" s="411"/>
      <c r="M8" s="410" t="s">
        <v>396</v>
      </c>
      <c r="N8" s="589">
        <v>45864.639999999999</v>
      </c>
      <c r="O8" s="586"/>
    </row>
    <row r="9" spans="1:15" ht="13.8" thickBot="1" x14ac:dyDescent="0.3">
      <c r="A9" s="409"/>
      <c r="B9" s="410"/>
      <c r="C9" s="410"/>
      <c r="D9" s="411"/>
      <c r="E9" s="412"/>
      <c r="G9" s="413" t="s">
        <v>337</v>
      </c>
      <c r="H9" s="405" t="s">
        <v>481</v>
      </c>
      <c r="I9" s="414">
        <v>218093.69</v>
      </c>
      <c r="J9" s="415">
        <f>+I9/SUM(I9:I11)</f>
        <v>0.32181510327140345</v>
      </c>
      <c r="L9" s="418" t="s">
        <v>338</v>
      </c>
      <c r="M9" s="417" t="s">
        <v>481</v>
      </c>
      <c r="N9" s="590">
        <v>79862.319999999992</v>
      </c>
      <c r="O9" s="585">
        <f>+N9/SUM(N9:N10)</f>
        <v>0.66005430371666052</v>
      </c>
    </row>
    <row r="10" spans="1:15" ht="13.8" thickBot="1" x14ac:dyDescent="0.3">
      <c r="A10" s="404" t="str">
        <f>+'Distribution Subs 2017'!BS6</f>
        <v>Customer 12</v>
      </c>
      <c r="B10" s="405" t="s">
        <v>318</v>
      </c>
      <c r="C10" s="405" t="s">
        <v>319</v>
      </c>
      <c r="D10" s="406">
        <f>+J14</f>
        <v>0.11829306698490678</v>
      </c>
      <c r="E10" s="407">
        <f>+O26</f>
        <v>0.14732141036083013</v>
      </c>
      <c r="G10" s="418"/>
      <c r="H10" s="417" t="s">
        <v>482</v>
      </c>
      <c r="I10" s="421">
        <v>121088.56</v>
      </c>
      <c r="J10" s="422">
        <f>+I10/SUM(I9:I11)</f>
        <v>0.17867608843422078</v>
      </c>
      <c r="L10" s="411"/>
      <c r="M10" s="410" t="s">
        <v>396</v>
      </c>
      <c r="N10" s="589">
        <v>41131.24</v>
      </c>
      <c r="O10" s="586"/>
    </row>
    <row r="11" spans="1:15" ht="13.8" thickBot="1" x14ac:dyDescent="0.3">
      <c r="A11" s="409"/>
      <c r="B11" s="410"/>
      <c r="C11" s="410" t="s">
        <v>320</v>
      </c>
      <c r="D11" s="411"/>
      <c r="E11" s="412">
        <f>+O28</f>
        <v>0.32132558456859223</v>
      </c>
      <c r="G11" s="411"/>
      <c r="H11" s="410" t="s">
        <v>396</v>
      </c>
      <c r="I11" s="419">
        <v>338516.49</v>
      </c>
      <c r="J11" s="420"/>
      <c r="L11" s="418" t="s">
        <v>339</v>
      </c>
      <c r="M11" s="417" t="s">
        <v>481</v>
      </c>
      <c r="N11" s="590">
        <v>8361.7799999999988</v>
      </c>
      <c r="O11" s="585">
        <f>+N11/SUM(N11:N12)</f>
        <v>0.13196279062720745</v>
      </c>
    </row>
    <row r="12" spans="1:15" ht="13.8" thickBot="1" x14ac:dyDescent="0.3">
      <c r="A12" s="423" t="str">
        <f>+'Distribution Subs 2017'!AO6</f>
        <v>Customer 4</v>
      </c>
      <c r="B12" s="424" t="s">
        <v>321</v>
      </c>
      <c r="C12" s="424" t="s">
        <v>322</v>
      </c>
      <c r="D12" s="425">
        <f>+J27</f>
        <v>0.11459241048636366</v>
      </c>
      <c r="E12" s="412">
        <f>+O57</f>
        <v>0.81071155725354804</v>
      </c>
      <c r="G12" s="413" t="s">
        <v>343</v>
      </c>
      <c r="H12" s="405" t="s">
        <v>482</v>
      </c>
      <c r="I12" s="414">
        <v>261889.57</v>
      </c>
      <c r="J12" s="415">
        <f>+I12/SUM(I12:I13)</f>
        <v>0.4737240627781194</v>
      </c>
      <c r="L12" s="411"/>
      <c r="M12" s="410" t="s">
        <v>396</v>
      </c>
      <c r="N12" s="589">
        <v>55002.9</v>
      </c>
      <c r="O12" s="586"/>
    </row>
    <row r="13" spans="1:15" ht="13.8" thickBot="1" x14ac:dyDescent="0.3">
      <c r="A13" s="423" t="str">
        <f>+'Distribution Subs 2017'!BM6</f>
        <v>Customer 10</v>
      </c>
      <c r="B13" s="424" t="s">
        <v>323</v>
      </c>
      <c r="C13" s="424" t="s">
        <v>324</v>
      </c>
      <c r="D13" s="425">
        <f>+J31</f>
        <v>0.23157876910399916</v>
      </c>
      <c r="E13" s="412">
        <f>+O62</f>
        <v>0.59916444069424935</v>
      </c>
      <c r="G13" s="411"/>
      <c r="H13" s="410" t="s">
        <v>396</v>
      </c>
      <c r="I13" s="419">
        <v>290941.90000000002</v>
      </c>
      <c r="J13" s="420"/>
      <c r="L13" s="418" t="s">
        <v>356</v>
      </c>
      <c r="M13" s="417" t="s">
        <v>482</v>
      </c>
      <c r="N13" s="590">
        <v>54062.380000000005</v>
      </c>
      <c r="O13" s="585">
        <f>+N13/SUM(N13:N14)</f>
        <v>0.39170102775332477</v>
      </c>
    </row>
    <row r="14" spans="1:15" ht="13.8" thickBot="1" x14ac:dyDescent="0.3">
      <c r="A14" s="423" t="str">
        <f>+'Distribution Subs 2017'!BC6</f>
        <v>Customer 8</v>
      </c>
      <c r="B14" s="424" t="s">
        <v>325</v>
      </c>
      <c r="C14" s="424" t="s">
        <v>326</v>
      </c>
      <c r="D14" s="425">
        <f>+J34</f>
        <v>0.1281408609731321</v>
      </c>
      <c r="E14" s="412">
        <f>+O64</f>
        <v>0.71878590773037188</v>
      </c>
      <c r="G14" s="413" t="s">
        <v>318</v>
      </c>
      <c r="H14" s="405" t="s">
        <v>491</v>
      </c>
      <c r="I14" s="414">
        <v>65470.54</v>
      </c>
      <c r="J14" s="415">
        <f>+I14/SUM(I14:I15)</f>
        <v>0.11829306698490678</v>
      </c>
      <c r="L14" s="411"/>
      <c r="M14" s="410" t="s">
        <v>396</v>
      </c>
      <c r="N14" s="589">
        <v>83957.119999999995</v>
      </c>
      <c r="O14" s="586"/>
    </row>
    <row r="15" spans="1:15" ht="13.8" thickBot="1" x14ac:dyDescent="0.3">
      <c r="A15" s="404"/>
      <c r="B15" s="405"/>
      <c r="C15" s="405"/>
      <c r="D15" s="406"/>
      <c r="E15" s="407"/>
      <c r="G15" s="411"/>
      <c r="H15" s="410" t="s">
        <v>396</v>
      </c>
      <c r="I15" s="419">
        <v>487989.95999999996</v>
      </c>
      <c r="J15" s="420"/>
      <c r="L15" s="418" t="s">
        <v>340</v>
      </c>
      <c r="M15" s="417" t="s">
        <v>481</v>
      </c>
      <c r="N15" s="590">
        <v>76963.64</v>
      </c>
      <c r="O15" s="585">
        <f>+N15/SUM(N15:N16)</f>
        <v>0.99054853406780097</v>
      </c>
    </row>
    <row r="16" spans="1:15" ht="13.8" thickBot="1" x14ac:dyDescent="0.3">
      <c r="A16" s="409"/>
      <c r="B16" s="410"/>
      <c r="C16" s="410"/>
      <c r="D16" s="411"/>
      <c r="E16" s="412"/>
      <c r="G16" s="413" t="s">
        <v>331</v>
      </c>
      <c r="H16" s="405" t="s">
        <v>488</v>
      </c>
      <c r="I16" s="414">
        <v>85496.06</v>
      </c>
      <c r="J16" s="415">
        <f>+I16/SUM(I16:I17)</f>
        <v>0.15277667061706371</v>
      </c>
      <c r="L16" s="411"/>
      <c r="M16" s="410" t="s">
        <v>396</v>
      </c>
      <c r="N16" s="589">
        <v>734.3599999999999</v>
      </c>
      <c r="O16" s="586"/>
    </row>
    <row r="17" spans="1:15" ht="13.8" thickBot="1" x14ac:dyDescent="0.3">
      <c r="A17" s="404" t="str">
        <f>+'Distribution Subs 2017'!AT6</f>
        <v>Customer 5</v>
      </c>
      <c r="B17" s="405" t="s">
        <v>327</v>
      </c>
      <c r="C17" s="405" t="s">
        <v>328</v>
      </c>
      <c r="D17" s="406">
        <f>+J41</f>
        <v>0.27028222335840618</v>
      </c>
      <c r="E17" s="407">
        <f>+O76</f>
        <v>1.1971383880910406E-2</v>
      </c>
      <c r="G17" s="411"/>
      <c r="H17" s="410" t="s">
        <v>396</v>
      </c>
      <c r="I17" s="419">
        <v>474118.57000000007</v>
      </c>
      <c r="J17" s="420"/>
      <c r="L17" s="418" t="s">
        <v>341</v>
      </c>
      <c r="M17" s="417" t="s">
        <v>481</v>
      </c>
      <c r="N17" s="590">
        <v>5649.3600000000006</v>
      </c>
      <c r="O17" s="585">
        <f>+N17/SUM(N17:N18)</f>
        <v>7.7733994133376921E-2</v>
      </c>
    </row>
    <row r="18" spans="1:15" ht="13.8" thickBot="1" x14ac:dyDescent="0.3">
      <c r="A18" s="416"/>
      <c r="B18" s="417"/>
      <c r="C18" s="417" t="s">
        <v>329</v>
      </c>
      <c r="D18" s="418"/>
      <c r="E18" s="407">
        <f>+O78</f>
        <v>3.4704090677141863E-2</v>
      </c>
      <c r="G18" s="413" t="s">
        <v>345</v>
      </c>
      <c r="H18" s="405" t="s">
        <v>481</v>
      </c>
      <c r="I18" s="414">
        <v>458631.64</v>
      </c>
      <c r="J18" s="415">
        <f>+I18/SUM(I18:I20)</f>
        <v>0.56249568667565519</v>
      </c>
      <c r="L18" s="411"/>
      <c r="M18" s="410" t="s">
        <v>482</v>
      </c>
      <c r="N18" s="589">
        <v>67026.180000000008</v>
      </c>
      <c r="O18" s="586">
        <f>+N18/SUM(N17:N18)</f>
        <v>0.92226600586662311</v>
      </c>
    </row>
    <row r="19" spans="1:15" ht="13.8" thickBot="1" x14ac:dyDescent="0.3">
      <c r="A19" s="409"/>
      <c r="B19" s="410"/>
      <c r="C19" s="410" t="s">
        <v>330</v>
      </c>
      <c r="D19" s="411"/>
      <c r="E19" s="412">
        <f>+O80</f>
        <v>1</v>
      </c>
      <c r="G19" s="418"/>
      <c r="H19" s="417" t="s">
        <v>482</v>
      </c>
      <c r="I19" s="421">
        <v>154375.16999999998</v>
      </c>
      <c r="J19" s="422">
        <f>+I19/SUM(I18:I20)</f>
        <v>0.18933575375397343</v>
      </c>
      <c r="L19" s="426" t="s">
        <v>342</v>
      </c>
      <c r="M19" s="424" t="s">
        <v>481</v>
      </c>
      <c r="N19" s="427">
        <v>47256.62</v>
      </c>
      <c r="O19" s="585">
        <f>+N19/SUM(N19)</f>
        <v>1</v>
      </c>
    </row>
    <row r="20" spans="1:15" ht="13.8" thickBot="1" x14ac:dyDescent="0.3">
      <c r="A20" s="404" t="str">
        <f>+'Distribution Subs 2017'!BG6</f>
        <v>Customer 9</v>
      </c>
      <c r="B20" s="405" t="s">
        <v>331</v>
      </c>
      <c r="C20" s="405" t="s">
        <v>332</v>
      </c>
      <c r="D20" s="406">
        <f>+J16</f>
        <v>0.15277667061706371</v>
      </c>
      <c r="E20" s="407">
        <f>+O30</f>
        <v>0.61907456143251716</v>
      </c>
      <c r="G20" s="411"/>
      <c r="H20" s="410" t="s">
        <v>396</v>
      </c>
      <c r="I20" s="419">
        <v>202344.58000000002</v>
      </c>
      <c r="J20" s="420"/>
      <c r="L20" s="426" t="s">
        <v>357</v>
      </c>
      <c r="M20" s="424" t="s">
        <v>482</v>
      </c>
      <c r="N20" s="427">
        <v>47367.799999999996</v>
      </c>
      <c r="O20" s="585">
        <f>+N20/SUM(N20)</f>
        <v>1</v>
      </c>
    </row>
    <row r="21" spans="1:15" x14ac:dyDescent="0.25">
      <c r="A21" s="416"/>
      <c r="B21" s="417"/>
      <c r="C21" s="417" t="s">
        <v>333</v>
      </c>
      <c r="D21" s="418"/>
      <c r="E21" s="407">
        <f>+O32</f>
        <v>1</v>
      </c>
      <c r="G21" s="413" t="s">
        <v>400</v>
      </c>
      <c r="H21" s="405" t="s">
        <v>492</v>
      </c>
      <c r="I21" s="414">
        <v>28289.279999999999</v>
      </c>
      <c r="J21" s="415">
        <f>+I21/SUM(I21:I22)</f>
        <v>8.1069618910077329E-2</v>
      </c>
      <c r="L21" s="418" t="s">
        <v>358</v>
      </c>
      <c r="M21" s="417" t="s">
        <v>482</v>
      </c>
      <c r="N21" s="590">
        <v>84287.280000000013</v>
      </c>
      <c r="O21" s="585">
        <f>+N21/SUM(N21:N22)</f>
        <v>0.99656811962135583</v>
      </c>
    </row>
    <row r="22" spans="1:15" ht="13.8" thickBot="1" x14ac:dyDescent="0.3">
      <c r="A22" s="409"/>
      <c r="B22" s="410" t="s">
        <v>325</v>
      </c>
      <c r="C22" s="410" t="s">
        <v>334</v>
      </c>
      <c r="D22" s="425">
        <f>+J33</f>
        <v>4.702833456217248E-2</v>
      </c>
      <c r="E22" s="412">
        <f>+O66</f>
        <v>0.40171477592504601</v>
      </c>
      <c r="G22" s="411"/>
      <c r="H22" s="410" t="s">
        <v>396</v>
      </c>
      <c r="I22" s="419">
        <v>320661.17000000004</v>
      </c>
      <c r="J22" s="420"/>
      <c r="L22" s="411"/>
      <c r="M22" s="410" t="s">
        <v>396</v>
      </c>
      <c r="N22" s="589">
        <v>290.26000000000005</v>
      </c>
      <c r="O22" s="586"/>
    </row>
    <row r="23" spans="1:15" ht="13.8" thickBot="1" x14ac:dyDescent="0.3">
      <c r="A23" s="423" t="str">
        <f>+'Distribution Subs 2017'!AI6</f>
        <v>Customer 3</v>
      </c>
      <c r="B23" s="424" t="s">
        <v>335</v>
      </c>
      <c r="C23" s="424" t="s">
        <v>336</v>
      </c>
      <c r="D23" s="425">
        <f>+J39</f>
        <v>0.23707129678602468</v>
      </c>
      <c r="E23" s="412">
        <f>+O74</f>
        <v>0.90540586649682109</v>
      </c>
      <c r="G23" s="413" t="s">
        <v>315</v>
      </c>
      <c r="H23" s="405" t="s">
        <v>490</v>
      </c>
      <c r="I23" s="414">
        <v>118242.19</v>
      </c>
      <c r="J23" s="415">
        <f>+I23/SUM(I23:I24)</f>
        <v>0.26037455233813622</v>
      </c>
      <c r="L23" s="426" t="s">
        <v>344</v>
      </c>
      <c r="M23" s="424" t="s">
        <v>482</v>
      </c>
      <c r="N23" s="427">
        <v>15902.52</v>
      </c>
      <c r="O23" s="585">
        <f>+N23/SUM(N23)</f>
        <v>1</v>
      </c>
    </row>
    <row r="24" spans="1:15" ht="13.8" thickBot="1" x14ac:dyDescent="0.3">
      <c r="A24" s="404" t="str">
        <f>+'Distribution Subs 2017'!D6</f>
        <v>Customer 1</v>
      </c>
      <c r="B24" s="405" t="s">
        <v>337</v>
      </c>
      <c r="C24" s="405" t="s">
        <v>338</v>
      </c>
      <c r="D24" s="406">
        <f>+J9</f>
        <v>0.32181510327140345</v>
      </c>
      <c r="E24" s="407">
        <f>+O9</f>
        <v>0.66005430371666052</v>
      </c>
      <c r="G24" s="411"/>
      <c r="H24" s="410" t="s">
        <v>396</v>
      </c>
      <c r="I24" s="419">
        <v>335881.26</v>
      </c>
      <c r="J24" s="420"/>
      <c r="L24" s="418" t="s">
        <v>359</v>
      </c>
      <c r="M24" s="417" t="s">
        <v>482</v>
      </c>
      <c r="N24" s="590">
        <v>114331.95999999999</v>
      </c>
      <c r="O24" s="585">
        <f>+N24/SUM(N24:N25)</f>
        <v>0.79027401087494609</v>
      </c>
    </row>
    <row r="25" spans="1:15" ht="13.8" thickBot="1" x14ac:dyDescent="0.3">
      <c r="A25" s="416"/>
      <c r="B25" s="417"/>
      <c r="C25" s="417" t="s">
        <v>339</v>
      </c>
      <c r="D25" s="418"/>
      <c r="E25" s="407">
        <f>+O11</f>
        <v>0.13196279062720745</v>
      </c>
      <c r="G25" s="413"/>
      <c r="H25" s="405"/>
      <c r="I25" s="414"/>
      <c r="J25" s="415"/>
      <c r="L25" s="411"/>
      <c r="M25" s="410" t="s">
        <v>396</v>
      </c>
      <c r="N25" s="589">
        <v>30341.860000000004</v>
      </c>
      <c r="O25" s="586"/>
    </row>
    <row r="26" spans="1:15" ht="13.8" thickBot="1" x14ac:dyDescent="0.3">
      <c r="A26" s="416"/>
      <c r="B26" s="417"/>
      <c r="C26" s="417" t="s">
        <v>340</v>
      </c>
      <c r="D26" s="418"/>
      <c r="E26" s="407">
        <f>+O15</f>
        <v>0.99054853406780097</v>
      </c>
      <c r="G26" s="411"/>
      <c r="H26" s="410"/>
      <c r="I26" s="419"/>
      <c r="J26" s="420"/>
      <c r="L26" s="418" t="s">
        <v>319</v>
      </c>
      <c r="M26" s="417" t="s">
        <v>491</v>
      </c>
      <c r="N26" s="590">
        <v>21669.3</v>
      </c>
      <c r="O26" s="585">
        <f>+N26/SUM(N26:N27)</f>
        <v>0.14732141036083013</v>
      </c>
    </row>
    <row r="27" spans="1:15" ht="13.8" thickBot="1" x14ac:dyDescent="0.3">
      <c r="A27" s="416"/>
      <c r="B27" s="417"/>
      <c r="C27" s="417" t="s">
        <v>341</v>
      </c>
      <c r="D27" s="418"/>
      <c r="E27" s="407">
        <f>+O17</f>
        <v>7.7733994133376921E-2</v>
      </c>
      <c r="G27" s="413" t="s">
        <v>321</v>
      </c>
      <c r="H27" s="405" t="s">
        <v>484</v>
      </c>
      <c r="I27" s="414">
        <v>101597.73999999999</v>
      </c>
      <c r="J27" s="415">
        <f>+I27/SUM(I27:I28)</f>
        <v>0.11459241048636366</v>
      </c>
      <c r="L27" s="411"/>
      <c r="M27" s="410" t="s">
        <v>396</v>
      </c>
      <c r="N27" s="589">
        <v>125419.3</v>
      </c>
      <c r="O27" s="586"/>
    </row>
    <row r="28" spans="1:15" ht="13.8" thickBot="1" x14ac:dyDescent="0.3">
      <c r="A28" s="416"/>
      <c r="B28" s="417"/>
      <c r="C28" s="417" t="s">
        <v>342</v>
      </c>
      <c r="D28" s="418"/>
      <c r="E28" s="407">
        <f>+O19</f>
        <v>1</v>
      </c>
      <c r="G28" s="411"/>
      <c r="H28" s="410" t="s">
        <v>396</v>
      </c>
      <c r="I28" s="419">
        <v>785003.21000000008</v>
      </c>
      <c r="J28" s="420"/>
      <c r="L28" s="418" t="s">
        <v>320</v>
      </c>
      <c r="M28" s="417" t="s">
        <v>491</v>
      </c>
      <c r="N28" s="590">
        <v>43801.239999999991</v>
      </c>
      <c r="O28" s="585">
        <f>+N28/SUM(N28:N29)</f>
        <v>0.32132558456859223</v>
      </c>
    </row>
    <row r="29" spans="1:15" ht="13.8" thickBot="1" x14ac:dyDescent="0.3">
      <c r="A29" s="416"/>
      <c r="B29" s="417" t="s">
        <v>343</v>
      </c>
      <c r="C29" s="417" t="s">
        <v>344</v>
      </c>
      <c r="D29" s="406">
        <v>0</v>
      </c>
      <c r="E29" s="407">
        <v>0</v>
      </c>
      <c r="G29" s="413" t="s">
        <v>352</v>
      </c>
      <c r="H29" s="405" t="s">
        <v>481</v>
      </c>
      <c r="I29" s="414">
        <v>211683.39</v>
      </c>
      <c r="J29" s="415">
        <f>+I29/SUM(I29:I30)</f>
        <v>0.49965050044974435</v>
      </c>
      <c r="L29" s="411"/>
      <c r="M29" s="410" t="s">
        <v>396</v>
      </c>
      <c r="N29" s="589">
        <v>92512.959999999992</v>
      </c>
      <c r="O29" s="586"/>
    </row>
    <row r="30" spans="1:15" ht="13.8" thickBot="1" x14ac:dyDescent="0.3">
      <c r="A30" s="416"/>
      <c r="B30" s="417" t="s">
        <v>345</v>
      </c>
      <c r="C30" s="417" t="s">
        <v>346</v>
      </c>
      <c r="D30" s="406">
        <f>+J18</f>
        <v>0.56249568667565519</v>
      </c>
      <c r="E30" s="407">
        <f>+O35</f>
        <v>1</v>
      </c>
      <c r="G30" s="411"/>
      <c r="H30" s="410" t="s">
        <v>396</v>
      </c>
      <c r="I30" s="419">
        <v>211979.53000000003</v>
      </c>
      <c r="J30" s="420"/>
      <c r="L30" s="418" t="s">
        <v>332</v>
      </c>
      <c r="M30" s="417" t="s">
        <v>488</v>
      </c>
      <c r="N30" s="590">
        <v>61777.240000000005</v>
      </c>
      <c r="O30" s="585">
        <f>+N30/SUM(N30:N31)</f>
        <v>0.61907456143251716</v>
      </c>
    </row>
    <row r="31" spans="1:15" ht="13.8" thickBot="1" x14ac:dyDescent="0.3">
      <c r="A31" s="416"/>
      <c r="B31" s="417"/>
      <c r="C31" s="417" t="s">
        <v>347</v>
      </c>
      <c r="D31" s="418"/>
      <c r="E31" s="407">
        <f>+O36</f>
        <v>0.78107684939133637</v>
      </c>
      <c r="G31" s="413" t="s">
        <v>323</v>
      </c>
      <c r="H31" s="405" t="s">
        <v>489</v>
      </c>
      <c r="I31" s="414">
        <v>117873.92000000001</v>
      </c>
      <c r="J31" s="415">
        <f>+I31/SUM(I31:I32)</f>
        <v>0.23157876910399916</v>
      </c>
      <c r="L31" s="411"/>
      <c r="M31" s="410" t="s">
        <v>396</v>
      </c>
      <c r="N31" s="589">
        <v>38012.42</v>
      </c>
      <c r="O31" s="586"/>
    </row>
    <row r="32" spans="1:15" ht="13.8" thickBot="1" x14ac:dyDescent="0.3">
      <c r="A32" s="416"/>
      <c r="B32" s="417"/>
      <c r="C32" s="417" t="s">
        <v>348</v>
      </c>
      <c r="D32" s="418"/>
      <c r="E32" s="407">
        <f>+O38</f>
        <v>0.79305214800039225</v>
      </c>
      <c r="G32" s="411"/>
      <c r="H32" s="410" t="s">
        <v>396</v>
      </c>
      <c r="I32" s="419">
        <v>391127.49</v>
      </c>
      <c r="J32" s="420"/>
      <c r="L32" s="426" t="s">
        <v>333</v>
      </c>
      <c r="M32" s="424" t="s">
        <v>488</v>
      </c>
      <c r="N32" s="427">
        <v>23718.819999999996</v>
      </c>
      <c r="O32" s="585">
        <f>+N32/SUM(N32)</f>
        <v>1</v>
      </c>
    </row>
    <row r="33" spans="1:15" x14ac:dyDescent="0.25">
      <c r="A33" s="416"/>
      <c r="B33" s="417"/>
      <c r="C33" s="417" t="s">
        <v>349</v>
      </c>
      <c r="D33" s="418"/>
      <c r="E33" s="407">
        <f>+O40</f>
        <v>0.42992740518217387</v>
      </c>
      <c r="G33" s="413" t="s">
        <v>325</v>
      </c>
      <c r="H33" s="405" t="s">
        <v>488</v>
      </c>
      <c r="I33" s="414">
        <v>41769.739999999991</v>
      </c>
      <c r="J33" s="415">
        <f>+I33/SUM(I33:I35)</f>
        <v>4.702833456217248E-2</v>
      </c>
      <c r="L33" s="418" t="s">
        <v>360</v>
      </c>
      <c r="M33" s="417" t="s">
        <v>482</v>
      </c>
      <c r="N33" s="590">
        <v>127018.75999999998</v>
      </c>
      <c r="O33" s="585">
        <f>+N33/SUM(N33:N34)</f>
        <v>0.91951627556800708</v>
      </c>
    </row>
    <row r="34" spans="1:15" ht="13.8" thickBot="1" x14ac:dyDescent="0.3">
      <c r="A34" s="416"/>
      <c r="B34" s="417"/>
      <c r="C34" s="417" t="s">
        <v>350</v>
      </c>
      <c r="D34" s="418"/>
      <c r="E34" s="407">
        <f>+O42</f>
        <v>0.99537702607470058</v>
      </c>
      <c r="G34" s="418"/>
      <c r="H34" s="417" t="s">
        <v>487</v>
      </c>
      <c r="I34" s="421">
        <v>113812.46</v>
      </c>
      <c r="J34" s="422">
        <f>+I34/SUM(I33:I35)</f>
        <v>0.1281408609731321</v>
      </c>
      <c r="L34" s="411"/>
      <c r="M34" s="410" t="s">
        <v>396</v>
      </c>
      <c r="N34" s="589">
        <v>11117.74</v>
      </c>
      <c r="O34" s="586"/>
    </row>
    <row r="35" spans="1:15" ht="13.8" thickBot="1" x14ac:dyDescent="0.3">
      <c r="A35" s="416"/>
      <c r="B35" s="417"/>
      <c r="C35" s="417" t="s">
        <v>351</v>
      </c>
      <c r="D35" s="418"/>
      <c r="E35" s="407">
        <f>+O44</f>
        <v>1</v>
      </c>
      <c r="G35" s="411"/>
      <c r="H35" s="410" t="s">
        <v>396</v>
      </c>
      <c r="I35" s="419">
        <v>732600.22</v>
      </c>
      <c r="J35" s="420"/>
      <c r="L35" s="426" t="s">
        <v>346</v>
      </c>
      <c r="M35" s="424" t="s">
        <v>481</v>
      </c>
      <c r="N35" s="427">
        <v>54105.1</v>
      </c>
      <c r="O35" s="585">
        <f>+N35/SUM(N35)</f>
        <v>1</v>
      </c>
    </row>
    <row r="36" spans="1:15" x14ac:dyDescent="0.25">
      <c r="A36" s="416"/>
      <c r="B36" s="417" t="s">
        <v>352</v>
      </c>
      <c r="C36" s="417" t="s">
        <v>353</v>
      </c>
      <c r="D36" s="406">
        <f>+J29</f>
        <v>0.49965050044974435</v>
      </c>
      <c r="E36" s="407">
        <f>+O59</f>
        <v>1</v>
      </c>
      <c r="G36" s="413"/>
      <c r="H36" s="405"/>
      <c r="I36" s="414"/>
      <c r="J36" s="415"/>
      <c r="L36" s="418" t="s">
        <v>347</v>
      </c>
      <c r="M36" s="417" t="s">
        <v>481</v>
      </c>
      <c r="N36" s="590">
        <v>25701.24</v>
      </c>
      <c r="O36" s="585">
        <f>+N36/SUM(N36:N37)</f>
        <v>0.78107684939133637</v>
      </c>
    </row>
    <row r="37" spans="1:15" ht="13.8" thickBot="1" x14ac:dyDescent="0.3">
      <c r="A37" s="416"/>
      <c r="B37" s="417"/>
      <c r="C37" s="417" t="s">
        <v>354</v>
      </c>
      <c r="D37" s="418"/>
      <c r="E37" s="407">
        <f>+O60</f>
        <v>0.91106875046786551</v>
      </c>
      <c r="G37" s="411"/>
      <c r="H37" s="410"/>
      <c r="I37" s="419"/>
      <c r="J37" s="420"/>
      <c r="L37" s="411"/>
      <c r="M37" s="410" t="s">
        <v>396</v>
      </c>
      <c r="N37" s="589">
        <v>7203.6399999999994</v>
      </c>
      <c r="O37" s="586"/>
    </row>
    <row r="38" spans="1:15" ht="13.8" thickBot="1" x14ac:dyDescent="0.3">
      <c r="A38" s="409"/>
      <c r="B38" s="410" t="s">
        <v>335</v>
      </c>
      <c r="C38" s="410" t="s">
        <v>355</v>
      </c>
      <c r="D38" s="425">
        <f>+J38</f>
        <v>0.25688835928300341</v>
      </c>
      <c r="E38" s="412">
        <f>+O72</f>
        <v>0.64852186988158844</v>
      </c>
      <c r="G38" s="413" t="s">
        <v>335</v>
      </c>
      <c r="H38" s="405" t="s">
        <v>481</v>
      </c>
      <c r="I38" s="414">
        <v>144917.4</v>
      </c>
      <c r="J38" s="415">
        <f>+I38/SUM(I38:I40)</f>
        <v>0.25688835928300341</v>
      </c>
      <c r="L38" s="418" t="s">
        <v>348</v>
      </c>
      <c r="M38" s="417" t="s">
        <v>481</v>
      </c>
      <c r="N38" s="590">
        <v>104833.5</v>
      </c>
      <c r="O38" s="585">
        <f>+N38/SUM(N38:N39)</f>
        <v>0.79305214800039225</v>
      </c>
    </row>
    <row r="39" spans="1:15" ht="13.8" thickBot="1" x14ac:dyDescent="0.3">
      <c r="A39" s="404" t="str">
        <f>+'Distribution Subs 2017'!Y6</f>
        <v>Customer 2</v>
      </c>
      <c r="B39" s="405" t="s">
        <v>337</v>
      </c>
      <c r="C39" s="405" t="s">
        <v>356</v>
      </c>
      <c r="D39" s="406">
        <f>+J10</f>
        <v>0.17867608843422078</v>
      </c>
      <c r="E39" s="407">
        <f>+O13</f>
        <v>0.39170102775332477</v>
      </c>
      <c r="G39" s="418"/>
      <c r="H39" s="417" t="s">
        <v>483</v>
      </c>
      <c r="I39" s="421">
        <v>133738.07999999999</v>
      </c>
      <c r="J39" s="422">
        <f>+I39/SUM(I38:I40)</f>
        <v>0.23707129678602468</v>
      </c>
      <c r="L39" s="411"/>
      <c r="M39" s="410" t="s">
        <v>482</v>
      </c>
      <c r="N39" s="589">
        <v>27356.42</v>
      </c>
      <c r="O39" s="586">
        <f>+N39/SUM(N38:N39)</f>
        <v>0.20694785199960786</v>
      </c>
    </row>
    <row r="40" spans="1:15" ht="13.8" thickBot="1" x14ac:dyDescent="0.3">
      <c r="A40" s="416"/>
      <c r="B40" s="417" t="s">
        <v>343</v>
      </c>
      <c r="C40" s="417" t="s">
        <v>357</v>
      </c>
      <c r="D40" s="406">
        <f>+J12</f>
        <v>0.4737240627781194</v>
      </c>
      <c r="E40" s="407">
        <f>+O20</f>
        <v>1</v>
      </c>
      <c r="G40" s="411"/>
      <c r="H40" s="410" t="s">
        <v>396</v>
      </c>
      <c r="I40" s="419">
        <v>285470.51</v>
      </c>
      <c r="J40" s="420"/>
      <c r="L40" s="418" t="s">
        <v>349</v>
      </c>
      <c r="M40" s="417" t="s">
        <v>481</v>
      </c>
      <c r="N40" s="590">
        <v>29292.819999999996</v>
      </c>
      <c r="O40" s="585">
        <f>+N40/SUM(N40:N41)</f>
        <v>0.42992740518217387</v>
      </c>
    </row>
    <row r="41" spans="1:15" ht="13.8" thickBot="1" x14ac:dyDescent="0.3">
      <c r="A41" s="416"/>
      <c r="B41" s="417"/>
      <c r="C41" s="417" t="s">
        <v>358</v>
      </c>
      <c r="D41" s="418"/>
      <c r="E41" s="407">
        <f>+O21</f>
        <v>0.99656811962135583</v>
      </c>
      <c r="G41" s="413" t="s">
        <v>327</v>
      </c>
      <c r="H41" s="405" t="s">
        <v>485</v>
      </c>
      <c r="I41" s="414">
        <v>127781.76999999999</v>
      </c>
      <c r="J41" s="415">
        <f>+I41/SUM(I41:I42)</f>
        <v>0.27028222335840618</v>
      </c>
      <c r="L41" s="411"/>
      <c r="M41" s="410" t="s">
        <v>396</v>
      </c>
      <c r="N41" s="589">
        <v>38841.519999999997</v>
      </c>
      <c r="O41" s="586"/>
    </row>
    <row r="42" spans="1:15" ht="13.8" thickBot="1" x14ac:dyDescent="0.3">
      <c r="A42" s="416"/>
      <c r="B42" s="417"/>
      <c r="C42" s="417" t="s">
        <v>359</v>
      </c>
      <c r="D42" s="418"/>
      <c r="E42" s="407">
        <f>+O24</f>
        <v>0.79027401087494609</v>
      </c>
      <c r="G42" s="411"/>
      <c r="H42" s="410" t="s">
        <v>396</v>
      </c>
      <c r="I42" s="419">
        <v>344989.87</v>
      </c>
      <c r="J42" s="420"/>
      <c r="L42" s="418" t="s">
        <v>350</v>
      </c>
      <c r="M42" s="417" t="s">
        <v>481</v>
      </c>
      <c r="N42" s="590">
        <v>126413.37999999999</v>
      </c>
      <c r="O42" s="585">
        <f>+N42/SUM(N42:N43)</f>
        <v>0.99537702607470058</v>
      </c>
    </row>
    <row r="43" spans="1:15" ht="13.8" thickBot="1" x14ac:dyDescent="0.3">
      <c r="A43" s="416"/>
      <c r="B43" s="417" t="s">
        <v>345</v>
      </c>
      <c r="C43" s="417" t="s">
        <v>360</v>
      </c>
      <c r="D43" s="406">
        <f>+J19</f>
        <v>0.18933575375397343</v>
      </c>
      <c r="E43" s="407">
        <f>+O33</f>
        <v>0.91951627556800708</v>
      </c>
      <c r="G43" s="426" t="s">
        <v>86</v>
      </c>
      <c r="H43" s="424"/>
      <c r="I43" s="427">
        <v>9634341.0899999999</v>
      </c>
      <c r="L43" s="411"/>
      <c r="M43" s="410" t="s">
        <v>396</v>
      </c>
      <c r="N43" s="589">
        <v>587.12</v>
      </c>
      <c r="O43" s="586"/>
    </row>
    <row r="44" spans="1:15" ht="13.8" thickBot="1" x14ac:dyDescent="0.3">
      <c r="A44" s="428"/>
      <c r="B44" s="429"/>
      <c r="C44" s="429" t="s">
        <v>348</v>
      </c>
      <c r="D44" s="411"/>
      <c r="E44" s="412">
        <f>+O39</f>
        <v>0.20694785199960786</v>
      </c>
      <c r="L44" s="426" t="s">
        <v>351</v>
      </c>
      <c r="M44" s="424" t="s">
        <v>481</v>
      </c>
      <c r="N44" s="427">
        <v>118285.56</v>
      </c>
      <c r="O44" s="585">
        <f>+N44/SUM(N44)</f>
        <v>1</v>
      </c>
    </row>
    <row r="45" spans="1:15" ht="13.8" thickBot="1" x14ac:dyDescent="0.3">
      <c r="A45" s="400" t="str">
        <f>+'Distribution Subs 2017'!CE6</f>
        <v>Customer 7</v>
      </c>
      <c r="B45" s="401" t="str">
        <f>+G21</f>
        <v>FLC</v>
      </c>
      <c r="C45" s="401" t="str">
        <f>+L45</f>
        <v>FLC-14</v>
      </c>
      <c r="D45" s="402">
        <f>+J21</f>
        <v>8.1069618910077329E-2</v>
      </c>
      <c r="E45" s="403">
        <f>+O45</f>
        <v>0.38600289761971107</v>
      </c>
      <c r="L45" s="418" t="s">
        <v>397</v>
      </c>
      <c r="M45" s="417" t="s">
        <v>492</v>
      </c>
      <c r="N45" s="590">
        <v>28289.279999999999</v>
      </c>
      <c r="O45" s="585">
        <f>+N45/SUM(N45:N46)</f>
        <v>0.38600289761971107</v>
      </c>
    </row>
    <row r="46" spans="1:15" ht="13.8" thickBot="1" x14ac:dyDescent="0.3">
      <c r="L46" s="411"/>
      <c r="M46" s="410" t="s">
        <v>396</v>
      </c>
      <c r="N46" s="589">
        <v>44998.46</v>
      </c>
      <c r="O46" s="586"/>
    </row>
    <row r="47" spans="1:15" x14ac:dyDescent="0.25">
      <c r="L47" s="418" t="s">
        <v>316</v>
      </c>
      <c r="M47" s="417" t="s">
        <v>490</v>
      </c>
      <c r="N47" s="590">
        <v>94373.48</v>
      </c>
      <c r="O47" s="585">
        <f>+N47/SUM(N47:N48)</f>
        <v>0.81902227776476</v>
      </c>
    </row>
    <row r="48" spans="1:15" ht="13.8" thickBot="1" x14ac:dyDescent="0.3">
      <c r="L48" s="411"/>
      <c r="M48" s="410" t="s">
        <v>396</v>
      </c>
      <c r="N48" s="589">
        <v>20853.52</v>
      </c>
      <c r="O48" s="586"/>
    </row>
    <row r="49" spans="12:15" x14ac:dyDescent="0.25">
      <c r="L49" s="418" t="s">
        <v>317</v>
      </c>
      <c r="M49" s="417" t="s">
        <v>490</v>
      </c>
      <c r="N49" s="590">
        <v>23868.720000000001</v>
      </c>
      <c r="O49" s="585">
        <f>+N49/SUM(N49:N50)</f>
        <v>0.14932038378209841</v>
      </c>
    </row>
    <row r="50" spans="12:15" ht="13.8" thickBot="1" x14ac:dyDescent="0.3">
      <c r="L50" s="411"/>
      <c r="M50" s="410" t="s">
        <v>396</v>
      </c>
      <c r="N50" s="589">
        <v>135980.32</v>
      </c>
      <c r="O50" s="586"/>
    </row>
    <row r="51" spans="12:15" x14ac:dyDescent="0.25">
      <c r="L51" s="418"/>
      <c r="M51" s="417"/>
      <c r="N51" s="590"/>
      <c r="O51" s="585"/>
    </row>
    <row r="52" spans="12:15" ht="13.8" thickBot="1" x14ac:dyDescent="0.3">
      <c r="L52" s="411"/>
      <c r="M52" s="410"/>
      <c r="N52" s="589"/>
      <c r="O52" s="586"/>
    </row>
    <row r="53" spans="12:15" x14ac:dyDescent="0.25">
      <c r="L53" s="418"/>
      <c r="M53" s="417"/>
      <c r="N53" s="590"/>
      <c r="O53" s="585"/>
    </row>
    <row r="54" spans="12:15" ht="13.8" thickBot="1" x14ac:dyDescent="0.3">
      <c r="L54" s="411"/>
      <c r="M54" s="410"/>
      <c r="N54" s="589"/>
      <c r="O54" s="586"/>
    </row>
    <row r="55" spans="12:15" x14ac:dyDescent="0.25">
      <c r="L55" s="418"/>
      <c r="M55" s="417"/>
      <c r="N55" s="590"/>
      <c r="O55" s="585"/>
    </row>
    <row r="56" spans="12:15" ht="13.8" thickBot="1" x14ac:dyDescent="0.3">
      <c r="L56" s="411"/>
      <c r="M56" s="410"/>
      <c r="N56" s="589"/>
      <c r="O56" s="586"/>
    </row>
    <row r="57" spans="12:15" x14ac:dyDescent="0.25">
      <c r="L57" s="418" t="s">
        <v>322</v>
      </c>
      <c r="M57" s="417" t="s">
        <v>484</v>
      </c>
      <c r="N57" s="590">
        <v>101597.73999999999</v>
      </c>
      <c r="O57" s="585">
        <f>+N57/SUM(N57:N58)</f>
        <v>0.81071155725354804</v>
      </c>
    </row>
    <row r="58" spans="12:15" ht="13.8" thickBot="1" x14ac:dyDescent="0.3">
      <c r="L58" s="411"/>
      <c r="M58" s="410" t="s">
        <v>396</v>
      </c>
      <c r="N58" s="589">
        <v>23721.480000000003</v>
      </c>
      <c r="O58" s="586"/>
    </row>
    <row r="59" spans="12:15" ht="13.8" thickBot="1" x14ac:dyDescent="0.3">
      <c r="L59" s="426" t="s">
        <v>353</v>
      </c>
      <c r="M59" s="424" t="s">
        <v>481</v>
      </c>
      <c r="N59" s="427">
        <v>95332.96</v>
      </c>
      <c r="O59" s="585">
        <f>+N59/SUM(N59)</f>
        <v>1</v>
      </c>
    </row>
    <row r="60" spans="12:15" x14ac:dyDescent="0.25">
      <c r="L60" s="418" t="s">
        <v>354</v>
      </c>
      <c r="M60" s="417" t="s">
        <v>481</v>
      </c>
      <c r="N60" s="590">
        <v>116350.44</v>
      </c>
      <c r="O60" s="585">
        <f>+N60/SUM(N60:N61)</f>
        <v>0.91106875046786551</v>
      </c>
    </row>
    <row r="61" spans="12:15" ht="13.8" thickBot="1" x14ac:dyDescent="0.3">
      <c r="L61" s="411"/>
      <c r="M61" s="410" t="s">
        <v>396</v>
      </c>
      <c r="N61" s="589">
        <v>11357.199999999999</v>
      </c>
      <c r="O61" s="586"/>
    </row>
    <row r="62" spans="12:15" x14ac:dyDescent="0.25">
      <c r="L62" s="418" t="s">
        <v>324</v>
      </c>
      <c r="M62" s="417" t="s">
        <v>489</v>
      </c>
      <c r="N62" s="590">
        <v>117873.92000000001</v>
      </c>
      <c r="O62" s="585">
        <f>+N62/SUM(N62:N63)</f>
        <v>0.59916444069424935</v>
      </c>
    </row>
    <row r="63" spans="12:15" ht="13.8" thickBot="1" x14ac:dyDescent="0.3">
      <c r="L63" s="411"/>
      <c r="M63" s="410" t="s">
        <v>396</v>
      </c>
      <c r="N63" s="589">
        <v>78856.58</v>
      </c>
      <c r="O63" s="586"/>
    </row>
    <row r="64" spans="12:15" x14ac:dyDescent="0.25">
      <c r="L64" s="418" t="s">
        <v>326</v>
      </c>
      <c r="M64" s="417" t="s">
        <v>487</v>
      </c>
      <c r="N64" s="590">
        <v>113812.46</v>
      </c>
      <c r="O64" s="585">
        <f>+N64/SUM(N64:N65)</f>
        <v>0.71878590773037188</v>
      </c>
    </row>
    <row r="65" spans="12:15" ht="13.8" thickBot="1" x14ac:dyDescent="0.3">
      <c r="L65" s="411"/>
      <c r="M65" s="410" t="s">
        <v>396</v>
      </c>
      <c r="N65" s="589">
        <v>44527.400000000009</v>
      </c>
      <c r="O65" s="586"/>
    </row>
    <row r="66" spans="12:15" x14ac:dyDescent="0.25">
      <c r="L66" s="418" t="s">
        <v>334</v>
      </c>
      <c r="M66" s="417" t="s">
        <v>488</v>
      </c>
      <c r="N66" s="590">
        <v>41769.739999999991</v>
      </c>
      <c r="O66" s="585">
        <f>+N66/SUM(N66:N67)</f>
        <v>0.40171477592504601</v>
      </c>
    </row>
    <row r="67" spans="12:15" ht="13.8" thickBot="1" x14ac:dyDescent="0.3">
      <c r="L67" s="411"/>
      <c r="M67" s="410" t="s">
        <v>396</v>
      </c>
      <c r="N67" s="589">
        <v>62208.860000000008</v>
      </c>
      <c r="O67" s="586"/>
    </row>
    <row r="68" spans="12:15" x14ac:dyDescent="0.25">
      <c r="L68" s="418"/>
      <c r="M68" s="417"/>
      <c r="N68" s="590"/>
      <c r="O68" s="585"/>
    </row>
    <row r="69" spans="12:15" ht="13.8" thickBot="1" x14ac:dyDescent="0.3">
      <c r="L69" s="411"/>
      <c r="M69" s="410"/>
      <c r="N69" s="589"/>
      <c r="O69" s="586"/>
    </row>
    <row r="70" spans="12:15" x14ac:dyDescent="0.25">
      <c r="L70" s="418"/>
      <c r="M70" s="417"/>
      <c r="N70" s="590"/>
      <c r="O70" s="585"/>
    </row>
    <row r="71" spans="12:15" ht="13.8" thickBot="1" x14ac:dyDescent="0.3">
      <c r="L71" s="411"/>
      <c r="M71" s="410"/>
      <c r="N71" s="589"/>
      <c r="O71" s="586"/>
    </row>
    <row r="72" spans="12:15" x14ac:dyDescent="0.25">
      <c r="L72" s="418" t="s">
        <v>355</v>
      </c>
      <c r="M72" s="417" t="s">
        <v>481</v>
      </c>
      <c r="N72" s="590">
        <v>144917.4</v>
      </c>
      <c r="O72" s="585">
        <f>+N72/SUM(N72:N73)</f>
        <v>0.64852186988158844</v>
      </c>
    </row>
    <row r="73" spans="12:15" ht="13.8" thickBot="1" x14ac:dyDescent="0.3">
      <c r="L73" s="411"/>
      <c r="M73" s="410" t="s">
        <v>396</v>
      </c>
      <c r="N73" s="589">
        <v>78540.600000000006</v>
      </c>
      <c r="O73" s="586"/>
    </row>
    <row r="74" spans="12:15" x14ac:dyDescent="0.25">
      <c r="L74" s="418" t="s">
        <v>336</v>
      </c>
      <c r="M74" s="417" t="s">
        <v>483</v>
      </c>
      <c r="N74" s="590">
        <v>133738.07999999999</v>
      </c>
      <c r="O74" s="585">
        <f>+N74/SUM(N74:N75)</f>
        <v>0.90540586649682109</v>
      </c>
    </row>
    <row r="75" spans="12:15" ht="13.8" thickBot="1" x14ac:dyDescent="0.3">
      <c r="L75" s="411"/>
      <c r="M75" s="410" t="s">
        <v>396</v>
      </c>
      <c r="N75" s="589">
        <v>13972.560000000001</v>
      </c>
      <c r="O75" s="586"/>
    </row>
    <row r="76" spans="12:15" x14ac:dyDescent="0.25">
      <c r="L76" s="418" t="s">
        <v>328</v>
      </c>
      <c r="M76" s="417" t="s">
        <v>485</v>
      </c>
      <c r="N76" s="590">
        <v>1350.0799999999997</v>
      </c>
      <c r="O76" s="585">
        <f>+N76/SUM(N76:N77)</f>
        <v>1.1971383880910406E-2</v>
      </c>
    </row>
    <row r="77" spans="12:15" ht="13.8" thickBot="1" x14ac:dyDescent="0.3">
      <c r="L77" s="411"/>
      <c r="M77" s="410" t="s">
        <v>396</v>
      </c>
      <c r="N77" s="589">
        <v>111425.52</v>
      </c>
      <c r="O77" s="586"/>
    </row>
    <row r="78" spans="12:15" x14ac:dyDescent="0.25">
      <c r="L78" s="418" t="s">
        <v>329</v>
      </c>
      <c r="M78" s="417" t="s">
        <v>485</v>
      </c>
      <c r="N78" s="590">
        <v>4152.62</v>
      </c>
      <c r="O78" s="585">
        <f>+N78/SUM(N78:N79)</f>
        <v>3.4704090677141863E-2</v>
      </c>
    </row>
    <row r="79" spans="12:15" ht="13.8" thickBot="1" x14ac:dyDescent="0.3">
      <c r="L79" s="411"/>
      <c r="M79" s="410" t="s">
        <v>396</v>
      </c>
      <c r="N79" s="589">
        <v>115505.31999999998</v>
      </c>
      <c r="O79" s="586"/>
    </row>
    <row r="80" spans="12:15" ht="13.8" thickBot="1" x14ac:dyDescent="0.3">
      <c r="L80" s="426" t="s">
        <v>330</v>
      </c>
      <c r="M80" s="591" t="s">
        <v>485</v>
      </c>
      <c r="N80" s="427">
        <v>122279.06</v>
      </c>
      <c r="O80" s="587">
        <f>+N80/SUM(N80)</f>
        <v>1</v>
      </c>
    </row>
    <row r="81" spans="12:14" ht="13.8" thickBot="1" x14ac:dyDescent="0.3">
      <c r="L81" s="426" t="s">
        <v>86</v>
      </c>
      <c r="M81" s="424"/>
      <c r="N81" s="427">
        <v>4467058.6399999997</v>
      </c>
    </row>
  </sheetData>
  <mergeCells count="7">
    <mergeCell ref="D2:E2"/>
    <mergeCell ref="L1:O1"/>
    <mergeCell ref="L2:O2"/>
    <mergeCell ref="L3:O3"/>
    <mergeCell ref="G1:J1"/>
    <mergeCell ref="G2:J2"/>
    <mergeCell ref="G3:J3"/>
  </mergeCells>
  <conditionalFormatting sqref="D47:E87">
    <cfRule type="cellIs" dxfId="1" priority="1" operator="lessThan">
      <formula>-0.05</formula>
    </cfRule>
    <cfRule type="cellIs" dxfId="0" priority="2" operator="greaterThan">
      <formula>0.05</formula>
    </cfRule>
  </conditionalFormatting>
  <printOptions horizontalCentered="1"/>
  <pageMargins left="0.25" right="0.25" top="1.5" bottom="1" header="0.5" footer="0.5"/>
  <pageSetup scale="74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723218-85D9-4839-8580-A2DF8275BF32}"/>
</file>

<file path=customXml/itemProps2.xml><?xml version="1.0" encoding="utf-8"?>
<ds:datastoreItem xmlns:ds="http://schemas.openxmlformats.org/officeDocument/2006/customXml" ds:itemID="{3FDBC01E-F02E-4016-90D6-DD8DB15A6778}"/>
</file>

<file path=customXml/itemProps3.xml><?xml version="1.0" encoding="utf-8"?>
<ds:datastoreItem xmlns:ds="http://schemas.openxmlformats.org/officeDocument/2006/customXml" ds:itemID="{1B7E0163-2BB3-4717-BE91-E32FDC0D2EEF}"/>
</file>

<file path=customXml/itemProps4.xml><?xml version="1.0" encoding="utf-8"?>
<ds:datastoreItem xmlns:ds="http://schemas.openxmlformats.org/officeDocument/2006/customXml" ds:itemID="{DF4ED1A8-95B4-4739-876E-0CA0E37D0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Index</vt:lpstr>
      <vt:lpstr>Bill Determinants</vt:lpstr>
      <vt:lpstr>Tariff Summary</vt:lpstr>
      <vt:lpstr>Distribution Revenue</vt:lpstr>
      <vt:lpstr>Dist Line Transformers 2017</vt:lpstr>
      <vt:lpstr>Distribution Feeders 2017</vt:lpstr>
      <vt:lpstr>Distribution Subs 2017</vt:lpstr>
      <vt:lpstr>Sub Net Book 9-16</vt:lpstr>
      <vt:lpstr>2017 Sub &amp; Feeder NCP %</vt:lpstr>
      <vt:lpstr>2016 Coincident Demand Fac</vt:lpstr>
      <vt:lpstr>2017 FCR Rates</vt:lpstr>
      <vt:lpstr>2017 Handy Whitman</vt:lpstr>
      <vt:lpstr>LR - 2017 Loss Factor by Class</vt:lpstr>
      <vt:lpstr>Sch 40 Feeder OH 2017</vt:lpstr>
      <vt:lpstr>Sch 40 Substation O&amp;M 2017</vt:lpstr>
      <vt:lpstr>Sch 40 Substation A&amp;G 2017</vt:lpstr>
      <vt:lpstr>Sch 40 Interim Energy Rates </vt:lpstr>
      <vt:lpstr>'2017 Sub &amp; Feeder NCP %'!Print_Area</vt:lpstr>
      <vt:lpstr>'Bill Determinants'!Print_Area</vt:lpstr>
      <vt:lpstr>'Dist Line Transformers 2017'!Print_Area</vt:lpstr>
      <vt:lpstr>'Distribution Feeders 2017'!Print_Area</vt:lpstr>
      <vt:lpstr>'Distribution Revenue'!Print_Area</vt:lpstr>
      <vt:lpstr>'Distribution Subs 2017'!Print_Area</vt:lpstr>
      <vt:lpstr>Index!Print_Area</vt:lpstr>
      <vt:lpstr>'LR - 2017 Loss Factor by Class'!Print_Area</vt:lpstr>
      <vt:lpstr>'Sch 40 Feeder OH 2017'!Print_Area</vt:lpstr>
      <vt:lpstr>'Sch 40 Interim Energy Rates '!Print_Area</vt:lpstr>
      <vt:lpstr>'Sch 40 Substation A&amp;G 2017'!Print_Area</vt:lpstr>
      <vt:lpstr>'Sch 40 Substation O&amp;M 2017'!Print_Area</vt:lpstr>
      <vt:lpstr>'Sub Net Book 9-16'!Print_Area</vt:lpstr>
      <vt:lpstr>'Tariff Summary'!Print_Area</vt:lpstr>
      <vt:lpstr>'2017 Handy Whitman'!Print_Titles</vt:lpstr>
      <vt:lpstr>'Dist Line Transformers 2017'!Print_Titles</vt:lpstr>
      <vt:lpstr>'Distribution Feeders 2017'!Print_Titles</vt:lpstr>
      <vt:lpstr>'Distribution Subs 2017'!Print_Titles</vt:lpstr>
      <vt:lpstr>'Sch 40 Feeder OH 2017'!Print_Titles</vt:lpstr>
      <vt:lpstr>'Sch 40 Interim Energy Rates '!Print_Titles</vt:lpstr>
      <vt:lpstr>'Sch 40 Substation A&amp;G 2017'!Print_Titles</vt:lpstr>
      <vt:lpstr>'Sch 40 Substation O&amp;M 2017'!Print_Titles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2017-12-08T23:32:08Z</cp:lastPrinted>
  <dcterms:created xsi:type="dcterms:W3CDTF">2005-11-29T00:23:34Z</dcterms:created>
  <dcterms:modified xsi:type="dcterms:W3CDTF">2018-04-05T15:52:15Z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