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3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4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5.xml" ContentType="application/vnd.openxmlformats-officedocument.spreadsheetml.worksheet+xml"/>
  <Override PartName="/xl/worksheets/sheet7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12" windowWidth="20100" windowHeight="8292" activeTab="1"/>
  </bookViews>
  <sheets>
    <sheet name="Table of Contents" sheetId="28" r:id="rId1"/>
    <sheet name="ECOS - INPUTS" sheetId="29" r:id="rId2"/>
    <sheet name="ECOS - CLASSIFIERS" sheetId="31" r:id="rId3"/>
    <sheet name="ECOS - EXTERNAL (2017)" sheetId="32" r:id="rId4"/>
    <sheet name="ROR" sheetId="26" r:id="rId5"/>
    <sheet name="Revenue Sensitive Items" sheetId="27" r:id="rId6"/>
    <sheet name="Peak Credit" sheetId="21" r:id="rId7"/>
    <sheet name="Customer Counts" sheetId="1" r:id="rId8"/>
    <sheet name="Customer Deposits (235)" sheetId="4" r:id="rId9"/>
    <sheet name="Customer Advances (252)" sheetId="5" r:id="rId10"/>
    <sheet name="Proforma Revenue" sheetId="30" r:id="rId11"/>
    <sheet name="Proposed Rev" sheetId="38" r:id="rId12"/>
    <sheet name="Retail Wheeling Proforma Rev" sheetId="34" r:id="rId13"/>
    <sheet name="Other Op Rev (450-451)" sheetId="7" r:id="rId14"/>
    <sheet name="Other Op Rev Equip Rental (454)" sheetId="8" r:id="rId15"/>
    <sheet name="Meter Reading Cost (902)" sheetId="3" r:id="rId16"/>
    <sheet name="Records &amp; Collec (903)" sheetId="2" r:id="rId17"/>
    <sheet name="Uncollectibles (904)" sheetId="9" r:id="rId18"/>
    <sheet name="Dist Plant (360-368)" sheetId="14" r:id="rId19"/>
    <sheet name="Dist Accum Depr (360-368)" sheetId="15" r:id="rId20"/>
    <sheet name="NCP Dist Plant (360-362)" sheetId="16" r:id="rId21"/>
    <sheet name="NCP Dist OH-UG Plant (364-367)" sheetId="17" r:id="rId22"/>
    <sheet name="Dist Transformer Plant (368)" sheetId="18" r:id="rId23"/>
    <sheet name="Distribution Service (369)" sheetId="12" r:id="rId24"/>
    <sheet name="Meter Costs (370)" sheetId="11" r:id="rId25"/>
    <sheet name="Load Research Data - Summary" sheetId="13" r:id="rId26"/>
    <sheet name="Load Research Data - Dem 4CP" sheetId="19" r:id="rId27"/>
    <sheet name="Load Research Data Dem 75CP" sheetId="35" r:id="rId28"/>
    <sheet name="Load Research Data Dem 200NCP" sheetId="36" r:id="rId29"/>
    <sheet name="Load Research Data -Energy" sheetId="20" r:id="rId30"/>
    <sheet name="Salary &amp; Wages" sheetId="25" r:id="rId31"/>
    <sheet name="BPA Delivered kWh" sheetId="37" r:id="rId32"/>
  </sheets>
  <externalReferences>
    <externalReference r:id="rId33"/>
    <externalReference r:id="rId34"/>
    <externalReference r:id="rId35"/>
    <externalReference r:id="rId36"/>
  </externalReferences>
  <definedNames>
    <definedName name="_Order1">0</definedName>
    <definedName name="_Order2">0</definedName>
    <definedName name="AccessDatabase">"I:\COMTREL\FINICLE\TradeSummary.mdb"</definedName>
    <definedName name="limcount">1</definedName>
    <definedName name="_xlnm.Print_Area" localSheetId="9">'Customer Advances (252)'!$A$1:$G$20</definedName>
    <definedName name="_xlnm.Print_Area" localSheetId="7">'Customer Counts'!$A$1:$Q$25</definedName>
    <definedName name="_xlnm.Print_Area" localSheetId="8">'Customer Deposits (235)'!$A$1:$B$17</definedName>
    <definedName name="_xlnm.Print_Area" localSheetId="19">'Dist Accum Depr (360-368)'!$A$1:$I$40</definedName>
    <definedName name="_xlnm.Print_Area" localSheetId="18">'Dist Plant (360-368)'!$A$1:$I$41</definedName>
    <definedName name="_xlnm.Print_Area" localSheetId="22">'Dist Transformer Plant (368)'!$A$1:$E$38</definedName>
    <definedName name="_xlnm.Print_Area" localSheetId="23">'Distribution Service (369)'!$A$1:$G$26</definedName>
    <definedName name="_xlnm.Print_Area" localSheetId="2">'ECOS - CLASSIFIERS'!$A$1:$I$22</definedName>
    <definedName name="_xlnm.Print_Area" localSheetId="3">'ECOS - EXTERNAL (2017)'!$A$1:$Q$173</definedName>
    <definedName name="_xlnm.Print_Area" localSheetId="1">'ECOS - INPUTS'!$A$1:$F$74</definedName>
    <definedName name="_xlnm.Print_Area" localSheetId="26">'Load Research Data - Dem 4CP'!$A$1:$V$23</definedName>
    <definedName name="_xlnm.Print_Area" localSheetId="25">'Load Research Data - Summary'!$A$1:$N$26</definedName>
    <definedName name="_xlnm.Print_Area" localSheetId="28">'Load Research Data Dem 200NCP'!$A$1:$W$209</definedName>
    <definedName name="_xlnm.Print_Area" localSheetId="27">'Load Research Data Dem 75CP'!$A$1:$Y$215</definedName>
    <definedName name="_xlnm.Print_Area" localSheetId="29">'Load Research Data -Energy'!$A$1:$K$95</definedName>
    <definedName name="_xlnm.Print_Area" localSheetId="24">'Meter Costs (370)'!$A$1:$G$31</definedName>
    <definedName name="_xlnm.Print_Area" localSheetId="15">'Meter Reading Cost (902)'!$A$1:$G$27</definedName>
    <definedName name="_xlnm.Print_Area" localSheetId="21">'NCP Dist OH-UG Plant (364-367)'!$A$1:$N$22</definedName>
    <definedName name="_xlnm.Print_Area" localSheetId="20">'NCP Dist Plant (360-362)'!$A$1:$N$28</definedName>
    <definedName name="_xlnm.Print_Area" localSheetId="13">'Other Op Rev (450-451)'!$A$1:$N$12</definedName>
    <definedName name="_xlnm.Print_Area" localSheetId="14">'Other Op Rev Equip Rental (454)'!$A$1:$B$14</definedName>
    <definedName name="_xlnm.Print_Area" localSheetId="6">'Peak Credit'!$A$1:$I$37</definedName>
    <definedName name="_xlnm.Print_Area" localSheetId="10">'Proforma Revenue'!$A$1:$P$69</definedName>
    <definedName name="_xlnm.Print_Area" localSheetId="11">'Proposed Rev'!$A$1:$O$76</definedName>
    <definedName name="_xlnm.Print_Area" localSheetId="16">'Records &amp; Collec (903)'!$A$1:$L$23</definedName>
    <definedName name="_xlnm.Print_Area" localSheetId="12">'Retail Wheeling Proforma Rev'!$A$1:$N$30</definedName>
    <definedName name="_xlnm.Print_Area" localSheetId="5">'Revenue Sensitive Items'!$A$3:$E$23</definedName>
    <definedName name="_xlnm.Print_Area" localSheetId="30">'Salary &amp; Wages'!$A$1:$E$28</definedName>
    <definedName name="_xlnm.Print_Area" localSheetId="0">'Table of Contents'!$A$1:$C$39</definedName>
    <definedName name="_xlnm.Print_Area" localSheetId="17">'Uncollectibles (904)'!$A$1:$Q$16</definedName>
    <definedName name="_xlnm.Print_Titles" localSheetId="3">'ECOS - EXTERNAL (2017)'!$1:$3</definedName>
    <definedName name="_xlnm.Print_Titles" localSheetId="28">'Load Research Data Dem 200NCP'!$1:$5</definedName>
    <definedName name="_xlnm.Print_Titles" localSheetId="27">'Load Research Data Dem 75CP'!$1:$4</definedName>
  </definedNames>
  <calcPr calcId="145621" calcMode="manual" iterate="1" calcCompleted="0" calcOnSave="0"/>
</workbook>
</file>

<file path=xl/calcChain.xml><?xml version="1.0" encoding="utf-8"?>
<calcChain xmlns="http://schemas.openxmlformats.org/spreadsheetml/2006/main">
  <c r="E22" i="27" l="1"/>
  <c r="B22" i="27"/>
  <c r="A22" i="27"/>
  <c r="E21" i="27"/>
  <c r="D21" i="27"/>
  <c r="B21" i="27"/>
  <c r="A21" i="27"/>
  <c r="E20" i="27"/>
  <c r="B20" i="27"/>
  <c r="A20" i="27"/>
  <c r="A19" i="27"/>
  <c r="E18" i="27"/>
  <c r="B18" i="27"/>
  <c r="A18" i="27"/>
  <c r="A17" i="27"/>
  <c r="E16" i="27"/>
  <c r="D16" i="27"/>
  <c r="C16" i="27"/>
  <c r="B16" i="27"/>
  <c r="A16" i="27"/>
  <c r="E15" i="27"/>
  <c r="B15" i="27"/>
  <c r="A15" i="27"/>
  <c r="E14" i="27"/>
  <c r="B14" i="27"/>
  <c r="A14" i="27"/>
  <c r="E12" i="27"/>
  <c r="B12" i="27"/>
  <c r="A12" i="27"/>
  <c r="A11" i="27"/>
  <c r="B8" i="27"/>
  <c r="B7" i="27"/>
  <c r="B6" i="27"/>
  <c r="E5" i="27"/>
  <c r="B25" i="26"/>
  <c r="F23" i="26"/>
  <c r="D23" i="26"/>
  <c r="B23" i="26"/>
  <c r="A23" i="26"/>
  <c r="F22" i="26"/>
  <c r="E22" i="26"/>
  <c r="D22" i="26"/>
  <c r="B22" i="26"/>
  <c r="A22" i="26"/>
  <c r="F21" i="26"/>
  <c r="E21" i="26"/>
  <c r="D21" i="26"/>
  <c r="B21" i="26"/>
  <c r="A21" i="26"/>
  <c r="F20" i="26"/>
  <c r="B20" i="26"/>
  <c r="A20" i="26"/>
  <c r="F19" i="26"/>
  <c r="B19" i="26"/>
  <c r="A19" i="26"/>
  <c r="F18" i="26"/>
  <c r="E18" i="26"/>
  <c r="D18" i="26"/>
  <c r="B18" i="26"/>
  <c r="A18" i="26"/>
  <c r="F17" i="26"/>
  <c r="B17" i="26"/>
  <c r="A17" i="26"/>
  <c r="F16" i="26"/>
  <c r="B16" i="26"/>
  <c r="A16" i="26"/>
  <c r="F15" i="26"/>
  <c r="B15" i="26"/>
  <c r="A15" i="26"/>
  <c r="F14" i="26"/>
  <c r="E14" i="26"/>
  <c r="D14" i="26"/>
  <c r="B14" i="26"/>
  <c r="A14" i="26"/>
  <c r="A13" i="26"/>
  <c r="F12" i="26"/>
  <c r="E12" i="26"/>
  <c r="D12" i="26"/>
  <c r="C12" i="26"/>
  <c r="B12" i="26"/>
  <c r="A12" i="26"/>
  <c r="A11" i="26"/>
  <c r="A10" i="26"/>
  <c r="B9" i="26"/>
  <c r="A9" i="26"/>
  <c r="F8" i="26"/>
  <c r="E8" i="26"/>
  <c r="D8" i="26"/>
  <c r="C8" i="26"/>
  <c r="B8" i="26"/>
  <c r="A8" i="26"/>
  <c r="A5" i="26"/>
  <c r="B4" i="26"/>
  <c r="B3" i="26"/>
  <c r="B1" i="26"/>
  <c r="E28" i="25"/>
  <c r="B28" i="25"/>
  <c r="E27" i="25"/>
  <c r="B27" i="25"/>
  <c r="E26" i="25"/>
  <c r="B26" i="25"/>
  <c r="E24" i="25"/>
  <c r="D24" i="25"/>
  <c r="C24" i="25"/>
  <c r="B24" i="25"/>
  <c r="E23" i="25"/>
  <c r="D23" i="25"/>
  <c r="C23" i="25"/>
  <c r="B23" i="25"/>
  <c r="E21" i="25"/>
  <c r="D21" i="25"/>
  <c r="C21" i="25"/>
  <c r="B21" i="25"/>
  <c r="E20" i="25"/>
  <c r="D20" i="25"/>
  <c r="C20" i="25"/>
  <c r="B20" i="25"/>
  <c r="E19" i="25"/>
  <c r="D19" i="25"/>
  <c r="C19" i="25"/>
  <c r="B19" i="25"/>
  <c r="E18" i="25"/>
  <c r="D18" i="25"/>
  <c r="C18" i="25"/>
  <c r="B18" i="25"/>
  <c r="E17" i="25"/>
  <c r="D17" i="25"/>
  <c r="C17" i="25"/>
  <c r="B17" i="25"/>
  <c r="E16" i="25"/>
  <c r="D16" i="25"/>
  <c r="C16" i="25"/>
  <c r="B16" i="25"/>
  <c r="E15" i="25"/>
  <c r="D15" i="25"/>
  <c r="C15" i="25"/>
  <c r="B15" i="25"/>
  <c r="E14" i="25"/>
  <c r="D14" i="25"/>
  <c r="C14" i="25"/>
  <c r="B14" i="25"/>
  <c r="E13" i="25"/>
  <c r="D13" i="25"/>
  <c r="C13" i="25"/>
  <c r="B13" i="25"/>
  <c r="A7" i="25"/>
  <c r="A6" i="25"/>
  <c r="A5" i="25"/>
  <c r="A4" i="25"/>
  <c r="E3" i="25"/>
  <c r="D20" i="38" l="1"/>
  <c r="E20" i="38"/>
  <c r="F37" i="38"/>
  <c r="I37" i="38"/>
  <c r="I39" i="38"/>
  <c r="D8" i="38"/>
  <c r="E8" i="38"/>
  <c r="G8" i="38"/>
  <c r="H8" i="38"/>
  <c r="D11" i="38"/>
  <c r="E11" i="38"/>
  <c r="G11" i="38"/>
  <c r="H11" i="38"/>
  <c r="D12" i="38"/>
  <c r="E12" i="38"/>
  <c r="G12" i="38"/>
  <c r="H12" i="38"/>
  <c r="D13" i="38"/>
  <c r="E13" i="38"/>
  <c r="G13" i="38"/>
  <c r="H13" i="38"/>
  <c r="D14" i="38"/>
  <c r="E14" i="38"/>
  <c r="D17" i="38"/>
  <c r="E17" i="38"/>
  <c r="G17" i="38"/>
  <c r="H17" i="38"/>
  <c r="D18" i="38"/>
  <c r="E18" i="38"/>
  <c r="G18" i="38"/>
  <c r="H18" i="38"/>
  <c r="D19" i="38"/>
  <c r="E19" i="38"/>
  <c r="G19" i="38"/>
  <c r="H19" i="38"/>
  <c r="D22" i="38"/>
  <c r="E22" i="38"/>
  <c r="I22" i="38"/>
  <c r="J22" i="38"/>
  <c r="K22" i="38"/>
  <c r="M22" i="38"/>
  <c r="D24" i="38"/>
  <c r="E24" i="38"/>
  <c r="G24" i="38"/>
  <c r="H24" i="38"/>
  <c r="D26" i="38"/>
  <c r="E26" i="38"/>
  <c r="D28" i="38"/>
  <c r="E28" i="38"/>
  <c r="G28" i="38"/>
  <c r="H28" i="38"/>
  <c r="D30" i="38"/>
  <c r="E30" i="38"/>
  <c r="D32" i="38"/>
  <c r="E32" i="38"/>
  <c r="I32" i="38"/>
  <c r="J32" i="38"/>
  <c r="K32" i="38"/>
  <c r="M32" i="38"/>
  <c r="D34" i="38"/>
  <c r="E34" i="38"/>
  <c r="F34" i="38"/>
  <c r="G34" i="38"/>
  <c r="I34" i="38"/>
  <c r="F30" i="29" l="1"/>
  <c r="F31" i="29"/>
  <c r="F29" i="29"/>
  <c r="A27" i="19" l="1"/>
  <c r="A19" i="19"/>
  <c r="V19" i="19"/>
  <c r="U19" i="19"/>
  <c r="T19" i="19"/>
  <c r="S19" i="19"/>
  <c r="R19" i="19"/>
  <c r="Q19" i="19"/>
  <c r="P19" i="19"/>
  <c r="O19" i="19"/>
  <c r="N19" i="19"/>
  <c r="M19" i="19"/>
  <c r="L19" i="19"/>
  <c r="J19" i="19"/>
  <c r="H19" i="19"/>
  <c r="E19" i="19"/>
  <c r="F27" i="19"/>
  <c r="G29" i="19"/>
  <c r="G27" i="19"/>
  <c r="I28" i="19"/>
  <c r="V26" i="19"/>
  <c r="U26" i="19"/>
  <c r="T26" i="19"/>
  <c r="S26" i="19"/>
  <c r="R26" i="19"/>
  <c r="Q26" i="19"/>
  <c r="P26" i="19"/>
  <c r="O26" i="19"/>
  <c r="N26" i="19"/>
  <c r="M26" i="19"/>
  <c r="L26" i="19"/>
  <c r="K26" i="19"/>
  <c r="J26" i="19"/>
  <c r="I26" i="19"/>
  <c r="H26" i="19"/>
  <c r="G26" i="19"/>
  <c r="F26" i="19"/>
  <c r="E26" i="19"/>
  <c r="W5" i="35"/>
  <c r="V5" i="35"/>
  <c r="U5" i="35"/>
  <c r="S5" i="35"/>
  <c r="R5" i="35"/>
  <c r="Q5" i="35"/>
  <c r="P5" i="35"/>
  <c r="O5" i="35"/>
  <c r="N5" i="35"/>
  <c r="M5" i="35"/>
  <c r="L5" i="35"/>
  <c r="J5" i="35"/>
  <c r="H5" i="35"/>
  <c r="E5" i="35"/>
  <c r="I29" i="19"/>
  <c r="K13" i="35"/>
  <c r="K29" i="19" s="1"/>
  <c r="G28" i="19"/>
  <c r="G19" i="19" s="1"/>
  <c r="I11" i="35"/>
  <c r="W10" i="35"/>
  <c r="V10" i="35"/>
  <c r="U10" i="35"/>
  <c r="S10" i="35"/>
  <c r="R10" i="35"/>
  <c r="Q10" i="35"/>
  <c r="P10" i="35"/>
  <c r="O10" i="35"/>
  <c r="N10" i="35"/>
  <c r="M10" i="35"/>
  <c r="L10" i="35"/>
  <c r="K10" i="35"/>
  <c r="J10" i="35"/>
  <c r="I10" i="35"/>
  <c r="H10" i="35"/>
  <c r="G10" i="35"/>
  <c r="F10" i="35"/>
  <c r="E10" i="35"/>
  <c r="J32" i="20"/>
  <c r="J31" i="20"/>
  <c r="J30" i="20"/>
  <c r="J29" i="20"/>
  <c r="J28" i="20"/>
  <c r="J26" i="20"/>
  <c r="J24" i="20"/>
  <c r="J20" i="20"/>
  <c r="P25" i="20"/>
  <c r="P34" i="20" s="1"/>
  <c r="K27" i="19" l="1"/>
  <c r="F29" i="19"/>
  <c r="F5" i="35"/>
  <c r="G5" i="35"/>
  <c r="I27" i="19"/>
  <c r="I19" i="19" s="1"/>
  <c r="I5" i="35"/>
  <c r="F28" i="19"/>
  <c r="F19" i="19" s="1"/>
  <c r="K12" i="35"/>
  <c r="D26" i="19"/>
  <c r="Y10" i="35"/>
  <c r="K28" i="19" l="1"/>
  <c r="K19" i="19" s="1"/>
  <c r="K5" i="35"/>
  <c r="F61" i="29" l="1"/>
  <c r="F66" i="29"/>
  <c r="G44" i="29" l="1"/>
  <c r="E64" i="29" l="1"/>
  <c r="E63" i="29"/>
  <c r="F24" i="34"/>
  <c r="E24" i="34"/>
  <c r="D24" i="34"/>
  <c r="C24" i="34"/>
  <c r="F23" i="34"/>
  <c r="E23" i="34"/>
  <c r="D23" i="34"/>
  <c r="C23" i="34"/>
  <c r="F22" i="34"/>
  <c r="E22" i="34"/>
  <c r="D22" i="34"/>
  <c r="C22" i="34"/>
  <c r="A24" i="34"/>
  <c r="A23" i="34"/>
  <c r="A22" i="34"/>
  <c r="A21" i="34"/>
  <c r="E21" i="34"/>
  <c r="D21" i="34"/>
  <c r="C21" i="34"/>
  <c r="A35" i="38"/>
  <c r="A36" i="38" s="1"/>
  <c r="A37" i="38" s="1"/>
  <c r="A38" i="38" s="1"/>
  <c r="A39" i="38" s="1"/>
  <c r="A40" i="38" s="1"/>
  <c r="D21" i="16" l="1"/>
  <c r="C21" i="16"/>
  <c r="B21" i="16"/>
  <c r="B22" i="17"/>
  <c r="C20" i="17"/>
  <c r="B20" i="17"/>
  <c r="E148" i="32" l="1"/>
  <c r="E142" i="32"/>
  <c r="Q148" i="32"/>
  <c r="P148" i="32"/>
  <c r="K148" i="32"/>
  <c r="J148" i="32"/>
  <c r="I148" i="32"/>
  <c r="H148" i="32"/>
  <c r="G148" i="32"/>
  <c r="F148" i="32"/>
  <c r="Q142" i="32"/>
  <c r="P142" i="32"/>
  <c r="K142" i="32"/>
  <c r="J142" i="32"/>
  <c r="I142" i="32"/>
  <c r="H142" i="32"/>
  <c r="G142" i="32"/>
  <c r="F142" i="32"/>
  <c r="C22" i="17"/>
  <c r="Q139" i="32"/>
  <c r="P139" i="32"/>
  <c r="K139" i="32"/>
  <c r="J139" i="32"/>
  <c r="I139" i="32"/>
  <c r="H139" i="32"/>
  <c r="G139" i="32"/>
  <c r="F139" i="32"/>
  <c r="E139" i="32"/>
  <c r="Q136" i="32"/>
  <c r="P136" i="32"/>
  <c r="K136" i="32"/>
  <c r="J136" i="32"/>
  <c r="I136" i="32"/>
  <c r="H136" i="32"/>
  <c r="G136" i="32"/>
  <c r="F136" i="32"/>
  <c r="E136" i="32"/>
  <c r="G133" i="32"/>
  <c r="Q133" i="32"/>
  <c r="P133" i="32"/>
  <c r="K133" i="32"/>
  <c r="J133" i="32"/>
  <c r="I133" i="32"/>
  <c r="H133" i="32"/>
  <c r="F133" i="32"/>
  <c r="E133" i="32"/>
  <c r="D23" i="16"/>
  <c r="C23" i="16"/>
  <c r="B23" i="16"/>
  <c r="P68" i="32"/>
  <c r="P23" i="19"/>
  <c r="L23" i="19"/>
  <c r="T21" i="19"/>
  <c r="T23" i="19" s="1"/>
  <c r="O21" i="19"/>
  <c r="K21" i="19"/>
  <c r="K23" i="19" s="1"/>
  <c r="J21" i="19"/>
  <c r="J23" i="19" s="1"/>
  <c r="H21" i="19"/>
  <c r="H23" i="19" s="1"/>
  <c r="G21" i="19"/>
  <c r="G23" i="19" s="1"/>
  <c r="F21" i="19"/>
  <c r="F23" i="19" s="1"/>
  <c r="U21" i="19"/>
  <c r="U23" i="19" s="1"/>
  <c r="S21" i="19"/>
  <c r="S23" i="19" s="1"/>
  <c r="R21" i="19"/>
  <c r="R23" i="19" s="1"/>
  <c r="Q21" i="19"/>
  <c r="Q23" i="19" s="1"/>
  <c r="N21" i="19"/>
  <c r="M21" i="19"/>
  <c r="I21" i="19"/>
  <c r="I23" i="19" s="1"/>
  <c r="E21" i="19"/>
  <c r="D136" i="32" l="1"/>
  <c r="E23" i="19"/>
  <c r="D23" i="19" s="1"/>
  <c r="D21" i="19"/>
  <c r="D19" i="19"/>
  <c r="P166" i="32" l="1"/>
  <c r="J166" i="32"/>
  <c r="I166" i="32"/>
  <c r="H166" i="32"/>
  <c r="G166" i="32"/>
  <c r="F166" i="32"/>
  <c r="E166" i="32"/>
  <c r="P151" i="32" l="1"/>
  <c r="O151" i="32"/>
  <c r="N151" i="32"/>
  <c r="M151" i="32"/>
  <c r="L151" i="32"/>
  <c r="K151" i="32"/>
  <c r="J151" i="32"/>
  <c r="I151" i="32"/>
  <c r="Q145" i="32"/>
  <c r="O145" i="32"/>
  <c r="N145" i="32"/>
  <c r="M145" i="32"/>
  <c r="L145" i="32"/>
  <c r="K145" i="32"/>
  <c r="J145" i="32"/>
  <c r="I145" i="32"/>
  <c r="H145" i="32"/>
  <c r="F145" i="32"/>
  <c r="E25" i="18"/>
  <c r="B25" i="18"/>
  <c r="Q80" i="32"/>
  <c r="Q151" i="32" s="1"/>
  <c r="P80" i="32"/>
  <c r="H80" i="32"/>
  <c r="H151" i="32" s="1"/>
  <c r="G80" i="32"/>
  <c r="G151" i="32" s="1"/>
  <c r="F80" i="32"/>
  <c r="F151" i="32" s="1"/>
  <c r="E80" i="32"/>
  <c r="E151" i="32" s="1"/>
  <c r="P145" i="32"/>
  <c r="H68" i="32"/>
  <c r="G68" i="32"/>
  <c r="G145" i="32" s="1"/>
  <c r="F68" i="32"/>
  <c r="E68" i="32"/>
  <c r="E145" i="32" s="1"/>
  <c r="O172" i="32" l="1"/>
  <c r="N172" i="32"/>
  <c r="O91" i="32"/>
  <c r="N91" i="32"/>
  <c r="K88" i="32"/>
  <c r="D24" i="13"/>
  <c r="C24" i="13"/>
  <c r="K24" i="13"/>
  <c r="K21" i="13"/>
  <c r="C21" i="13" s="1"/>
  <c r="Q169" i="32" s="1"/>
  <c r="K19" i="13"/>
  <c r="C19" i="13" s="1"/>
  <c r="N169" i="32" s="1"/>
  <c r="K20" i="13"/>
  <c r="C20" i="13" s="1"/>
  <c r="O169" i="32" s="1"/>
  <c r="K18" i="13"/>
  <c r="C18" i="13" s="1"/>
  <c r="P169" i="32" s="1"/>
  <c r="K17" i="13"/>
  <c r="C17" i="13" s="1"/>
  <c r="M169" i="32" s="1"/>
  <c r="K15" i="13"/>
  <c r="C15" i="13" s="1"/>
  <c r="K14" i="13"/>
  <c r="C14" i="13" s="1"/>
  <c r="J169" i="32" s="1"/>
  <c r="K9" i="13"/>
  <c r="C9" i="13" s="1"/>
  <c r="E169" i="32" s="1"/>
  <c r="D15" i="13" l="1"/>
  <c r="K172" i="32" s="1"/>
  <c r="K169" i="32"/>
  <c r="D9" i="13"/>
  <c r="E172" i="32" s="1"/>
  <c r="D17" i="13"/>
  <c r="M172" i="32" s="1"/>
  <c r="D14" i="13"/>
  <c r="J172" i="32" s="1"/>
  <c r="D18" i="13"/>
  <c r="P172" i="32" s="1"/>
  <c r="D21" i="13"/>
  <c r="Q172" i="32" s="1"/>
  <c r="O97" i="32"/>
  <c r="N97" i="32"/>
  <c r="K94" i="32"/>
  <c r="N8" i="36"/>
  <c r="M8" i="36"/>
  <c r="U7" i="36"/>
  <c r="P7" i="36"/>
  <c r="P8" i="36" s="1"/>
  <c r="J7" i="36"/>
  <c r="J8" i="36" s="1"/>
  <c r="F7" i="36"/>
  <c r="F8" i="36" s="1"/>
  <c r="J17" i="13"/>
  <c r="N14" i="13"/>
  <c r="J14" i="13" s="1"/>
  <c r="U6" i="36"/>
  <c r="T6" i="36"/>
  <c r="N19" i="13" s="1"/>
  <c r="S6" i="36"/>
  <c r="S7" i="36" s="1"/>
  <c r="Q6" i="36"/>
  <c r="N18" i="13" s="1"/>
  <c r="J18" i="13" s="1"/>
  <c r="P6" i="36"/>
  <c r="O6" i="36"/>
  <c r="O7" i="36" s="1"/>
  <c r="O8" i="36" s="1"/>
  <c r="N6" i="36"/>
  <c r="N17" i="13" s="1"/>
  <c r="M6" i="36"/>
  <c r="N15" i="13" s="1"/>
  <c r="L6" i="36"/>
  <c r="L7" i="36" s="1"/>
  <c r="L8" i="36" s="1"/>
  <c r="K6" i="36"/>
  <c r="K7" i="36" s="1"/>
  <c r="K8" i="36" s="1"/>
  <c r="J6" i="36"/>
  <c r="N13" i="13" s="1"/>
  <c r="I6" i="36"/>
  <c r="I7" i="36" s="1"/>
  <c r="I8" i="36" s="1"/>
  <c r="H6" i="36"/>
  <c r="H7" i="36" s="1"/>
  <c r="H8" i="36" s="1"/>
  <c r="G6" i="36"/>
  <c r="N11" i="13" s="1"/>
  <c r="J11" i="13" s="1"/>
  <c r="F6" i="36"/>
  <c r="N10" i="13" s="1"/>
  <c r="J10" i="13" s="1"/>
  <c r="E6" i="36"/>
  <c r="E7" i="36" s="1"/>
  <c r="E8" i="36" s="1"/>
  <c r="D6" i="36"/>
  <c r="D7" i="36" s="1"/>
  <c r="I15" i="13"/>
  <c r="K97" i="32" s="1"/>
  <c r="G15" i="13"/>
  <c r="K91" i="32" s="1"/>
  <c r="L7" i="35"/>
  <c r="M7" i="35"/>
  <c r="M16" i="13"/>
  <c r="E16" i="13" s="1"/>
  <c r="W6" i="35"/>
  <c r="M19" i="13"/>
  <c r="E19" i="13" s="1"/>
  <c r="U6" i="35"/>
  <c r="R6" i="35"/>
  <c r="R7" i="35" s="1"/>
  <c r="Q6" i="35"/>
  <c r="Q7" i="35" s="1"/>
  <c r="P6" i="35"/>
  <c r="P7" i="35" s="1"/>
  <c r="O6" i="35"/>
  <c r="O7" i="35" s="1"/>
  <c r="M15" i="13"/>
  <c r="E15" i="13" s="1"/>
  <c r="K85" i="32" s="1"/>
  <c r="K6" i="35"/>
  <c r="K7" i="35" s="1"/>
  <c r="M14" i="13"/>
  <c r="E14" i="13" s="1"/>
  <c r="I6" i="35"/>
  <c r="I7" i="35" s="1"/>
  <c r="H6" i="35"/>
  <c r="H7" i="35" s="1"/>
  <c r="G6" i="35"/>
  <c r="G7" i="35" s="1"/>
  <c r="M10" i="13"/>
  <c r="L21" i="13"/>
  <c r="H21" i="13" s="1"/>
  <c r="L20" i="13"/>
  <c r="H20" i="13" s="1"/>
  <c r="O94" i="32" s="1"/>
  <c r="L19" i="13"/>
  <c r="H19" i="13" s="1"/>
  <c r="N94" i="32" s="1"/>
  <c r="L18" i="13"/>
  <c r="H18" i="13" s="1"/>
  <c r="P94" i="32" s="1"/>
  <c r="L17" i="13"/>
  <c r="L16" i="13"/>
  <c r="H16" i="13" s="1"/>
  <c r="L15" i="13"/>
  <c r="L14" i="13"/>
  <c r="H14" i="13" s="1"/>
  <c r="L13" i="13"/>
  <c r="H13" i="13" s="1"/>
  <c r="L12" i="13"/>
  <c r="H12" i="13" s="1"/>
  <c r="I12" i="13" s="1"/>
  <c r="H97" i="32" s="1"/>
  <c r="L11" i="13"/>
  <c r="H11" i="13" s="1"/>
  <c r="L10" i="13"/>
  <c r="H10" i="13" s="1"/>
  <c r="L9" i="13"/>
  <c r="H9" i="13" s="1"/>
  <c r="L24" i="13"/>
  <c r="D8" i="36" l="1"/>
  <c r="N9" i="13"/>
  <c r="J9" i="13" s="1"/>
  <c r="N12" i="13"/>
  <c r="J12" i="13" s="1"/>
  <c r="N21" i="13"/>
  <c r="J21" i="13" s="1"/>
  <c r="T7" i="36"/>
  <c r="W6" i="36"/>
  <c r="N24" i="13" s="1"/>
  <c r="G7" i="36"/>
  <c r="G8" i="36" s="1"/>
  <c r="W8" i="36" s="1"/>
  <c r="J24" i="13" s="1"/>
  <c r="Q7" i="36"/>
  <c r="Q8" i="36" s="1"/>
  <c r="N16" i="13"/>
  <c r="J16" i="13" s="1"/>
  <c r="N20" i="13"/>
  <c r="M11" i="13"/>
  <c r="E11" i="13" s="1"/>
  <c r="F11" i="13" s="1"/>
  <c r="M9" i="13"/>
  <c r="E9" i="13" s="1"/>
  <c r="E85" i="32" s="1"/>
  <c r="M13" i="13"/>
  <c r="E13" i="13" s="1"/>
  <c r="I85" i="32" s="1"/>
  <c r="M17" i="13"/>
  <c r="E17" i="13" s="1"/>
  <c r="M85" i="32" s="1"/>
  <c r="E6" i="35"/>
  <c r="E7" i="35" s="1"/>
  <c r="Y5" i="35"/>
  <c r="M24" i="13" s="1"/>
  <c r="M12" i="13"/>
  <c r="E12" i="13" s="1"/>
  <c r="F12" i="13" s="1"/>
  <c r="H17" i="13"/>
  <c r="M94" i="32" s="1"/>
  <c r="I94" i="32"/>
  <c r="I13" i="13"/>
  <c r="I97" i="32" s="1"/>
  <c r="Q94" i="32"/>
  <c r="I21" i="13"/>
  <c r="Q97" i="32" s="1"/>
  <c r="I10" i="13"/>
  <c r="F97" i="32" s="1"/>
  <c r="F94" i="32"/>
  <c r="I14" i="13"/>
  <c r="J97" i="32" s="1"/>
  <c r="J94" i="32"/>
  <c r="I16" i="13"/>
  <c r="L97" i="32" s="1"/>
  <c r="L94" i="32"/>
  <c r="E94" i="32"/>
  <c r="I9" i="13"/>
  <c r="I11" i="13"/>
  <c r="G97" i="32" s="1"/>
  <c r="G94" i="32"/>
  <c r="I18" i="13"/>
  <c r="P97" i="32" s="1"/>
  <c r="H94" i="32"/>
  <c r="G85" i="32"/>
  <c r="J85" i="32"/>
  <c r="F14" i="13"/>
  <c r="L85" i="32"/>
  <c r="F16" i="13"/>
  <c r="H85" i="32"/>
  <c r="E10" i="13"/>
  <c r="N85" i="32"/>
  <c r="F19" i="13"/>
  <c r="N88" i="32" s="1"/>
  <c r="N6" i="35"/>
  <c r="M21" i="13"/>
  <c r="E21" i="13" s="1"/>
  <c r="J6" i="35"/>
  <c r="J7" i="35" s="1"/>
  <c r="M18" i="13"/>
  <c r="E18" i="13" s="1"/>
  <c r="V6" i="35"/>
  <c r="M20" i="13"/>
  <c r="E20" i="13" s="1"/>
  <c r="F6" i="35"/>
  <c r="F7" i="35" s="1"/>
  <c r="F9" i="13"/>
  <c r="J13" i="13"/>
  <c r="I24" i="13"/>
  <c r="L23" i="13"/>
  <c r="H24" i="13"/>
  <c r="O26" i="32"/>
  <c r="N26" i="32"/>
  <c r="O23" i="32"/>
  <c r="N23" i="32"/>
  <c r="F13" i="13" l="1"/>
  <c r="I88" i="32" s="1"/>
  <c r="J23" i="13"/>
  <c r="J25" i="13" s="1"/>
  <c r="W7" i="36"/>
  <c r="N23" i="13"/>
  <c r="L25" i="13"/>
  <c r="H23" i="13"/>
  <c r="I17" i="13"/>
  <c r="M97" i="32" s="1"/>
  <c r="E24" i="13"/>
  <c r="Y6" i="35"/>
  <c r="F24" i="13" s="1"/>
  <c r="E97" i="32"/>
  <c r="Q85" i="32"/>
  <c r="F21" i="13"/>
  <c r="J88" i="32"/>
  <c r="G14" i="13"/>
  <c r="J91" i="32" s="1"/>
  <c r="O85" i="32"/>
  <c r="F20" i="13"/>
  <c r="O88" i="32" s="1"/>
  <c r="F85" i="32"/>
  <c r="F10" i="13"/>
  <c r="E88" i="32"/>
  <c r="G9" i="13"/>
  <c r="F17" i="13"/>
  <c r="N7" i="35"/>
  <c r="Y7" i="35" s="1"/>
  <c r="G24" i="13" s="1"/>
  <c r="E23" i="13"/>
  <c r="P85" i="32"/>
  <c r="F18" i="13"/>
  <c r="H88" i="32"/>
  <c r="G12" i="13"/>
  <c r="H91" i="32" s="1"/>
  <c r="L88" i="32"/>
  <c r="G16" i="13"/>
  <c r="L91" i="32" s="1"/>
  <c r="G88" i="32"/>
  <c r="G11" i="13"/>
  <c r="G91" i="32" s="1"/>
  <c r="M23" i="13"/>
  <c r="M25" i="13" s="1"/>
  <c r="Q154" i="32"/>
  <c r="O154" i="32"/>
  <c r="M154" i="32"/>
  <c r="L154" i="32"/>
  <c r="K154" i="32"/>
  <c r="I154" i="32"/>
  <c r="Q130" i="32"/>
  <c r="Q38" i="32" s="1"/>
  <c r="L130" i="32"/>
  <c r="L38" i="32" s="1"/>
  <c r="K130" i="32"/>
  <c r="K38" i="32" s="1"/>
  <c r="I130" i="32"/>
  <c r="I38" i="32" s="1"/>
  <c r="M127" i="32"/>
  <c r="L127" i="32"/>
  <c r="L124" i="32"/>
  <c r="O121" i="32"/>
  <c r="M121" i="32"/>
  <c r="L121" i="32"/>
  <c r="I121" i="32"/>
  <c r="O118" i="32"/>
  <c r="M118" i="32"/>
  <c r="L118" i="32"/>
  <c r="M115" i="32"/>
  <c r="L115" i="32"/>
  <c r="M112" i="32"/>
  <c r="L112" i="32"/>
  <c r="L109" i="32"/>
  <c r="Q106" i="32"/>
  <c r="O106" i="32"/>
  <c r="M106" i="32"/>
  <c r="L106" i="32"/>
  <c r="I106" i="32"/>
  <c r="O103" i="32"/>
  <c r="L103" i="32"/>
  <c r="M103" i="32"/>
  <c r="I103" i="32"/>
  <c r="M100" i="32"/>
  <c r="G13" i="13" l="1"/>
  <c r="I91" i="32" s="1"/>
  <c r="E25" i="13"/>
  <c r="I23" i="13"/>
  <c r="I25" i="13" s="1"/>
  <c r="N25" i="13"/>
  <c r="H25" i="13"/>
  <c r="F88" i="32"/>
  <c r="G10" i="13"/>
  <c r="F91" i="32" s="1"/>
  <c r="F23" i="13"/>
  <c r="F25" i="13" s="1"/>
  <c r="P88" i="32"/>
  <c r="G18" i="13"/>
  <c r="P91" i="32" s="1"/>
  <c r="G17" i="13"/>
  <c r="M91" i="32" s="1"/>
  <c r="M88" i="32"/>
  <c r="E91" i="32"/>
  <c r="Q88" i="32"/>
  <c r="G21" i="13"/>
  <c r="Q91" i="32" s="1"/>
  <c r="B14" i="8"/>
  <c r="Q14" i="32"/>
  <c r="P14" i="32"/>
  <c r="O14" i="32"/>
  <c r="N14" i="32"/>
  <c r="M14" i="32"/>
  <c r="L14" i="32"/>
  <c r="K14" i="32"/>
  <c r="J14" i="32"/>
  <c r="I14" i="32"/>
  <c r="H14" i="32"/>
  <c r="G14" i="32"/>
  <c r="F14" i="32"/>
  <c r="E14" i="32"/>
  <c r="D88" i="32" l="1"/>
  <c r="G23" i="13"/>
  <c r="G25" i="13" s="1"/>
  <c r="G65" i="32"/>
  <c r="H65" i="32"/>
  <c r="F65" i="32"/>
  <c r="E65" i="32"/>
  <c r="B26" i="12"/>
  <c r="Q56" i="32" l="1"/>
  <c r="P56" i="32"/>
  <c r="O56" i="32"/>
  <c r="M56" i="32"/>
  <c r="L56" i="32"/>
  <c r="K56" i="32"/>
  <c r="I56" i="32"/>
  <c r="H56" i="32"/>
  <c r="G56" i="32"/>
  <c r="F56" i="32"/>
  <c r="E56" i="32"/>
  <c r="Q53" i="32"/>
  <c r="P53" i="32"/>
  <c r="O53" i="32"/>
  <c r="M53" i="32"/>
  <c r="L53" i="32"/>
  <c r="K53" i="32"/>
  <c r="I53" i="32"/>
  <c r="H53" i="32"/>
  <c r="G53" i="32"/>
  <c r="F53" i="32"/>
  <c r="E53" i="32"/>
  <c r="Q50" i="32"/>
  <c r="P50" i="32"/>
  <c r="M50" i="32"/>
  <c r="L50" i="32"/>
  <c r="K50" i="32"/>
  <c r="I50" i="32"/>
  <c r="H50" i="32"/>
  <c r="G50" i="32"/>
  <c r="F50" i="32"/>
  <c r="E50" i="32"/>
  <c r="P47" i="32"/>
  <c r="Q47" i="32"/>
  <c r="G47" i="32"/>
  <c r="F47" i="32"/>
  <c r="E47" i="32"/>
  <c r="Q44" i="32"/>
  <c r="P44" i="32"/>
  <c r="O44" i="32"/>
  <c r="M44" i="32"/>
  <c r="L44" i="32"/>
  <c r="K44" i="32"/>
  <c r="I44" i="32"/>
  <c r="H44" i="32"/>
  <c r="G44" i="32"/>
  <c r="F44" i="32"/>
  <c r="E44" i="32"/>
  <c r="P32" i="32" l="1"/>
  <c r="L32" i="32"/>
  <c r="I32" i="32"/>
  <c r="H32" i="32"/>
  <c r="G32" i="32"/>
  <c r="F32" i="32"/>
  <c r="E32" i="32"/>
  <c r="D148" i="32" l="1"/>
  <c r="D142" i="32"/>
  <c r="D139" i="32"/>
  <c r="D133" i="32"/>
  <c r="P38" i="32"/>
  <c r="O38" i="32"/>
  <c r="N38" i="32"/>
  <c r="M38" i="32"/>
  <c r="J38" i="32"/>
  <c r="H38" i="32"/>
  <c r="G38" i="32"/>
  <c r="F38" i="32"/>
  <c r="E38" i="32"/>
  <c r="D121" i="32"/>
  <c r="D106" i="32"/>
  <c r="D103" i="32"/>
  <c r="D97" i="32"/>
  <c r="D94" i="32"/>
  <c r="D56" i="32"/>
  <c r="D53" i="32"/>
  <c r="D50" i="32"/>
  <c r="D47" i="32"/>
  <c r="D44" i="32"/>
  <c r="D26" i="32"/>
  <c r="D38" i="32" l="1"/>
  <c r="D23" i="32"/>
  <c r="D100" i="32"/>
  <c r="D127" i="32"/>
  <c r="D80" i="32"/>
  <c r="D118" i="32"/>
  <c r="D151" i="32"/>
  <c r="D112" i="32"/>
  <c r="D145" i="32"/>
  <c r="D130" i="32"/>
  <c r="D109" i="32"/>
  <c r="D115" i="32"/>
  <c r="D124" i="32"/>
  <c r="D68" i="32"/>
  <c r="B26" i="11"/>
  <c r="G25" i="11"/>
  <c r="Q62" i="32" s="1"/>
  <c r="D25" i="11"/>
  <c r="B23" i="11"/>
  <c r="G22" i="11"/>
  <c r="D22" i="11"/>
  <c r="G21" i="11"/>
  <c r="D21" i="11"/>
  <c r="G20" i="11"/>
  <c r="G31" i="11" s="1"/>
  <c r="D20" i="11"/>
  <c r="D29" i="11" s="1"/>
  <c r="D31" i="11" s="1"/>
  <c r="G30" i="11" s="1"/>
  <c r="N62" i="32" s="1"/>
  <c r="G16" i="11"/>
  <c r="D16" i="11"/>
  <c r="G15" i="11"/>
  <c r="M62" i="32" s="1"/>
  <c r="D15" i="11"/>
  <c r="G14" i="11"/>
  <c r="K62" i="32" s="1"/>
  <c r="D14" i="11"/>
  <c r="G13" i="11"/>
  <c r="J62" i="32" s="1"/>
  <c r="D13" i="11"/>
  <c r="F12" i="11"/>
  <c r="G11" i="11"/>
  <c r="D11" i="11"/>
  <c r="D10" i="11"/>
  <c r="D9" i="11"/>
  <c r="D17" i="11"/>
  <c r="G7" i="11"/>
  <c r="E62" i="32" s="1"/>
  <c r="D7" i="11"/>
  <c r="G26" i="3"/>
  <c r="G23" i="3"/>
  <c r="G22" i="3"/>
  <c r="G21" i="3"/>
  <c r="G17" i="3"/>
  <c r="G16" i="3"/>
  <c r="G15" i="3"/>
  <c r="G14" i="3"/>
  <c r="G12" i="3"/>
  <c r="G8" i="3"/>
  <c r="F13" i="3"/>
  <c r="F10" i="3"/>
  <c r="G10" i="3" s="1"/>
  <c r="G13" i="3" l="1"/>
  <c r="F20" i="3"/>
  <c r="G20" i="3" s="1"/>
  <c r="F11" i="3"/>
  <c r="G11" i="3" s="1"/>
  <c r="F9" i="3"/>
  <c r="F8" i="11"/>
  <c r="F10" i="11"/>
  <c r="F18" i="11" s="1"/>
  <c r="G18" i="11" s="1"/>
  <c r="D18" i="11"/>
  <c r="F19" i="3"/>
  <c r="G19" i="3" s="1"/>
  <c r="F9" i="11"/>
  <c r="G9" i="11" s="1"/>
  <c r="G62" i="32" s="1"/>
  <c r="G12" i="11"/>
  <c r="I62" i="32" s="1"/>
  <c r="F19" i="11"/>
  <c r="G19" i="11" s="1"/>
  <c r="D19" i="11"/>
  <c r="G8" i="11"/>
  <c r="F62" i="32" s="1"/>
  <c r="G10" i="11"/>
  <c r="H62" i="32" s="1"/>
  <c r="D12" i="11"/>
  <c r="D8" i="11"/>
  <c r="F18" i="3" l="1"/>
  <c r="G18" i="3" s="1"/>
  <c r="G9" i="3"/>
  <c r="D23" i="11"/>
  <c r="D26" i="11" s="1"/>
  <c r="F17" i="11"/>
  <c r="C23" i="11"/>
  <c r="C26" i="11" s="1"/>
  <c r="F24" i="3" l="1"/>
  <c r="F27" i="3" s="1"/>
  <c r="G17" i="11"/>
  <c r="F23" i="11"/>
  <c r="F26" i="11" s="1"/>
  <c r="G24" i="3"/>
  <c r="G27" i="3" s="1"/>
  <c r="C24" i="3"/>
  <c r="C27" i="3" s="1"/>
  <c r="B24" i="3"/>
  <c r="B27" i="3" s="1"/>
  <c r="D26" i="3"/>
  <c r="Q17" i="32" s="1"/>
  <c r="D23" i="3"/>
  <c r="D22" i="3"/>
  <c r="D21" i="3"/>
  <c r="O17" i="32" s="1"/>
  <c r="D20" i="3"/>
  <c r="D19" i="3"/>
  <c r="D18" i="3"/>
  <c r="D17" i="3"/>
  <c r="D16" i="3"/>
  <c r="D15" i="3"/>
  <c r="K17" i="32" s="1"/>
  <c r="D14" i="3"/>
  <c r="J17" i="32" s="1"/>
  <c r="D13" i="3"/>
  <c r="I17" i="32" s="1"/>
  <c r="D12" i="3"/>
  <c r="D11" i="3"/>
  <c r="H17" i="32" s="1"/>
  <c r="D10" i="3"/>
  <c r="G17" i="32" s="1"/>
  <c r="D9" i="3"/>
  <c r="F17" i="32" s="1"/>
  <c r="D8" i="3"/>
  <c r="E17" i="32" s="1"/>
  <c r="L17" i="32" l="1"/>
  <c r="M17" i="32"/>
  <c r="D17" i="32" s="1"/>
  <c r="L62" i="32"/>
  <c r="G23" i="11"/>
  <c r="G26" i="11" s="1"/>
  <c r="D24" i="3"/>
  <c r="D27" i="3" s="1"/>
  <c r="Q71" i="32"/>
  <c r="Q74" i="32" s="1"/>
  <c r="P71" i="32"/>
  <c r="P74" i="32" s="1"/>
  <c r="O71" i="32"/>
  <c r="M71" i="32"/>
  <c r="M74" i="32" s="1"/>
  <c r="L71" i="32"/>
  <c r="L74" i="32" s="1"/>
  <c r="K71" i="32"/>
  <c r="K74" i="32" s="1"/>
  <c r="J71" i="32"/>
  <c r="J74" i="32" s="1"/>
  <c r="I71" i="32"/>
  <c r="I74" i="32" s="1"/>
  <c r="H71" i="32"/>
  <c r="H74" i="32" s="1"/>
  <c r="G71" i="32"/>
  <c r="G74" i="32" s="1"/>
  <c r="F71" i="32"/>
  <c r="F74" i="32" s="1"/>
  <c r="E71" i="32"/>
  <c r="E74" i="32" s="1"/>
  <c r="P59" i="32"/>
  <c r="I59" i="32"/>
  <c r="H59" i="32"/>
  <c r="G59" i="32"/>
  <c r="F59" i="32"/>
  <c r="E59" i="32"/>
  <c r="H35" i="32"/>
  <c r="G35" i="32"/>
  <c r="F35" i="32"/>
  <c r="E35" i="32"/>
  <c r="G8" i="32"/>
  <c r="G11" i="32" s="1"/>
  <c r="I8" i="32"/>
  <c r="J8" i="32"/>
  <c r="Q8" i="32"/>
  <c r="P8" i="32"/>
  <c r="O8" i="32"/>
  <c r="M8" i="32"/>
  <c r="L8" i="32"/>
  <c r="K8" i="32"/>
  <c r="H8" i="32"/>
  <c r="H11" i="32" s="1"/>
  <c r="F8" i="32"/>
  <c r="F11" i="32" s="1"/>
  <c r="E8" i="32"/>
  <c r="E11" i="32" s="1"/>
  <c r="A172" i="32"/>
  <c r="A169" i="32"/>
  <c r="D166" i="32"/>
  <c r="I165" i="32" s="1"/>
  <c r="A166" i="32"/>
  <c r="A154" i="32"/>
  <c r="A155" i="32" s="1"/>
  <c r="A151" i="32"/>
  <c r="A152" i="32" s="1"/>
  <c r="Q150" i="32"/>
  <c r="P150" i="32"/>
  <c r="O150" i="32"/>
  <c r="N150" i="32"/>
  <c r="M150" i="32"/>
  <c r="L150" i="32"/>
  <c r="K150" i="32"/>
  <c r="J150" i="32"/>
  <c r="I150" i="32"/>
  <c r="H150" i="32"/>
  <c r="G150" i="32"/>
  <c r="F150" i="32"/>
  <c r="E150" i="32"/>
  <c r="A148" i="32"/>
  <c r="A149" i="32" s="1"/>
  <c r="A145" i="32"/>
  <c r="A69" i="32" s="1"/>
  <c r="Q144" i="32"/>
  <c r="P144" i="32"/>
  <c r="N144" i="32"/>
  <c r="M144" i="32"/>
  <c r="L144" i="32"/>
  <c r="J144" i="32"/>
  <c r="I144" i="32"/>
  <c r="H144" i="32"/>
  <c r="F144" i="32"/>
  <c r="E144" i="32"/>
  <c r="A142" i="32"/>
  <c r="A143" i="32" s="1"/>
  <c r="Q141" i="32"/>
  <c r="P141" i="32"/>
  <c r="O141" i="32"/>
  <c r="N141" i="32"/>
  <c r="M141" i="32"/>
  <c r="L141" i="32"/>
  <c r="K141" i="32"/>
  <c r="J141" i="32"/>
  <c r="I141" i="32"/>
  <c r="H141" i="32"/>
  <c r="G141" i="32"/>
  <c r="F141" i="32"/>
  <c r="E141" i="32"/>
  <c r="G138" i="32"/>
  <c r="A139" i="32"/>
  <c r="A140" i="32" s="1"/>
  <c r="A136" i="32"/>
  <c r="A137" i="32" s="1"/>
  <c r="N135" i="32"/>
  <c r="M135" i="32"/>
  <c r="J135" i="32"/>
  <c r="F135" i="32"/>
  <c r="E135" i="32"/>
  <c r="A133" i="32"/>
  <c r="A134" i="32" s="1"/>
  <c r="Q132" i="32"/>
  <c r="P132" i="32"/>
  <c r="N132" i="32"/>
  <c r="M132" i="32"/>
  <c r="L132" i="32"/>
  <c r="J132" i="32"/>
  <c r="I132" i="32"/>
  <c r="H132" i="32"/>
  <c r="F132" i="32"/>
  <c r="E132" i="32"/>
  <c r="A130" i="32"/>
  <c r="A131" i="32" s="1"/>
  <c r="Q129" i="32"/>
  <c r="N129" i="32"/>
  <c r="M129" i="32"/>
  <c r="J129" i="32"/>
  <c r="I129" i="32"/>
  <c r="F129" i="32"/>
  <c r="E129" i="32"/>
  <c r="A127" i="32"/>
  <c r="A128" i="32" s="1"/>
  <c r="Q126" i="32"/>
  <c r="P126" i="32"/>
  <c r="N126" i="32"/>
  <c r="M126" i="32"/>
  <c r="L126" i="32"/>
  <c r="J126" i="32"/>
  <c r="I126" i="32"/>
  <c r="H126" i="32"/>
  <c r="F126" i="32"/>
  <c r="E126" i="32"/>
  <c r="A124" i="32"/>
  <c r="A125" i="32" s="1"/>
  <c r="Q123" i="32"/>
  <c r="P123" i="32"/>
  <c r="O123" i="32"/>
  <c r="N123" i="32"/>
  <c r="M123" i="32"/>
  <c r="L123" i="32"/>
  <c r="K123" i="32"/>
  <c r="J123" i="32"/>
  <c r="I123" i="32"/>
  <c r="H123" i="32"/>
  <c r="G123" i="32"/>
  <c r="F123" i="32"/>
  <c r="E123" i="32"/>
  <c r="A121" i="32"/>
  <c r="A122" i="32" s="1"/>
  <c r="P120" i="32"/>
  <c r="O120" i="32"/>
  <c r="N120" i="32"/>
  <c r="K120" i="32"/>
  <c r="J120" i="32"/>
  <c r="H120" i="32"/>
  <c r="F120" i="32"/>
  <c r="A118" i="32"/>
  <c r="A119" i="32" s="1"/>
  <c r="M117" i="32"/>
  <c r="F117" i="32"/>
  <c r="A115" i="32"/>
  <c r="A116" i="32" s="1"/>
  <c r="Q114" i="32"/>
  <c r="P114" i="32"/>
  <c r="N114" i="32"/>
  <c r="M114" i="32"/>
  <c r="L114" i="32"/>
  <c r="J114" i="32"/>
  <c r="I114" i="32"/>
  <c r="H114" i="32"/>
  <c r="F114" i="32"/>
  <c r="E114" i="32"/>
  <c r="A112" i="32"/>
  <c r="A113" i="32" s="1"/>
  <c r="Q111" i="32"/>
  <c r="P111" i="32"/>
  <c r="O111" i="32"/>
  <c r="N111" i="32"/>
  <c r="M111" i="32"/>
  <c r="L111" i="32"/>
  <c r="K111" i="32"/>
  <c r="J111" i="32"/>
  <c r="I111" i="32"/>
  <c r="H111" i="32"/>
  <c r="G111" i="32"/>
  <c r="F111" i="32"/>
  <c r="E111" i="32"/>
  <c r="A109" i="32"/>
  <c r="A110" i="32" s="1"/>
  <c r="N108" i="32"/>
  <c r="K108" i="32"/>
  <c r="F108" i="32"/>
  <c r="A106" i="32"/>
  <c r="A107" i="32" s="1"/>
  <c r="Q105" i="32"/>
  <c r="O105" i="32"/>
  <c r="M105" i="32"/>
  <c r="J105" i="32"/>
  <c r="G105" i="32"/>
  <c r="F105" i="32"/>
  <c r="A103" i="32"/>
  <c r="A104" i="32" s="1"/>
  <c r="Q102" i="32"/>
  <c r="P102" i="32"/>
  <c r="O102" i="32"/>
  <c r="N102" i="32"/>
  <c r="M102" i="32"/>
  <c r="L102" i="32"/>
  <c r="K102" i="32"/>
  <c r="J102" i="32"/>
  <c r="I102" i="32"/>
  <c r="H102" i="32"/>
  <c r="G102" i="32"/>
  <c r="F102" i="32"/>
  <c r="E102" i="32"/>
  <c r="A100" i="32"/>
  <c r="A101" i="32" s="1"/>
  <c r="P99" i="32"/>
  <c r="O99" i="32"/>
  <c r="N99" i="32"/>
  <c r="L99" i="32"/>
  <c r="K99" i="32"/>
  <c r="J99" i="32"/>
  <c r="H99" i="32"/>
  <c r="G99" i="32"/>
  <c r="F99" i="32"/>
  <c r="A97" i="32"/>
  <c r="A98" i="32" s="1"/>
  <c r="E96" i="32"/>
  <c r="A94" i="32"/>
  <c r="A95" i="32" s="1"/>
  <c r="Q93" i="32"/>
  <c r="P93" i="32"/>
  <c r="M93" i="32"/>
  <c r="L93" i="32"/>
  <c r="J93" i="32"/>
  <c r="H93" i="32"/>
  <c r="F93" i="32"/>
  <c r="E93" i="32"/>
  <c r="D91" i="32"/>
  <c r="A91" i="32"/>
  <c r="A66" i="32" s="1"/>
  <c r="E87" i="32"/>
  <c r="A88" i="32"/>
  <c r="A89" i="32" s="1"/>
  <c r="O87" i="32"/>
  <c r="J87" i="32"/>
  <c r="D85" i="32"/>
  <c r="A85" i="32"/>
  <c r="A86" i="32" s="1"/>
  <c r="A80" i="32"/>
  <c r="Q79" i="32"/>
  <c r="P79" i="32"/>
  <c r="O79" i="32"/>
  <c r="N79" i="32"/>
  <c r="M79" i="32"/>
  <c r="L79" i="32"/>
  <c r="K79" i="32"/>
  <c r="J79" i="32"/>
  <c r="I79" i="32"/>
  <c r="H79" i="32"/>
  <c r="G79" i="32"/>
  <c r="F79" i="32"/>
  <c r="E79" i="32"/>
  <c r="D77" i="32"/>
  <c r="A77" i="32"/>
  <c r="A78" i="32" s="1"/>
  <c r="A74" i="32"/>
  <c r="A75" i="32" s="1"/>
  <c r="A71" i="32"/>
  <c r="A72" i="32" s="1"/>
  <c r="A68" i="32"/>
  <c r="P67" i="32"/>
  <c r="O67" i="32"/>
  <c r="N67" i="32"/>
  <c r="L67" i="32"/>
  <c r="K67" i="32"/>
  <c r="J67" i="32"/>
  <c r="H67" i="32"/>
  <c r="G67" i="32"/>
  <c r="F67" i="32"/>
  <c r="A65" i="32"/>
  <c r="A62" i="32"/>
  <c r="A63" i="32" s="1"/>
  <c r="A59" i="32"/>
  <c r="A60" i="32" s="1"/>
  <c r="A56" i="32"/>
  <c r="A57" i="32" s="1"/>
  <c r="A53" i="32"/>
  <c r="A54" i="32" s="1"/>
  <c r="J52" i="32"/>
  <c r="A50" i="32"/>
  <c r="A51" i="32" s="1"/>
  <c r="Q49" i="32"/>
  <c r="P49" i="32"/>
  <c r="O49" i="32"/>
  <c r="N49" i="32"/>
  <c r="M49" i="32"/>
  <c r="L49" i="32"/>
  <c r="K49" i="32"/>
  <c r="J49" i="32"/>
  <c r="I49" i="32"/>
  <c r="H49" i="32"/>
  <c r="G49" i="32"/>
  <c r="F49" i="32"/>
  <c r="E49" i="32"/>
  <c r="A47" i="32"/>
  <c r="O46" i="32"/>
  <c r="K46" i="32"/>
  <c r="J46" i="32"/>
  <c r="G46" i="32"/>
  <c r="A44" i="32"/>
  <c r="Q43" i="32"/>
  <c r="P43" i="32"/>
  <c r="O43" i="32"/>
  <c r="N43" i="32"/>
  <c r="M43" i="32"/>
  <c r="L43" i="32"/>
  <c r="K43" i="32"/>
  <c r="J43" i="32"/>
  <c r="I43" i="32"/>
  <c r="H43" i="32"/>
  <c r="G43" i="32"/>
  <c r="F43" i="32"/>
  <c r="E43" i="32"/>
  <c r="D41" i="32"/>
  <c r="A41" i="32"/>
  <c r="A42" i="32" s="1"/>
  <c r="A38" i="32"/>
  <c r="A39" i="32" s="1"/>
  <c r="Q37" i="32"/>
  <c r="J37" i="32"/>
  <c r="I37" i="32"/>
  <c r="A35" i="32"/>
  <c r="A36" i="32" s="1"/>
  <c r="A32" i="32"/>
  <c r="A33" i="32" s="1"/>
  <c r="D29" i="32"/>
  <c r="A29" i="32"/>
  <c r="A30" i="32" s="1"/>
  <c r="A26" i="32"/>
  <c r="A27" i="32" s="1"/>
  <c r="Q25" i="32"/>
  <c r="P25" i="32"/>
  <c r="O25" i="32"/>
  <c r="N25" i="32"/>
  <c r="M25" i="32"/>
  <c r="L25" i="32"/>
  <c r="K25" i="32"/>
  <c r="J25" i="32"/>
  <c r="I25" i="32"/>
  <c r="H25" i="32"/>
  <c r="G25" i="32"/>
  <c r="F25" i="32"/>
  <c r="E25" i="32"/>
  <c r="A23" i="32"/>
  <c r="O22" i="32"/>
  <c r="K22" i="32"/>
  <c r="J22" i="32"/>
  <c r="G22" i="32"/>
  <c r="D20" i="32"/>
  <c r="A20" i="32"/>
  <c r="A21" i="32" s="1"/>
  <c r="A17" i="32"/>
  <c r="A18" i="32" s="1"/>
  <c r="D14" i="32"/>
  <c r="A14" i="32"/>
  <c r="A15" i="32" s="1"/>
  <c r="A11" i="32"/>
  <c r="A12" i="32" s="1"/>
  <c r="A8" i="32"/>
  <c r="A9" i="32" s="1"/>
  <c r="D9" i="31"/>
  <c r="D10" i="31" s="1"/>
  <c r="D59" i="32" l="1"/>
  <c r="K58" i="32" s="1"/>
  <c r="F40" i="32"/>
  <c r="N40" i="32"/>
  <c r="O40" i="32"/>
  <c r="J40" i="32"/>
  <c r="P40" i="32"/>
  <c r="H40" i="32"/>
  <c r="K40" i="32"/>
  <c r="D71" i="32"/>
  <c r="N70" i="32" s="1"/>
  <c r="D74" i="32"/>
  <c r="Q73" i="32" s="1"/>
  <c r="D35" i="32"/>
  <c r="O34" i="32" s="1"/>
  <c r="D8" i="32"/>
  <c r="H7" i="32" s="1"/>
  <c r="O90" i="32"/>
  <c r="J90" i="32"/>
  <c r="K90" i="32"/>
  <c r="F90" i="32"/>
  <c r="P90" i="32"/>
  <c r="F84" i="32"/>
  <c r="L84" i="32"/>
  <c r="E84" i="32"/>
  <c r="M84" i="32"/>
  <c r="O13" i="32"/>
  <c r="F13" i="32"/>
  <c r="D65" i="32"/>
  <c r="D32" i="32"/>
  <c r="L31" i="32" s="1"/>
  <c r="P13" i="32"/>
  <c r="J13" i="32"/>
  <c r="K13" i="32"/>
  <c r="I16" i="32"/>
  <c r="M16" i="32"/>
  <c r="Q16" i="32"/>
  <c r="E16" i="32"/>
  <c r="F16" i="32"/>
  <c r="J16" i="32"/>
  <c r="N16" i="32"/>
  <c r="G16" i="32"/>
  <c r="K16" i="32"/>
  <c r="O16" i="32"/>
  <c r="H16" i="32"/>
  <c r="L16" i="32"/>
  <c r="P16" i="32"/>
  <c r="J165" i="32"/>
  <c r="H84" i="32"/>
  <c r="P84" i="32"/>
  <c r="G90" i="32"/>
  <c r="L90" i="32"/>
  <c r="Q165" i="32"/>
  <c r="J84" i="32"/>
  <c r="Q84" i="32"/>
  <c r="H90" i="32"/>
  <c r="N90" i="32"/>
  <c r="F58" i="32"/>
  <c r="P58" i="32"/>
  <c r="L58" i="32"/>
  <c r="G58" i="32"/>
  <c r="N58" i="32"/>
  <c r="J58" i="32"/>
  <c r="O58" i="32"/>
  <c r="D154" i="32"/>
  <c r="G40" i="32"/>
  <c r="L40" i="32"/>
  <c r="N34" i="32"/>
  <c r="E34" i="32"/>
  <c r="D11" i="32"/>
  <c r="E10" i="32" s="1"/>
  <c r="I19" i="32"/>
  <c r="N19" i="32"/>
  <c r="Q19" i="32"/>
  <c r="H19" i="32"/>
  <c r="F10" i="32"/>
  <c r="N7" i="32"/>
  <c r="M7" i="32"/>
  <c r="P7" i="32"/>
  <c r="J7" i="32"/>
  <c r="P28" i="32"/>
  <c r="L28" i="32"/>
  <c r="H28" i="32"/>
  <c r="O28" i="32"/>
  <c r="K28" i="32"/>
  <c r="G28" i="32"/>
  <c r="M28" i="32"/>
  <c r="Q28" i="32"/>
  <c r="I28" i="32"/>
  <c r="N28" i="32"/>
  <c r="F28" i="32"/>
  <c r="E28" i="32"/>
  <c r="J28" i="32"/>
  <c r="P52" i="32"/>
  <c r="L52" i="32"/>
  <c r="H52" i="32"/>
  <c r="O52" i="32"/>
  <c r="K52" i="32"/>
  <c r="G52" i="32"/>
  <c r="M52" i="32"/>
  <c r="Q52" i="32"/>
  <c r="I52" i="32"/>
  <c r="N52" i="32"/>
  <c r="F52" i="32"/>
  <c r="E52" i="32"/>
  <c r="K55" i="32"/>
  <c r="Q76" i="32"/>
  <c r="M76" i="32"/>
  <c r="I76" i="32"/>
  <c r="E76" i="32"/>
  <c r="O76" i="32"/>
  <c r="J76" i="32"/>
  <c r="N76" i="32"/>
  <c r="H76" i="32"/>
  <c r="L76" i="32"/>
  <c r="G76" i="32"/>
  <c r="Q147" i="32"/>
  <c r="M147" i="32"/>
  <c r="I147" i="32"/>
  <c r="E147" i="32"/>
  <c r="P147" i="32"/>
  <c r="L147" i="32"/>
  <c r="H147" i="32"/>
  <c r="J147" i="32"/>
  <c r="O147" i="32"/>
  <c r="G147" i="32"/>
  <c r="K147" i="32"/>
  <c r="F147" i="32"/>
  <c r="Q13" i="32"/>
  <c r="M13" i="32"/>
  <c r="I13" i="32"/>
  <c r="E13" i="32"/>
  <c r="P37" i="32"/>
  <c r="L37" i="32"/>
  <c r="H37" i="32"/>
  <c r="O37" i="32"/>
  <c r="K37" i="32"/>
  <c r="G37" i="32"/>
  <c r="P76" i="32"/>
  <c r="P96" i="32"/>
  <c r="L96" i="32"/>
  <c r="H96" i="32"/>
  <c r="N96" i="32"/>
  <c r="I96" i="32"/>
  <c r="M96" i="32"/>
  <c r="G96" i="32"/>
  <c r="Q96" i="32"/>
  <c r="K96" i="32"/>
  <c r="F96" i="32"/>
  <c r="K7" i="32"/>
  <c r="G7" i="32"/>
  <c r="G13" i="32"/>
  <c r="L13" i="32"/>
  <c r="E19" i="32"/>
  <c r="J19" i="32"/>
  <c r="Q22" i="32"/>
  <c r="M22" i="32"/>
  <c r="I22" i="32"/>
  <c r="E22" i="32"/>
  <c r="P22" i="32"/>
  <c r="L22" i="32"/>
  <c r="H22" i="32"/>
  <c r="E37" i="32"/>
  <c r="M37" i="32"/>
  <c r="Q46" i="32"/>
  <c r="M46" i="32"/>
  <c r="I46" i="32"/>
  <c r="E46" i="32"/>
  <c r="P46" i="32"/>
  <c r="L46" i="32"/>
  <c r="H46" i="32"/>
  <c r="G55" i="32"/>
  <c r="O55" i="32"/>
  <c r="O96" i="32"/>
  <c r="F7" i="32"/>
  <c r="L7" i="32"/>
  <c r="P10" i="32"/>
  <c r="H13" i="32"/>
  <c r="N13" i="32"/>
  <c r="F19" i="32"/>
  <c r="M19" i="32"/>
  <c r="F22" i="32"/>
  <c r="N22" i="32"/>
  <c r="F37" i="32"/>
  <c r="N37" i="32"/>
  <c r="F46" i="32"/>
  <c r="N46" i="32"/>
  <c r="J55" i="32"/>
  <c r="F76" i="32"/>
  <c r="P87" i="32"/>
  <c r="L87" i="32"/>
  <c r="H87" i="32"/>
  <c r="N87" i="32"/>
  <c r="I87" i="32"/>
  <c r="M87" i="32"/>
  <c r="G87" i="32"/>
  <c r="Q87" i="32"/>
  <c r="K87" i="32"/>
  <c r="F87" i="32"/>
  <c r="P117" i="32"/>
  <c r="L117" i="32"/>
  <c r="H117" i="32"/>
  <c r="N117" i="32"/>
  <c r="I117" i="32"/>
  <c r="K117" i="32"/>
  <c r="E117" i="32"/>
  <c r="Q117" i="32"/>
  <c r="J117" i="32"/>
  <c r="O117" i="32"/>
  <c r="G117" i="32"/>
  <c r="Q55" i="32"/>
  <c r="M55" i="32"/>
  <c r="I55" i="32"/>
  <c r="E55" i="32"/>
  <c r="P55" i="32"/>
  <c r="L55" i="32"/>
  <c r="H55" i="32"/>
  <c r="K76" i="32"/>
  <c r="Q138" i="32"/>
  <c r="M138" i="32"/>
  <c r="I138" i="32"/>
  <c r="E138" i="32"/>
  <c r="P138" i="32"/>
  <c r="L138" i="32"/>
  <c r="H138" i="32"/>
  <c r="J138" i="32"/>
  <c r="O138" i="32"/>
  <c r="F138" i="32"/>
  <c r="N138" i="32"/>
  <c r="K138" i="32"/>
  <c r="F55" i="32"/>
  <c r="N55" i="32"/>
  <c r="J96" i="32"/>
  <c r="P19" i="32"/>
  <c r="L19" i="32"/>
  <c r="O19" i="32"/>
  <c r="K19" i="32"/>
  <c r="G19" i="32"/>
  <c r="N147" i="32"/>
  <c r="Q108" i="32"/>
  <c r="M108" i="32"/>
  <c r="I108" i="32"/>
  <c r="E108" i="32"/>
  <c r="L108" i="32"/>
  <c r="G108" i="32"/>
  <c r="E40" i="32"/>
  <c r="I40" i="32"/>
  <c r="M40" i="32"/>
  <c r="Q40" i="32"/>
  <c r="E58" i="32"/>
  <c r="I58" i="32"/>
  <c r="M58" i="32"/>
  <c r="E67" i="32"/>
  <c r="I67" i="32"/>
  <c r="M67" i="32"/>
  <c r="Q67" i="32"/>
  <c r="L70" i="32"/>
  <c r="I84" i="32"/>
  <c r="N84" i="32"/>
  <c r="Q90" i="32"/>
  <c r="M90" i="32"/>
  <c r="I90" i="32"/>
  <c r="E90" i="32"/>
  <c r="I93" i="32"/>
  <c r="N93" i="32"/>
  <c r="Q99" i="32"/>
  <c r="M99" i="32"/>
  <c r="I99" i="32"/>
  <c r="E99" i="32"/>
  <c r="E105" i="32"/>
  <c r="K105" i="32"/>
  <c r="H108" i="32"/>
  <c r="O108" i="32"/>
  <c r="Q120" i="32"/>
  <c r="M120" i="32"/>
  <c r="I120" i="32"/>
  <c r="E120" i="32"/>
  <c r="L120" i="32"/>
  <c r="G120" i="32"/>
  <c r="P135" i="32"/>
  <c r="L135" i="32"/>
  <c r="H135" i="32"/>
  <c r="O135" i="32"/>
  <c r="K135" i="32"/>
  <c r="G135" i="32"/>
  <c r="Q135" i="32"/>
  <c r="I135" i="32"/>
  <c r="H70" i="32"/>
  <c r="O84" i="32"/>
  <c r="K84" i="32"/>
  <c r="G84" i="32"/>
  <c r="O93" i="32"/>
  <c r="K93" i="32"/>
  <c r="G93" i="32"/>
  <c r="P105" i="32"/>
  <c r="L105" i="32"/>
  <c r="H105" i="32"/>
  <c r="N105" i="32"/>
  <c r="I105" i="32"/>
  <c r="J108" i="32"/>
  <c r="P108" i="32"/>
  <c r="P165" i="32"/>
  <c r="L165" i="32"/>
  <c r="H165" i="32"/>
  <c r="O165" i="32"/>
  <c r="K165" i="32"/>
  <c r="G165" i="32"/>
  <c r="N165" i="32"/>
  <c r="F165" i="32"/>
  <c r="M165" i="32"/>
  <c r="E165" i="32"/>
  <c r="O114" i="32"/>
  <c r="K114" i="32"/>
  <c r="G114" i="32"/>
  <c r="P129" i="32"/>
  <c r="L129" i="32"/>
  <c r="H129" i="32"/>
  <c r="O129" i="32"/>
  <c r="K129" i="32"/>
  <c r="G129" i="32"/>
  <c r="G126" i="32"/>
  <c r="K126" i="32"/>
  <c r="O126" i="32"/>
  <c r="G132" i="32"/>
  <c r="K132" i="32"/>
  <c r="O132" i="32"/>
  <c r="G144" i="32"/>
  <c r="K144" i="32"/>
  <c r="O144" i="32"/>
  <c r="D13" i="31"/>
  <c r="D12" i="31"/>
  <c r="E9" i="31"/>
  <c r="L73" i="32" l="1"/>
  <c r="G73" i="32"/>
  <c r="K70" i="32"/>
  <c r="F73" i="32"/>
  <c r="Q58" i="32"/>
  <c r="H58" i="32"/>
  <c r="Q7" i="32"/>
  <c r="E7" i="32"/>
  <c r="O7" i="32"/>
  <c r="I7" i="32"/>
  <c r="M34" i="32"/>
  <c r="G34" i="32"/>
  <c r="N10" i="32"/>
  <c r="H34" i="32"/>
  <c r="Q34" i="32"/>
  <c r="K34" i="32"/>
  <c r="N73" i="32"/>
  <c r="P34" i="32"/>
  <c r="J34" i="32"/>
  <c r="J73" i="32"/>
  <c r="P70" i="32"/>
  <c r="M70" i="32"/>
  <c r="P73" i="32"/>
  <c r="Q70" i="32"/>
  <c r="G70" i="32"/>
  <c r="G10" i="32"/>
  <c r="K10" i="32"/>
  <c r="L34" i="32"/>
  <c r="I34" i="32"/>
  <c r="F34" i="32"/>
  <c r="J70" i="32"/>
  <c r="E70" i="32"/>
  <c r="M73" i="32"/>
  <c r="H73" i="32"/>
  <c r="F70" i="32"/>
  <c r="O70" i="32"/>
  <c r="I70" i="32"/>
  <c r="K73" i="32"/>
  <c r="I73" i="32"/>
  <c r="O73" i="32"/>
  <c r="N64" i="32"/>
  <c r="J10" i="32"/>
  <c r="Q10" i="32"/>
  <c r="E73" i="32"/>
  <c r="H64" i="32"/>
  <c r="L10" i="32"/>
  <c r="I10" i="32"/>
  <c r="O10" i="32"/>
  <c r="K153" i="32"/>
  <c r="O153" i="32"/>
  <c r="I153" i="32"/>
  <c r="L153" i="32"/>
  <c r="M153" i="32"/>
  <c r="H153" i="32"/>
  <c r="J153" i="32"/>
  <c r="E153" i="32"/>
  <c r="Q64" i="32"/>
  <c r="E64" i="32"/>
  <c r="G64" i="32"/>
  <c r="L64" i="32"/>
  <c r="P64" i="32"/>
  <c r="I64" i="32"/>
  <c r="F64" i="32"/>
  <c r="J64" i="32"/>
  <c r="M64" i="32"/>
  <c r="O64" i="32"/>
  <c r="K64" i="32"/>
  <c r="N31" i="32"/>
  <c r="E31" i="32"/>
  <c r="Q31" i="32"/>
  <c r="M31" i="32"/>
  <c r="F31" i="32"/>
  <c r="G31" i="32"/>
  <c r="O31" i="32"/>
  <c r="P31" i="32"/>
  <c r="I31" i="32"/>
  <c r="H31" i="32"/>
  <c r="J31" i="32"/>
  <c r="K31" i="32"/>
  <c r="G153" i="32"/>
  <c r="F153" i="32"/>
  <c r="Q153" i="32"/>
  <c r="N153" i="32"/>
  <c r="P153" i="32"/>
  <c r="H10" i="32"/>
  <c r="M10" i="32"/>
  <c r="E10" i="31"/>
  <c r="E13" i="31"/>
  <c r="E12" i="31"/>
  <c r="E66" i="29" l="1"/>
  <c r="E65" i="29"/>
  <c r="E62" i="29"/>
  <c r="E61" i="29"/>
  <c r="E60" i="29"/>
  <c r="E59" i="29"/>
  <c r="E58" i="29"/>
  <c r="E57" i="29"/>
  <c r="E56" i="29"/>
  <c r="E55" i="29"/>
  <c r="E54" i="29"/>
  <c r="E74" i="29" l="1"/>
  <c r="G35" i="29"/>
  <c r="F44" i="29"/>
  <c r="G29" i="11"/>
  <c r="O62" i="32" s="1"/>
  <c r="D62" i="32" s="1"/>
  <c r="Q61" i="32" l="1"/>
  <c r="L61" i="32"/>
  <c r="O61" i="32"/>
  <c r="E61" i="32"/>
  <c r="H61" i="32"/>
  <c r="K61" i="32"/>
  <c r="M61" i="32"/>
  <c r="F61" i="32"/>
  <c r="I61" i="32"/>
  <c r="G61" i="32"/>
  <c r="N61" i="32"/>
  <c r="J61" i="32"/>
  <c r="P61" i="32"/>
  <c r="J25" i="20" l="1"/>
  <c r="K13" i="13" s="1"/>
  <c r="C13" i="13" s="1"/>
  <c r="J23" i="20"/>
  <c r="K12" i="13" s="1"/>
  <c r="C12" i="13" s="1"/>
  <c r="O27" i="20" l="1"/>
  <c r="O34" i="20" s="1"/>
  <c r="D12" i="13"/>
  <c r="H172" i="32" s="1"/>
  <c r="H169" i="32"/>
  <c r="I169" i="32"/>
  <c r="D13" i="13"/>
  <c r="I172" i="32" s="1"/>
  <c r="J22" i="20"/>
  <c r="K11" i="13" s="1"/>
  <c r="C11" i="13" s="1"/>
  <c r="D11" i="13" l="1"/>
  <c r="G172" i="32" s="1"/>
  <c r="G169" i="32"/>
  <c r="J21" i="20"/>
  <c r="N27" i="20" l="1"/>
  <c r="J27" i="20" s="1"/>
  <c r="K16" i="13" s="1"/>
  <c r="K10" i="13"/>
  <c r="C10" i="13" s="1"/>
  <c r="N34" i="20" l="1"/>
  <c r="F169" i="32"/>
  <c r="D10" i="13"/>
  <c r="F172" i="32" s="1"/>
  <c r="C16" i="13"/>
  <c r="K23" i="13"/>
  <c r="K25" i="13" s="1"/>
  <c r="D16" i="13" l="1"/>
  <c r="L169" i="32"/>
  <c r="D169" i="32" s="1"/>
  <c r="C23" i="13"/>
  <c r="C25" i="13" s="1"/>
  <c r="L172" i="32" l="1"/>
  <c r="D172" i="32" s="1"/>
  <c r="D23" i="13"/>
  <c r="D25" i="13" s="1"/>
  <c r="N168" i="32"/>
  <c r="J168" i="32"/>
  <c r="F168" i="32"/>
  <c r="M168" i="32"/>
  <c r="H168" i="32"/>
  <c r="K168" i="32"/>
  <c r="Q168" i="32"/>
  <c r="I168" i="32"/>
  <c r="E168" i="32"/>
  <c r="P168" i="32"/>
  <c r="L168" i="32"/>
  <c r="O168" i="32"/>
  <c r="G168" i="32"/>
  <c r="M171" i="32" l="1"/>
  <c r="F171" i="32"/>
  <c r="E171" i="32"/>
  <c r="Q171" i="32"/>
  <c r="J171" i="32"/>
  <c r="N171" i="32"/>
  <c r="I171" i="32"/>
  <c r="O171" i="32"/>
  <c r="P171" i="32"/>
  <c r="K171" i="32"/>
  <c r="L171" i="32"/>
  <c r="H171" i="32"/>
  <c r="G171" i="32"/>
  <c r="J21" i="34" l="1"/>
  <c r="K21" i="34" l="1"/>
  <c r="M21" i="34" s="1"/>
  <c r="L21" i="34"/>
  <c r="J23" i="34"/>
  <c r="L23" i="34" l="1"/>
  <c r="K23" i="34"/>
  <c r="M23" i="34" s="1"/>
  <c r="M27" i="34" s="1"/>
  <c r="M28" i="34" s="1"/>
  <c r="F64" i="29" s="1"/>
  <c r="N21" i="34"/>
  <c r="I26" i="38" l="1"/>
  <c r="M26" i="38"/>
  <c r="N29" i="34" s="1"/>
  <c r="K26" i="38"/>
  <c r="J26" i="38"/>
  <c r="L27" i="34"/>
  <c r="L28" i="34" s="1"/>
  <c r="F63" i="29" s="1"/>
  <c r="N23" i="34"/>
  <c r="N27" i="34" s="1"/>
  <c r="N28" i="34" s="1"/>
  <c r="N30" i="34" l="1"/>
  <c r="I38" i="38"/>
  <c r="I40" i="38" l="1"/>
  <c r="I17" i="38" l="1"/>
  <c r="I8" i="38"/>
  <c r="I19" i="38"/>
  <c r="I12" i="38"/>
  <c r="I13" i="38"/>
  <c r="I18" i="38"/>
  <c r="I11" i="38"/>
  <c r="I28" i="38"/>
  <c r="I24" i="38"/>
  <c r="K18" i="38" l="1"/>
  <c r="J18" i="38"/>
  <c r="J12" i="38"/>
  <c r="M8" i="38"/>
  <c r="F54" i="29" s="1"/>
  <c r="J8" i="38"/>
  <c r="M28" i="38"/>
  <c r="F65" i="29" s="1"/>
  <c r="J28" i="38"/>
  <c r="M24" i="38"/>
  <c r="F62" i="29" s="1"/>
  <c r="J24" i="38"/>
  <c r="M11" i="38"/>
  <c r="F55" i="29" s="1"/>
  <c r="J11" i="38"/>
  <c r="M13" i="38"/>
  <c r="F57" i="29" s="1"/>
  <c r="J13" i="38"/>
  <c r="M19" i="38"/>
  <c r="F60" i="29" s="1"/>
  <c r="J19" i="38"/>
  <c r="M17" i="38"/>
  <c r="F58" i="29" s="1"/>
  <c r="J17" i="38"/>
  <c r="M20" i="38" l="1"/>
  <c r="J20" i="38"/>
  <c r="K8" i="38"/>
  <c r="M12" i="38"/>
  <c r="F56" i="29" s="1"/>
  <c r="K13" i="38"/>
  <c r="M14" i="38"/>
  <c r="J14" i="38"/>
  <c r="K28" i="38"/>
  <c r="M18" i="38"/>
  <c r="F59" i="29" s="1"/>
  <c r="K20" i="38"/>
  <c r="K17" i="38"/>
  <c r="K19" i="38"/>
  <c r="K14" i="38"/>
  <c r="K11" i="38"/>
  <c r="K24" i="38"/>
  <c r="K12" i="38"/>
  <c r="F74" i="29" l="1"/>
  <c r="I30" i="38"/>
  <c r="M30" i="38"/>
  <c r="J30" i="38"/>
  <c r="M34" i="38" l="1"/>
  <c r="J34" i="38"/>
  <c r="K34" i="38"/>
  <c r="K30" i="38"/>
</calcChain>
</file>

<file path=xl/sharedStrings.xml><?xml version="1.0" encoding="utf-8"?>
<sst xmlns="http://schemas.openxmlformats.org/spreadsheetml/2006/main" count="1842" uniqueCount="792">
  <si>
    <t>DESCRIPTION</t>
  </si>
  <si>
    <t>LINE</t>
  </si>
  <si>
    <t>NO.</t>
  </si>
  <si>
    <t>Key Figures</t>
  </si>
  <si>
    <t>Customer Counts</t>
  </si>
  <si>
    <t>Row Labels</t>
  </si>
  <si>
    <t>Sum of 010/2015</t>
  </si>
  <si>
    <t>Sum of 011/2015</t>
  </si>
  <si>
    <t>Sum of 012/2015</t>
  </si>
  <si>
    <t>Sum of 001/2016</t>
  </si>
  <si>
    <t>Sum of 002/2016</t>
  </si>
  <si>
    <t>Sum of 003/2016</t>
  </si>
  <si>
    <t>Sum of 004/2016</t>
  </si>
  <si>
    <t>Sum of 005/2016</t>
  </si>
  <si>
    <t>Sum of 006/2016</t>
  </si>
  <si>
    <t>Sum of 007/2016</t>
  </si>
  <si>
    <t>Sum of 008/2016</t>
  </si>
  <si>
    <t>Sum of 009/2016</t>
  </si>
  <si>
    <t>Average</t>
  </si>
  <si>
    <t>Sch 40 Adjustment</t>
  </si>
  <si>
    <t>Total</t>
  </si>
  <si>
    <t>7A</t>
  </si>
  <si>
    <t>Lights</t>
  </si>
  <si>
    <t>Firm Resale</t>
  </si>
  <si>
    <t>449-459</t>
  </si>
  <si>
    <t>Grand Total</t>
  </si>
  <si>
    <t>Sum of Overall Result</t>
  </si>
  <si>
    <t>Customer Advances</t>
  </si>
  <si>
    <t>FERC Account 252</t>
  </si>
  <si>
    <t>TY ended September 2016</t>
  </si>
  <si>
    <t>Direct Assignment</t>
  </si>
  <si>
    <t>Line No</t>
  </si>
  <si>
    <t>Description</t>
  </si>
  <si>
    <t>A/C 25200121 Cust Advances for  Const Posted 9/1</t>
  </si>
  <si>
    <t>A/C 25200161 Residential Single Family Elec Customer</t>
  </si>
  <si>
    <t>A/C 25200171 Residential Plat Elec Customer Advances</t>
  </si>
  <si>
    <t>A/C 25200181 Non-Residential Elec Customer Advances</t>
  </si>
  <si>
    <t>% to Allocate to Sch</t>
  </si>
  <si>
    <t>Schedule 7</t>
  </si>
  <si>
    <t>Schedule 24</t>
  </si>
  <si>
    <t>Schedule 25 &amp; 29</t>
  </si>
  <si>
    <t>Schedule 26</t>
  </si>
  <si>
    <t>G/L Account</t>
  </si>
  <si>
    <t>PSE/14400311 : APUA - Elec Cust A/R</t>
  </si>
  <si>
    <t/>
  </si>
  <si>
    <t>APUA 903 $</t>
  </si>
  <si>
    <t>% to Total</t>
  </si>
  <si>
    <t>25 &amp; 29</t>
  </si>
  <si>
    <t>GRC Test Year Ended September 2016</t>
  </si>
  <si>
    <t>Equipment Rental Revenue</t>
  </si>
  <si>
    <t>FERC Account 454</t>
  </si>
  <si>
    <t>Distribution Service Line Allocation</t>
  </si>
  <si>
    <t>Source:  BRD-01, CIS</t>
  </si>
  <si>
    <t>Sum of Number_Of_Records</t>
  </si>
  <si>
    <t>Column Labels</t>
  </si>
  <si>
    <t>% to Total 2017 GRC</t>
  </si>
  <si>
    <t>OVRH</t>
  </si>
  <si>
    <t>UNGR</t>
  </si>
  <si>
    <t>OH</t>
  </si>
  <si>
    <t>UG</t>
  </si>
  <si>
    <t>Other</t>
  </si>
  <si>
    <t>TEST YEAR</t>
  </si>
  <si>
    <t>RATE YEAR</t>
  </si>
  <si>
    <t>ADJUSTMENT</t>
  </si>
  <si>
    <t>WAGES:</t>
  </si>
  <si>
    <t>Puget Sound Energy</t>
  </si>
  <si>
    <t>2017 GRC</t>
  </si>
  <si>
    <t>Cost of Service Direct Assignement Workpapers</t>
  </si>
  <si>
    <t>Tab</t>
  </si>
  <si>
    <t>2017 ROR</t>
  </si>
  <si>
    <t>Completion Status</t>
  </si>
  <si>
    <t>Updated 11-18-2016</t>
  </si>
  <si>
    <t>Source:  Customer Counts YE 9-2016.xlsx</t>
  </si>
  <si>
    <t>Electric Cost of Service Direct Assighments</t>
  </si>
  <si>
    <t>Revenue Sensitive Items</t>
  </si>
  <si>
    <t>Customer Deposits</t>
  </si>
  <si>
    <t>Other Op Rev (450-451)</t>
  </si>
  <si>
    <t>Other Op Rev (454)</t>
  </si>
  <si>
    <t>Meter Reading Cost (902)</t>
  </si>
  <si>
    <t>Records &amp; Collec (903)</t>
  </si>
  <si>
    <t>Uncollectibles (904)</t>
  </si>
  <si>
    <t>Meter Costs (370)</t>
  </si>
  <si>
    <t>Distribution Service (369)</t>
  </si>
  <si>
    <t>Dist Plant (360-368)</t>
  </si>
  <si>
    <t>Dist Accum Depr (360-368)</t>
  </si>
  <si>
    <t>NCP Dist Plant (360-362)</t>
  </si>
  <si>
    <t>NCP Dist OH-UG Plant (364-367)</t>
  </si>
  <si>
    <t>Dist Transformer Plant (368)</t>
  </si>
  <si>
    <t>Load Research Data - Summary</t>
  </si>
  <si>
    <t>Load Research Data -Energy</t>
  </si>
  <si>
    <t>Salary &amp; Wages</t>
  </si>
  <si>
    <t>Peak Credit</t>
  </si>
  <si>
    <t>Global Inputs</t>
  </si>
  <si>
    <t>Model Choice</t>
  </si>
  <si>
    <t>Functions</t>
  </si>
  <si>
    <t>Historic Test Year Twelve Months ended September 2016</t>
  </si>
  <si>
    <t>Adjusted Test Year Twelve Months ended September 2016 @ Proforma Rev Requirement</t>
  </si>
  <si>
    <t>Adjusted Test Year Twelve Months ended September 2016 ~ Proposed Rate Increase</t>
  </si>
  <si>
    <t>Reserved 1</t>
  </si>
  <si>
    <t>Reserved 2</t>
  </si>
  <si>
    <t>Name</t>
  </si>
  <si>
    <t>F_PRODU</t>
  </si>
  <si>
    <t>Production</t>
  </si>
  <si>
    <t>F_TRANS</t>
  </si>
  <si>
    <t>Transmission</t>
  </si>
  <si>
    <t>F_DISTR</t>
  </si>
  <si>
    <t>Distribution</t>
  </si>
  <si>
    <t>~</t>
  </si>
  <si>
    <t>Rate Classes</t>
  </si>
  <si>
    <t>Rate Class</t>
  </si>
  <si>
    <t>Res Svc</t>
  </si>
  <si>
    <t>Residential Sch 7</t>
  </si>
  <si>
    <t>Sec Svc 24</t>
  </si>
  <si>
    <t>Sec Volt Sch 24 (kW&lt; 50)</t>
  </si>
  <si>
    <t>Sec Svc 25 / 29 / 7A</t>
  </si>
  <si>
    <t>Sec Volt Sch 25 (kW &gt; 50 &amp; &lt; 350)</t>
  </si>
  <si>
    <t>Sec Svc 26 /26P</t>
  </si>
  <si>
    <t>Sec Volt Sch 26 (kW &gt; 350)</t>
  </si>
  <si>
    <t>Pri Svc 31</t>
  </si>
  <si>
    <t>Pri Volt Sch 31 (General Service)</t>
  </si>
  <si>
    <t>Factor Name</t>
  </si>
  <si>
    <t>Pri Svc 35</t>
  </si>
  <si>
    <t>Pri Volt Sch 35 (Irrigation)</t>
  </si>
  <si>
    <t>Unit Costs</t>
  </si>
  <si>
    <t>ENERGY_1</t>
  </si>
  <si>
    <t>Pri Svc 43</t>
  </si>
  <si>
    <t>Pri Volt Sch 43 (Interruptible)</t>
  </si>
  <si>
    <t>CUST_1</t>
  </si>
  <si>
    <t>Campus 40</t>
  </si>
  <si>
    <t>Campus Sch 40</t>
  </si>
  <si>
    <t>DEM_2B</t>
  </si>
  <si>
    <t>High Volt 46/49</t>
  </si>
  <si>
    <t xml:space="preserve"> High Volt Sch 46 &amp; 49 (Interruptible &amp; Gen Svc)</t>
  </si>
  <si>
    <t>ENERGY_2</t>
  </si>
  <si>
    <t>Choice/Retail Wheeling PV</t>
  </si>
  <si>
    <t xml:space="preserve"> Pri Volt Sch 449 (Transportation)</t>
  </si>
  <si>
    <t>Rate of Return</t>
  </si>
  <si>
    <t>Choice/Retail Wheeling HV</t>
  </si>
  <si>
    <t xml:space="preserve"> High Volt Sch 449 (Transportation)</t>
  </si>
  <si>
    <t>Percent</t>
  </si>
  <si>
    <t>Lighting 50-59</t>
  </si>
  <si>
    <t>Street &amp; Area Lighting</t>
  </si>
  <si>
    <t>ROR</t>
  </si>
  <si>
    <t>Firm Resale Small</t>
  </si>
  <si>
    <t>Firm Resale (Small)</t>
  </si>
  <si>
    <t>ROD</t>
  </si>
  <si>
    <t>ROE</t>
  </si>
  <si>
    <t>Income Tax</t>
  </si>
  <si>
    <t>State Income Tax</t>
  </si>
  <si>
    <t>Federal Income Tax</t>
  </si>
  <si>
    <t>Effective Tax Rate</t>
  </si>
  <si>
    <t>Uncollectible</t>
  </si>
  <si>
    <t>Classifers</t>
  </si>
  <si>
    <t>Residential</t>
  </si>
  <si>
    <t>DEM</t>
  </si>
  <si>
    <t>Demand</t>
  </si>
  <si>
    <t>NRG</t>
  </si>
  <si>
    <t>Energy</t>
  </si>
  <si>
    <t>Revenue Conversion Factors</t>
  </si>
  <si>
    <t>CUS</t>
  </si>
  <si>
    <t>Customer</t>
  </si>
  <si>
    <t>Revnue Targets by Rate Class and Case</t>
  </si>
  <si>
    <t>Proforma Delivered Sales</t>
  </si>
  <si>
    <t>Twelve Months ended September 2016</t>
  </si>
  <si>
    <t>kWh Sales</t>
  </si>
  <si>
    <t>$ Sales</t>
  </si>
  <si>
    <t>Line No.</t>
  </si>
  <si>
    <t>Rate Sch</t>
  </si>
  <si>
    <t>12 Months ended September 2016</t>
  </si>
  <si>
    <t>Billed Sales</t>
  </si>
  <si>
    <t>Unbilled Sales</t>
  </si>
  <si>
    <t>Schedule 40</t>
  </si>
  <si>
    <t>Schedule 46</t>
  </si>
  <si>
    <t>Temperature Adjustmemt</t>
  </si>
  <si>
    <t>Billed Sales
(Note 1)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</si>
  <si>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</si>
  <si>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</si>
  <si>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</si>
  <si>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</si>
  <si>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</si>
  <si>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</si>
  <si>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</si>
  <si>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</si>
  <si>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</si>
  <si>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</si>
  <si>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</si>
  <si>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</si>
  <si>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</si>
  <si>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</si>
  <si>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Residential Master Meters</t>
  </si>
  <si>
    <t>Total Residential</t>
  </si>
  <si>
    <t>8 / 24</t>
  </si>
  <si>
    <t>Gen Svc &lt; 50kW</t>
  </si>
  <si>
    <t>11 / 25</t>
  </si>
  <si>
    <t>Gen Svc &gt;50 &amp; &lt; 350kW</t>
  </si>
  <si>
    <t>12 / 26</t>
  </si>
  <si>
    <t>Gen Svc &gt; 350kW</t>
  </si>
  <si>
    <t>26P</t>
  </si>
  <si>
    <t>Gen Svc &gt; 350kW (pv)</t>
  </si>
  <si>
    <t>Irrigation Service</t>
  </si>
  <si>
    <t>Total Secondary Voltage</t>
  </si>
  <si>
    <t>10 / 31</t>
  </si>
  <si>
    <t>General Service</t>
  </si>
  <si>
    <t>Interruptible Elec Schools</t>
  </si>
  <si>
    <t>Total Primary Voltage</t>
  </si>
  <si>
    <t>Campus</t>
  </si>
  <si>
    <t>Interruptible Service</t>
  </si>
  <si>
    <t>Total High Voltage</t>
  </si>
  <si>
    <t>50-59</t>
  </si>
  <si>
    <t>449 / 459</t>
  </si>
  <si>
    <t>Retail Wheeling</t>
  </si>
  <si>
    <t>Total Retail Delivered Sales</t>
  </si>
  <si>
    <t>005</t>
  </si>
  <si>
    <t>Total Delivered Sales</t>
  </si>
  <si>
    <t>SOE</t>
  </si>
  <si>
    <t>Retail Sales</t>
  </si>
  <si>
    <t>Transportation</t>
  </si>
  <si>
    <t>Subtotal SOE</t>
  </si>
  <si>
    <t>Temperature Adjustment</t>
  </si>
  <si>
    <t>Meter Adjustment</t>
  </si>
  <si>
    <t>Total Delivered</t>
  </si>
  <si>
    <t>Schedule 95A (SOE)</t>
  </si>
  <si>
    <t>Schedule 120 (SOE)</t>
  </si>
  <si>
    <t>Schedule 129 (SOE)</t>
  </si>
  <si>
    <t>Schedule 132 (SOE)</t>
  </si>
  <si>
    <t>Schedule 133 (SOE)</t>
  </si>
  <si>
    <t>Schedule 135 &amp; 136 (BW)</t>
  </si>
  <si>
    <t>Schedule 137 (SOE)</t>
  </si>
  <si>
    <t>Schedule 194 (SOE)</t>
  </si>
  <si>
    <t>Schedule 81 (SOE)</t>
  </si>
  <si>
    <t>Schedule 95 (Estimated Adjustment)</t>
  </si>
  <si>
    <t>Schedule 140 (Estimated Adjustment)</t>
  </si>
  <si>
    <t>Schedule 141 (Estimated Adjustment)</t>
  </si>
  <si>
    <t>Schedule 142 (Estimated Adjustment)</t>
  </si>
  <si>
    <t>Unbilled (Estimated Adjustment)</t>
  </si>
  <si>
    <t>Schedule 40 Adjustment</t>
  </si>
  <si>
    <t>Subtotal Riders and Repricing Adjustments</t>
  </si>
  <si>
    <t>Delivered less Riders and Pricing Adjustments</t>
  </si>
  <si>
    <t>Proforma Difference Unexplained ($)</t>
  </si>
  <si>
    <t>Proforma Difference Unexplained (%)</t>
  </si>
  <si>
    <t xml:space="preserve">Note 1:  Excludes all rider schedules, base rates only.
</t>
  </si>
  <si>
    <t>Proforma Revenue</t>
  </si>
  <si>
    <t>Classifiers</t>
  </si>
  <si>
    <t>PC1</t>
  </si>
  <si>
    <t>Peak Credit - All Customers Top 200 CP, No Int</t>
  </si>
  <si>
    <t>PC2</t>
  </si>
  <si>
    <t>Peak Credit - All Customers Top 200CP, No Int or Transp</t>
  </si>
  <si>
    <t>TFR</t>
  </si>
  <si>
    <t>Transformers</t>
  </si>
  <si>
    <t>PC3</t>
  </si>
  <si>
    <t>Peak Credit - All Customers 4 Monthly CP, No Int</t>
  </si>
  <si>
    <t>PC4</t>
  </si>
  <si>
    <t>Peak Credit - 4 Monthly CP, No Int or Transp</t>
  </si>
  <si>
    <t>PUGET SOUND ENERGY</t>
  </si>
  <si>
    <t>Peak</t>
  </si>
  <si>
    <t>Peaker</t>
  </si>
  <si>
    <t>CCCT</t>
  </si>
  <si>
    <t>Credit</t>
  </si>
  <si>
    <t xml:space="preserve">Levelized Cost ($/MWh) </t>
  </si>
  <si>
    <t>Levelized Cost ($/kW-yr)</t>
  </si>
  <si>
    <t>Assumptions</t>
  </si>
  <si>
    <t>Plant Assumptions</t>
  </si>
  <si>
    <t>Notes</t>
  </si>
  <si>
    <t>Capital Costs ($/kW-yr)</t>
  </si>
  <si>
    <t>2012 Dollars</t>
  </si>
  <si>
    <t>Fixed Charge Rate</t>
  </si>
  <si>
    <t>Fixed O&amp;M ($/kW-yr)</t>
  </si>
  <si>
    <t>Variable O&amp;M ($/MWh)</t>
  </si>
  <si>
    <t>Heat Rate (Btu/kWh)</t>
  </si>
  <si>
    <t>Weighted Cost of Capital</t>
  </si>
  <si>
    <t>Capacity Factor</t>
  </si>
  <si>
    <t>Reserve Margin</t>
  </si>
  <si>
    <t>9a</t>
  </si>
  <si>
    <t>Planning Margin 2014-15</t>
  </si>
  <si>
    <t>9b</t>
  </si>
  <si>
    <t>Planning Margin 2018-19</t>
  </si>
  <si>
    <t>9c</t>
  </si>
  <si>
    <t>Planning Margin 2023-2024</t>
  </si>
  <si>
    <t>CO2 Emissions (tons/GWh)</t>
  </si>
  <si>
    <t>Pro Forma</t>
  </si>
  <si>
    <t>Cost of</t>
  </si>
  <si>
    <t>Capital %</t>
  </si>
  <si>
    <t>Cost %</t>
  </si>
  <si>
    <t>Capital</t>
  </si>
  <si>
    <t>Short-Term Debt</t>
  </si>
  <si>
    <t>Long-Term Debt</t>
  </si>
  <si>
    <t>Common Equity</t>
  </si>
  <si>
    <t>TOTAL</t>
  </si>
  <si>
    <t>PEAK CREDIT METHOD</t>
  </si>
  <si>
    <t>SETTLEMENT RATE DESIGN COLLABORATIVE</t>
  </si>
  <si>
    <t>DOCKET NO. UE-130617</t>
  </si>
  <si>
    <t>External Allocators</t>
  </si>
  <si>
    <t>Classifier</t>
  </si>
  <si>
    <t>CUSTOMER EXTERNAL ALLOCATORS</t>
  </si>
  <si>
    <t>Ave. No. Cust.</t>
  </si>
  <si>
    <t>CUST_2</t>
  </si>
  <si>
    <t>Ave. No. Cust Incl. RES &amp; SEC Only, No Sch 40</t>
  </si>
  <si>
    <t>CUST_3</t>
  </si>
  <si>
    <t>CUST_4</t>
  </si>
  <si>
    <t>Meter Counts. A/C 902</t>
  </si>
  <si>
    <t>DIR_40</t>
  </si>
  <si>
    <t>Direct Assignment Schedule 40</t>
  </si>
  <si>
    <t>DIR_449</t>
  </si>
  <si>
    <t>Schedule 449 / 459 Retail Revenue</t>
  </si>
  <si>
    <t>DIR_449_OATT</t>
  </si>
  <si>
    <t>Transportation OATT Revenue</t>
  </si>
  <si>
    <t>DIR_RESALE_SMALL</t>
  </si>
  <si>
    <t>Small Firm Resale Allocation Only</t>
  </si>
  <si>
    <t>DIR235.00</t>
  </si>
  <si>
    <t>DIR252.00</t>
  </si>
  <si>
    <t>DIR368.03C</t>
  </si>
  <si>
    <t>Line Transformers - Customer Related</t>
  </si>
  <si>
    <t>DIR373.00</t>
  </si>
  <si>
    <t>Str. &amp; Signal Systems</t>
  </si>
  <si>
    <t>DIR450.01</t>
  </si>
  <si>
    <t>Late Payment Interest Rev</t>
  </si>
  <si>
    <t>DIR450.02</t>
  </si>
  <si>
    <t>Direct Assign  Disconnect Call - A/C 450.02</t>
  </si>
  <si>
    <t>DIR451.02</t>
  </si>
  <si>
    <t>Connect/Reconnect Revenue</t>
  </si>
  <si>
    <t>DIR451.05</t>
  </si>
  <si>
    <t>Billing Initiation Charge</t>
  </si>
  <si>
    <t>DIR451.06</t>
  </si>
  <si>
    <t>NSF Check Charge Revenue</t>
  </si>
  <si>
    <t>DIR904.00</t>
  </si>
  <si>
    <t>Direct Assign 904 Uncollectibles</t>
  </si>
  <si>
    <t>METER</t>
  </si>
  <si>
    <t>Meter Investment</t>
  </si>
  <si>
    <t>OH_SVC</t>
  </si>
  <si>
    <t>Dist OH Services (Sec Voltage Only)</t>
  </si>
  <si>
    <t>OH_TFMRC</t>
  </si>
  <si>
    <t>Allocate Overhead Transformers</t>
  </si>
  <si>
    <t>PROFORMA</t>
  </si>
  <si>
    <t>PROFORMA_RETAIL</t>
  </si>
  <si>
    <t>Proforma Retail Revenue - No Transportation</t>
  </si>
  <si>
    <t>RESID</t>
  </si>
  <si>
    <t>Residential Allocation Only</t>
  </si>
  <si>
    <t>UG_TFMRC</t>
  </si>
  <si>
    <t>Allocate Underground Transformers</t>
  </si>
  <si>
    <t>DEMAND EXTERNAL ALLOCATORS</t>
  </si>
  <si>
    <t>DEM_1</t>
  </si>
  <si>
    <t>Top 75 CP Hours (not used)</t>
  </si>
  <si>
    <t>DEM_1A</t>
  </si>
  <si>
    <t>Top 75  CP Hours Excl. Interruptible (Not Used)</t>
  </si>
  <si>
    <t>DEM_1B</t>
  </si>
  <si>
    <t>Top 75 CP - No Interruptibles or Transportation (Not Used)</t>
  </si>
  <si>
    <t>DEM_2A</t>
  </si>
  <si>
    <t>4 CP Winter Peak - No Interruptibles</t>
  </si>
  <si>
    <t>4 CP Winter Peak - No Interruptibles or Transportation</t>
  </si>
  <si>
    <t>DIR108.360</t>
  </si>
  <si>
    <t>Direct Assign Substation Ease - Accum Depr</t>
  </si>
  <si>
    <t>DIR108.361</t>
  </si>
  <si>
    <t>Direct Assign Substation Structures - Accum Depr</t>
  </si>
  <si>
    <t>DIR108.362</t>
  </si>
  <si>
    <t>Direct Assign Substation Equipment - Accum Depr</t>
  </si>
  <si>
    <t>DIR108.364</t>
  </si>
  <si>
    <t>Direct Assign OH Dist Lines - Accum Depr</t>
  </si>
  <si>
    <t>DIR108.366</t>
  </si>
  <si>
    <t>Direct Assign UG Dist Lines</t>
  </si>
  <si>
    <t>DIR360.01</t>
  </si>
  <si>
    <t>Direct Assign Substation Land</t>
  </si>
  <si>
    <t>DIR361.01</t>
  </si>
  <si>
    <t>Direct Assign Substation Structures</t>
  </si>
  <si>
    <t>DIR362.01</t>
  </si>
  <si>
    <t>Direct Assign Substation Equipment</t>
  </si>
  <si>
    <t>DIR364.01</t>
  </si>
  <si>
    <t>Direct Assign OH Dist Lines</t>
  </si>
  <si>
    <t>DIR366.01</t>
  </si>
  <si>
    <t>DIR368.03</t>
  </si>
  <si>
    <t>Line Transformers</t>
  </si>
  <si>
    <t>NCP_360</t>
  </si>
  <si>
    <t>Allocate Substation Land - 12 NCP</t>
  </si>
  <si>
    <t>NCP_361</t>
  </si>
  <si>
    <t>Allocate Substation Structures - 12 NCP</t>
  </si>
  <si>
    <t>NCP_362</t>
  </si>
  <si>
    <t>Allocate Substation Equipment - 12 NCP</t>
  </si>
  <si>
    <t>OH_NCP</t>
  </si>
  <si>
    <t>Allocate Overhead Lines - 12 NCP</t>
  </si>
  <si>
    <t>OH_TFMR</t>
  </si>
  <si>
    <t>UG_NCP</t>
  </si>
  <si>
    <t>Allocate Underground Lines - 12 NCP</t>
  </si>
  <si>
    <t>UG_TFMR</t>
  </si>
  <si>
    <t>DIR454.05</t>
  </si>
  <si>
    <t>Equip. (Transformer &amp; Substation) Rentals</t>
  </si>
  <si>
    <t>ENERGY EXTERNAL ALLOCATORS</t>
  </si>
  <si>
    <t>BPAX</t>
  </si>
  <si>
    <t>BPA Residential Exchange kWh</t>
  </si>
  <si>
    <t>Annual kWhs</t>
  </si>
  <si>
    <t>Energy - NO RETAIL WHEELING</t>
  </si>
  <si>
    <t>Secondary Voltage Only</t>
  </si>
  <si>
    <t>Sum of COUNT</t>
  </si>
  <si>
    <t>Sum of TOTAL_METER_COST</t>
  </si>
  <si>
    <t>459H</t>
  </si>
  <si>
    <t>SCH_449EC</t>
  </si>
  <si>
    <t>SCH_449EI</t>
  </si>
  <si>
    <t>Sch 40 Adj</t>
  </si>
  <si>
    <t>Proforma Total</t>
  </si>
  <si>
    <t>Schedule 449 HV</t>
  </si>
  <si>
    <t>Schedule 449 PV</t>
  </si>
  <si>
    <t>Customer Deposit Balance</t>
  </si>
  <si>
    <t>Month ended September 2016</t>
  </si>
  <si>
    <t>Account 235</t>
  </si>
  <si>
    <t>Sum of Amount</t>
  </si>
  <si>
    <t>Tariff</t>
  </si>
  <si>
    <t>COS ID</t>
  </si>
  <si>
    <t>46-49</t>
  </si>
  <si>
    <t>ID451.05</t>
  </si>
  <si>
    <t>Bill Initiation</t>
  </si>
  <si>
    <t>ID451.02</t>
  </si>
  <si>
    <t>Connection / Reconnection Fee</t>
  </si>
  <si>
    <t>ID450.02</t>
  </si>
  <si>
    <t>Disconnection</t>
  </si>
  <si>
    <t>ID451.06</t>
  </si>
  <si>
    <t>ID450.01</t>
  </si>
  <si>
    <t>Late Pay Fee</t>
  </si>
  <si>
    <t>One Time Charge Detail</t>
  </si>
  <si>
    <t>Payment Return Fee</t>
  </si>
  <si>
    <t>other</t>
  </si>
  <si>
    <t>Records &amp; Collections</t>
  </si>
  <si>
    <t>Meter Related Costs</t>
  </si>
  <si>
    <t>Other Cust Accounting Related Costs</t>
  </si>
  <si>
    <t>Meter Counts</t>
  </si>
  <si>
    <t>in A/C 903</t>
  </si>
  <si>
    <t>Allocated</t>
  </si>
  <si>
    <t>Non Large Volume Customer Count</t>
  </si>
  <si>
    <t>Direct Assignment (APUA, Credit Card, Major Accounts)</t>
  </si>
  <si>
    <t>Total Costs</t>
  </si>
  <si>
    <t>25 / 29</t>
  </si>
  <si>
    <t>40</t>
  </si>
  <si>
    <t>46 / 49</t>
  </si>
  <si>
    <t>449 PV</t>
  </si>
  <si>
    <t>449 HV</t>
  </si>
  <si>
    <t>Lighting</t>
  </si>
  <si>
    <t>FR Small</t>
  </si>
  <si>
    <t>Test Year ended September 2016</t>
  </si>
  <si>
    <t>Line</t>
  </si>
  <si>
    <t>FERC Account</t>
  </si>
  <si>
    <t>Schedule 31</t>
  </si>
  <si>
    <t>Schedule 46 / 49</t>
  </si>
  <si>
    <t>Schedule 449HV</t>
  </si>
  <si>
    <t>All Direct Assignment</t>
  </si>
  <si>
    <t>364-365</t>
  </si>
  <si>
    <t>366-367</t>
  </si>
  <si>
    <t>368 OH</t>
  </si>
  <si>
    <t>368 UG</t>
  </si>
  <si>
    <t>Equipment Rental</t>
  </si>
  <si>
    <t>Schedule 40 - Campus Rate</t>
  </si>
  <si>
    <t>Total Direct Assignment</t>
  </si>
  <si>
    <t>Schedule 43</t>
  </si>
  <si>
    <t>Sum of Total YE 9-2016</t>
  </si>
  <si>
    <t>40-31</t>
  </si>
  <si>
    <t>449-PV</t>
  </si>
  <si>
    <t>449-HV</t>
  </si>
  <si>
    <t>459 HV</t>
  </si>
  <si>
    <t>PV</t>
  </si>
  <si>
    <t>HV</t>
  </si>
  <si>
    <t>PV Charge</t>
  </si>
  <si>
    <t>HV Charge</t>
  </si>
  <si>
    <t>PV Proforma Revenue</t>
  </si>
  <si>
    <t>HV Proforma Revenue</t>
  </si>
  <si>
    <t>Basic Charge</t>
  </si>
  <si>
    <t>kWh - Billed</t>
  </si>
  <si>
    <t>kWh - Unbilled Change</t>
  </si>
  <si>
    <t>Delivered kwh</t>
  </si>
  <si>
    <t>kVa</t>
  </si>
  <si>
    <t>OATT</t>
  </si>
  <si>
    <t>Total 449-459</t>
  </si>
  <si>
    <t>Total Retail</t>
  </si>
  <si>
    <t>Total OATT</t>
  </si>
  <si>
    <t>Load Research Allocation Factors</t>
  </si>
  <si>
    <t>Twelve Months ended September 30, 2016</t>
  </si>
  <si>
    <t>Electric Cost of Service Allocation Factors</t>
  </si>
  <si>
    <t>Load Research Data</t>
  </si>
  <si>
    <t>DEM_12NCP1</t>
  </si>
  <si>
    <t>Energy - All Rate Schedules</t>
  </si>
  <si>
    <t>Energy - Exclude Transportation</t>
  </si>
  <si>
    <t>Top 75 CP Demand</t>
  </si>
  <si>
    <t>Top 75 CP Demand - Excl Interrupt</t>
  </si>
  <si>
    <t>Top 75 CP Demand - Excl Tranp &amp; Spec &amp; Interrupt</t>
  </si>
  <si>
    <t>4 CP Demand - Exclude Interruptible</t>
  </si>
  <si>
    <t>4 CP Demand - Exclude Interruptible &amp; Transportation</t>
  </si>
  <si>
    <t>Top 12 NCP Demand - Exclude HV &amp; Transportation</t>
  </si>
  <si>
    <t>4 CP  Demand</t>
  </si>
  <si>
    <t>Top 75 Demand</t>
  </si>
  <si>
    <t>Top 12 NCP Demand</t>
  </si>
  <si>
    <t>Transp PV</t>
  </si>
  <si>
    <t>Transp HV</t>
  </si>
  <si>
    <t>Check</t>
  </si>
  <si>
    <t>Monthly CP by Class</t>
  </si>
  <si>
    <t>with losses</t>
  </si>
  <si>
    <t>YearMo</t>
  </si>
  <si>
    <t>Date</t>
  </si>
  <si>
    <t>Hour</t>
  </si>
  <si>
    <t>_NAME_</t>
  </si>
  <si>
    <t>_24</t>
  </si>
  <si>
    <t>_25</t>
  </si>
  <si>
    <t>_26</t>
  </si>
  <si>
    <t>_29</t>
  </si>
  <si>
    <t>_31</t>
  </si>
  <si>
    <t>_35</t>
  </si>
  <si>
    <t>_40</t>
  </si>
  <si>
    <t>_43</t>
  </si>
  <si>
    <t>_449HV</t>
  </si>
  <si>
    <t>_449PV</t>
  </si>
  <si>
    <t>_459</t>
  </si>
  <si>
    <t>_46</t>
  </si>
  <si>
    <t>_49</t>
  </si>
  <si>
    <t>_5</t>
  </si>
  <si>
    <t>_7</t>
  </si>
  <si>
    <t>AL</t>
  </si>
  <si>
    <t>SL</t>
  </si>
  <si>
    <t>System</t>
  </si>
  <si>
    <t>201510</t>
  </si>
  <si>
    <t>Hour19</t>
  </si>
  <si>
    <t>Load</t>
  </si>
  <si>
    <t>201511</t>
  </si>
  <si>
    <t>Hour08</t>
  </si>
  <si>
    <t>201512</t>
  </si>
  <si>
    <t>201601</t>
  </si>
  <si>
    <t>Hour18</t>
  </si>
  <si>
    <t>201602</t>
  </si>
  <si>
    <t>201603</t>
  </si>
  <si>
    <t>201604</t>
  </si>
  <si>
    <t>201605</t>
  </si>
  <si>
    <t>201606</t>
  </si>
  <si>
    <t>201607</t>
  </si>
  <si>
    <t>201608</t>
  </si>
  <si>
    <t>Hour17</t>
  </si>
  <si>
    <t>201609</t>
  </si>
  <si>
    <t>Hour20</t>
  </si>
  <si>
    <t>4CP Average</t>
  </si>
  <si>
    <t xml:space="preserve"> (Nov, Dec, Jan, Feb)</t>
  </si>
  <si>
    <t>Excl Interruptible</t>
  </si>
  <si>
    <t>Excl Interruptible &amp; Transport</t>
  </si>
  <si>
    <t>Rank</t>
  </si>
  <si>
    <t>Hour09</t>
  </si>
  <si>
    <t>Hour10</t>
  </si>
  <si>
    <t>Hour11</t>
  </si>
  <si>
    <t>Hour21</t>
  </si>
  <si>
    <t>Hour07</t>
  </si>
  <si>
    <t>Hour12</t>
  </si>
  <si>
    <t>Hour13</t>
  </si>
  <si>
    <t>Hour14</t>
  </si>
  <si>
    <t>Hour16</t>
  </si>
  <si>
    <t>Hour15</t>
  </si>
  <si>
    <t>Hour22</t>
  </si>
  <si>
    <t>Average kW Top 75 Hours</t>
  </si>
  <si>
    <t>Top 75</t>
  </si>
  <si>
    <t>Top 75 Hours (No Interruptibles)</t>
  </si>
  <si>
    <t>Top 75 Hours (No Interruptibles &amp; Transportation)</t>
  </si>
  <si>
    <t xml:space="preserve">Top 12 Hours by Class </t>
  </si>
  <si>
    <t>RC5</t>
  </si>
  <si>
    <t>rank</t>
  </si>
  <si>
    <t>RC7</t>
  </si>
  <si>
    <t>RC24</t>
  </si>
  <si>
    <t>RC25</t>
  </si>
  <si>
    <t>RC26</t>
  </si>
  <si>
    <t>RC29</t>
  </si>
  <si>
    <t>RC31</t>
  </si>
  <si>
    <t>RC35</t>
  </si>
  <si>
    <t>RC40</t>
  </si>
  <si>
    <t>RC43</t>
  </si>
  <si>
    <t>RC46</t>
  </si>
  <si>
    <t>RC49</t>
  </si>
  <si>
    <t>RCSL</t>
  </si>
  <si>
    <t>RCAL</t>
  </si>
  <si>
    <t>RC449HV</t>
  </si>
  <si>
    <t>RC449PV</t>
  </si>
  <si>
    <t>RC459</t>
  </si>
  <si>
    <t>Average Top 12</t>
  </si>
  <si>
    <t>Excluding Interruptible</t>
  </si>
  <si>
    <t>Excluding Interruptible &amp; Transportation</t>
  </si>
  <si>
    <t>TEMPERATURE ADJUSTED ANNUAL ENERGY ALLOCATIONS BY BILLING SCHEDULE</t>
  </si>
  <si>
    <t>12 MONTHS ENDED SEPTEMBER 31, 2016</t>
  </si>
  <si>
    <t>NET GPI</t>
  </si>
  <si>
    <t>BILLED KWH (Cal View)</t>
  </si>
  <si>
    <t>TEMP ADJ</t>
  </si>
  <si>
    <t>(=B8)</t>
  </si>
  <si>
    <t>TEMP ADJUSTED</t>
  </si>
  <si>
    <t>TEMP ADJ GPI</t>
  </si>
  <si>
    <t>TEMP ADJ BILLED KWH</t>
  </si>
  <si>
    <t>(1b)</t>
  </si>
  <si>
    <t>(2b)</t>
  </si>
  <si>
    <t>(3b)</t>
  </si>
  <si>
    <t>(4b)</t>
  </si>
  <si>
    <t>(5b)</t>
  </si>
  <si>
    <t>(6b)</t>
  </si>
  <si>
    <t>(7b)</t>
  </si>
  <si>
    <t>(8b)</t>
  </si>
  <si>
    <t>(9b)</t>
  </si>
  <si>
    <t>(10b)</t>
  </si>
  <si>
    <t xml:space="preserve"> </t>
  </si>
  <si>
    <t>Annual kWh</t>
  </si>
  <si>
    <t>Temperature</t>
  </si>
  <si>
    <t>Annual</t>
  </si>
  <si>
    <t>Temp Adj</t>
  </si>
  <si>
    <t>Billed kWh</t>
  </si>
  <si>
    <t>(incl. losses</t>
  </si>
  <si>
    <t>Adjusted</t>
  </si>
  <si>
    <t>Class</t>
  </si>
  <si>
    <t>actual kWh</t>
  </si>
  <si>
    <t>kWh</t>
  </si>
  <si>
    <t>Losses</t>
  </si>
  <si>
    <t>Difference</t>
  </si>
  <si>
    <t>GPI kWh</t>
  </si>
  <si>
    <t>&amp; misc. usage)</t>
  </si>
  <si>
    <t>on temp adj</t>
  </si>
  <si>
    <t>Incl Losses</t>
  </si>
  <si>
    <t>Allocation</t>
  </si>
  <si>
    <t>(not incl. Losses)</t>
  </si>
  <si>
    <t>(calendar view)</t>
  </si>
  <si>
    <t>11a</t>
  </si>
  <si>
    <t>7b-4b</t>
  </si>
  <si>
    <t>4b/(1-5b)</t>
  </si>
  <si>
    <t>(7b/sum(7b) *B8</t>
  </si>
  <si>
    <t>10a</t>
  </si>
  <si>
    <t>8b+9b</t>
  </si>
  <si>
    <t>============</t>
  </si>
  <si>
    <t>===============</t>
  </si>
  <si>
    <t>===================</t>
  </si>
  <si>
    <t>07</t>
  </si>
  <si>
    <t>Small Resale (05)</t>
  </si>
  <si>
    <t>50-54,57-58</t>
  </si>
  <si>
    <t>Transportation Schedules:</t>
  </si>
  <si>
    <t>Total Transp.</t>
  </si>
  <si>
    <t xml:space="preserve">Note:  Annual actual kWh includes the impacts of  rate migrations anticipated during the rate year on Schedules 24, 25, 26, 31 &amp; 40 energy sales.  The actual kWh sales </t>
  </si>
  <si>
    <t xml:space="preserve">          also include the billing error corrections made on schedule 46 billed sales in 2016.</t>
  </si>
  <si>
    <t>ANNUAL ENERGY LOSS ALLOCATIONS BY BILLING SCHEDULE</t>
  </si>
  <si>
    <t>12 MONTHS ENDED SEPTEMBER 30, 2016</t>
  </si>
  <si>
    <t>Delivery</t>
  </si>
  <si>
    <t>% of Total</t>
  </si>
  <si>
    <t>% of Annual</t>
  </si>
  <si>
    <t>Voltage Level</t>
  </si>
  <si>
    <t>Energy Losses</t>
  </si>
  <si>
    <t>KWH LOSSES</t>
  </si>
  <si>
    <t>High Voltage (Sch 46,49)</t>
  </si>
  <si>
    <t>MISC USAGE</t>
  </si>
  <si>
    <t>Primary (Sch 05,31,35,40,43)</t>
  </si>
  <si>
    <t>KWH BILLED</t>
  </si>
  <si>
    <t>Secondary (7,24,25,26,29,Lighting)</t>
  </si>
  <si>
    <t>Total (not incl. transportation)</t>
  </si>
  <si>
    <t>(1a)</t>
  </si>
  <si>
    <t>(2a)</t>
  </si>
  <si>
    <t>(3a)</t>
  </si>
  <si>
    <t>(4a)</t>
  </si>
  <si>
    <t>(5a)</t>
  </si>
  <si>
    <t>(6a)</t>
  </si>
  <si>
    <t>(7a)</t>
  </si>
  <si>
    <t>(8a)</t>
  </si>
  <si>
    <t>(9a)</t>
  </si>
  <si>
    <t>(10a)</t>
  </si>
  <si>
    <t>(11a)</t>
  </si>
  <si>
    <t>Ave Monthly</t>
  </si>
  <si>
    <t>Misc. Use</t>
  </si>
  <si>
    <t>Coincident</t>
  </si>
  <si>
    <t>Annual Loss</t>
  </si>
  <si>
    <t>Actual kWh</t>
  </si>
  <si>
    <t>Coincident kW</t>
  </si>
  <si>
    <t>kW</t>
  </si>
  <si>
    <t>Load Factor</t>
  </si>
  <si>
    <t>kW Losses</t>
  </si>
  <si>
    <t>kWh Losses</t>
  </si>
  <si>
    <t>(2a/sum(2a)</t>
  </si>
  <si>
    <t>(SAS Output)</t>
  </si>
  <si>
    <t>((2+3)/8784)</t>
  </si>
  <si>
    <t>(5/4)</t>
  </si>
  <si>
    <t>(6*7*8760)</t>
  </si>
  <si>
    <t>8/sum(8)</t>
  </si>
  <si>
    <t>(2+3+9)</t>
  </si>
  <si>
    <t>(9/(2+3))</t>
  </si>
  <si>
    <t>*misc use)</t>
  </si>
  <si>
    <t>*total kWh losses</t>
  </si>
  <si>
    <t>=================</t>
  </si>
  <si>
    <t>50-54,57-59</t>
  </si>
  <si>
    <t>Column K (11a) is used as an input for LINECST2 and SUBCSTA4 allocation programs.</t>
  </si>
  <si>
    <t>Data in 4a and 7a are calculated in Losses.sas program -- for system schedules (non-transportation)</t>
  </si>
  <si>
    <t>Data in 4a and 7a are calculated in 'Avg CP kW and Losses OFFSYS' sheet for off-system schedules (transportation)</t>
  </si>
  <si>
    <t>Secondary Volt.</t>
  </si>
  <si>
    <t>Primary Volt.</t>
  </si>
  <si>
    <t>Transm. Volt.</t>
  </si>
  <si>
    <t>Updated 12-15-16</t>
  </si>
  <si>
    <t>Distribution Line Transformers</t>
  </si>
  <si>
    <t>GRC Test Year ending September 2016</t>
  </si>
  <si>
    <t>Source:  BRD-03</t>
  </si>
  <si>
    <t>OH-UG</t>
  </si>
  <si>
    <t>Sum of WEIGHTED COST</t>
  </si>
  <si>
    <t>Sum of Weighted Cost</t>
  </si>
  <si>
    <t>SCH_51E</t>
  </si>
  <si>
    <t>SCH_52E</t>
  </si>
  <si>
    <t>SCH_53E</t>
  </si>
  <si>
    <t>SCH_54E</t>
  </si>
  <si>
    <t>SCH_55E</t>
  </si>
  <si>
    <t>SCH_56E</t>
  </si>
  <si>
    <t>SCH_58E</t>
  </si>
  <si>
    <t>SCH_59E</t>
  </si>
  <si>
    <t>Less:  Primary &amp; 40</t>
  </si>
  <si>
    <t>SUMMARY OF ELECTRIC CHANGE IN UNBILLED KWH</t>
  </si>
  <si>
    <t>For the Twelve Months ended September 2016</t>
  </si>
  <si>
    <t>Delivered kWh</t>
  </si>
  <si>
    <t>Category</t>
  </si>
  <si>
    <t>Rate Schedule</t>
  </si>
  <si>
    <t>Total YE 9-2016</t>
  </si>
  <si>
    <t>Total BPA</t>
  </si>
  <si>
    <t>5x</t>
  </si>
  <si>
    <t>FERC Accounts 364, 365, 366, 367</t>
  </si>
  <si>
    <t>FERC Accounts 360, 361 &amp; 362</t>
  </si>
  <si>
    <t>Distribution Substation Costs</t>
  </si>
  <si>
    <t>Exclude Sch 40 (Directly Assigned)</t>
  </si>
  <si>
    <t>OH &amp; UG Line Miles</t>
  </si>
  <si>
    <t>Load Research Data - Demand 4CP</t>
  </si>
  <si>
    <t>Load Research Data - Demand 75CP</t>
  </si>
  <si>
    <t>Updated 12-16-16</t>
  </si>
  <si>
    <t>2017 ECOS - Inputs</t>
  </si>
  <si>
    <t>2017 ECOS - Classifiers</t>
  </si>
  <si>
    <t>2017 ECOS - External Allocation Factors</t>
  </si>
  <si>
    <t>Proforma Revenue - All</t>
  </si>
  <si>
    <t>Proforma Revenue - Retail Wheeling</t>
  </si>
  <si>
    <t>BPA Res Exchange kWh</t>
  </si>
  <si>
    <t>Wtd. Ave. No. Cust. A/C 903 Customer Records Direct Assignment</t>
  </si>
  <si>
    <t>Schedule 449 and 459 Voltage Level Proforma Revenue</t>
  </si>
  <si>
    <t>Twelve Months Ended September 2016</t>
  </si>
  <si>
    <t>Allocation of Account 904 Costs</t>
  </si>
  <si>
    <t>Uncollectible Accounts</t>
  </si>
  <si>
    <t>Page #</t>
  </si>
  <si>
    <t>4-6</t>
  </si>
  <si>
    <t>29-32</t>
  </si>
  <si>
    <t>33-36</t>
  </si>
  <si>
    <t>37-38</t>
  </si>
  <si>
    <t>Load Research Data - Top 12 NCP Demand</t>
  </si>
  <si>
    <t>Twelve Months ended December 2008</t>
  </si>
  <si>
    <t>Summary - Rate Spread</t>
  </si>
  <si>
    <t>Schedule</t>
  </si>
  <si>
    <t>MWh</t>
  </si>
  <si>
    <t>Proforma
Revenue
($000)</t>
  </si>
  <si>
    <t>Proposed
Increase
($)</t>
  </si>
  <si>
    <t>Percent of Total w/o Schedule 40, 449 &amp; Firm Resale</t>
  </si>
  <si>
    <t>Percent of Uniform Increase</t>
  </si>
  <si>
    <t>Proposed Revenue Increase (%)</t>
  </si>
  <si>
    <t>Proposed
Revenue
Increase
($000)</t>
  </si>
  <si>
    <t>Proposed
Revenue
($000)</t>
  </si>
  <si>
    <t>A</t>
  </si>
  <si>
    <t>B</t>
  </si>
  <si>
    <t>C</t>
  </si>
  <si>
    <t>D</t>
  </si>
  <si>
    <t>E</t>
  </si>
  <si>
    <t>F</t>
  </si>
  <si>
    <t>G  = B * F</t>
  </si>
  <si>
    <t>H = B + G</t>
  </si>
  <si>
    <t>Secondary Voltage</t>
  </si>
  <si>
    <t>Demand &lt;= 50 kW</t>
  </si>
  <si>
    <t>Demand &gt; 50 kW but &lt;= 350 kW</t>
  </si>
  <si>
    <t>7A / 11/ 25 / 29</t>
  </si>
  <si>
    <t>Demand &gt; 350 kW</t>
  </si>
  <si>
    <t>12 / 26 / 26P</t>
  </si>
  <si>
    <t>Primary Voltage</t>
  </si>
  <si>
    <t>Interruptible Total Electric Schools</t>
  </si>
  <si>
    <t>Campus Rate</t>
  </si>
  <si>
    <t>Choice / Retail Wheeling</t>
  </si>
  <si>
    <t>Total Jurisdictional Retail Sales</t>
  </si>
  <si>
    <t>Total Sales</t>
  </si>
  <si>
    <t>Average Increase Before Schedule 40, Transportation, Firm Resale</t>
  </si>
  <si>
    <t>Average Increase After Schedule 40, Transportation, Firm Resale</t>
  </si>
  <si>
    <t>Adjustment to Average Increase for Unequal Allocation of Increase</t>
  </si>
  <si>
    <t>Average Increase After Schedule 40, Firm Resale adjusted for Unequal Allocation of Increase</t>
  </si>
  <si>
    <t>Proposed Revenue</t>
  </si>
  <si>
    <t>Revenue Change</t>
  </si>
  <si>
    <t>12NCP Cost Assignment</t>
  </si>
  <si>
    <t>Updated 3-23-17</t>
  </si>
  <si>
    <t>Updated 3-28-17</t>
  </si>
  <si>
    <t>Docket No. UE-170033</t>
  </si>
  <si>
    <t>Electric Rates (updated for Sch 40 settlement)</t>
  </si>
  <si>
    <t>Irrigation</t>
  </si>
  <si>
    <t>Allocation of Account 903 Costs Adjusted for Sch 40 Settlement</t>
  </si>
  <si>
    <t>Meter Reading Cost Allocation Factor Adjusted for Sch 40 Settlement</t>
  </si>
  <si>
    <t>Direct Assignment of Distribution Plant (Supp) - Sch 40 Settlement</t>
  </si>
  <si>
    <t>Meter Cost Allocation Factor - Adjust for Schedule 40 settlement</t>
  </si>
  <si>
    <t>Original</t>
  </si>
  <si>
    <t>Adjusted for Sch 40 Settlement</t>
  </si>
  <si>
    <t>Terex</t>
  </si>
  <si>
    <t>Worldcom</t>
  </si>
  <si>
    <t>Schedule 40 Settlement Adjustment</t>
  </si>
  <si>
    <t xml:space="preserve">Sch 40 Settlement </t>
  </si>
  <si>
    <t>Evergreen</t>
  </si>
  <si>
    <t>Adjusted for Schedule 40 Settlement</t>
  </si>
  <si>
    <t>Direct Assignment of Distribution Plant Accumulated Depreciation (Supp) Schedule 40 Settlement</t>
  </si>
  <si>
    <t>Updated 11-14-17</t>
  </si>
  <si>
    <t>Cust 8 Adj</t>
  </si>
  <si>
    <t>New Cust 1</t>
  </si>
  <si>
    <t>New Cust 2</t>
  </si>
  <si>
    <t>Cust 8</t>
  </si>
  <si>
    <t>2017 GRC Tax Reform Compliance Filing</t>
  </si>
  <si>
    <t>Updated 2-20-18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</si>
</sst>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PAGE&quot;\ 0.00"/>
    <numFmt numFmtId="165" formatCode="0.000000"/>
    <numFmt numFmtId="166" formatCode="0.0000%"/>
    <numFmt numFmtId="167" formatCode="_(&quot;$&quot;* #,##0_);_(&quot;$&quot;* \(#,##0\);_(&quot;$&quot;* &quot;-&quot;??_);_(@_)"/>
    <numFmt numFmtId="168" formatCode="_(* #,##0.0000_);_(* \(#,##0.0000\);_(* &quot;-&quot;??_);_(@_)"/>
    <numFmt numFmtId="169" formatCode="#,##0;\(#,##0\)"/>
    <numFmt numFmtId="170" formatCode="_(* #,##0_);_(* \(#,##0\);_(* &quot;-&quot;??_);_(@_)"/>
    <numFmt numFmtId="171" formatCode="_(* #,##0.000000_);_(* \(#,##0.000000\);_(* &quot;-&quot;??_);_(@_)"/>
    <numFmt numFmtId="172" formatCode="0.0%"/>
    <numFmt numFmtId="173" formatCode="#,##0.0"/>
    <numFmt numFmtId="174" formatCode="#,##0.0000_);[Red]\(#,##0.0000\)"/>
    <numFmt numFmtId="175" formatCode="_(&quot;$&quot;* #,##0.000000_);_(&quot;$&quot;* \(#,##0.000000\);_(&quot;$&quot;* &quot;-&quot;??_);_(@_)"/>
    <numFmt numFmtId="176" formatCode="_(&quot;$&quot;* #,##0.0000_);_(&quot;$&quot;* \(#,##0.0000\);_(&quot;$&quot;* &quot;-&quot;??_);_(@_)"/>
    <numFmt numFmtId="177" formatCode="#,##0.0000"/>
    <numFmt numFmtId="178" formatCode="0.00000"/>
    <numFmt numFmtId="179" formatCode="&quot;For the Month Ended&quot;\ mmmm\ yyyy"/>
    <numFmt numFmtId="180" formatCode="&quot;Adj.&quot;\ 0.00"/>
    <numFmt numFmtId="181" formatCode="&quot; As of &quot;mmmm\ d\,\ yyyy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b/>
      <sz val="8"/>
      <color theme="0"/>
      <name val="Helv"/>
    </font>
    <font>
      <sz val="10"/>
      <name val="Helv"/>
    </font>
    <font>
      <b/>
      <u/>
      <sz val="11"/>
      <color theme="1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indexed="56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sz val="10"/>
      <name val="Helvetica"/>
    </font>
    <font>
      <sz val="8.5"/>
      <name val="Helvetica"/>
    </font>
    <font>
      <b/>
      <sz val="8.5"/>
      <name val="Helvetica"/>
    </font>
    <font>
      <b/>
      <sz val="8"/>
      <name val="Helv"/>
    </font>
    <font>
      <sz val="8"/>
      <name val="Arial"/>
      <family val="2"/>
    </font>
    <font>
      <sz val="8.5"/>
      <name val="Helvetica"/>
      <family val="2"/>
    </font>
    <font>
      <b/>
      <sz val="12"/>
      <name val="Arial"/>
      <family val="2"/>
    </font>
    <font>
      <u/>
      <sz val="11"/>
      <color theme="1"/>
      <name val="Calibri"/>
      <family val="2"/>
      <scheme val="minor"/>
    </font>
    <font>
      <sz val="12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i/>
      <sz val="10"/>
      <color rgb="FF0000FF"/>
      <name val="Times New Roman"/>
      <family val="1"/>
    </font>
    <font>
      <b/>
      <u/>
      <sz val="10"/>
      <name val="Arial"/>
      <family val="2"/>
    </font>
    <font>
      <b/>
      <sz val="10"/>
      <color indexed="12"/>
      <name val="Arial"/>
      <family val="2"/>
    </font>
    <font>
      <b/>
      <u val="double"/>
      <sz val="10"/>
      <name val="Arial"/>
      <family val="2"/>
    </font>
    <font>
      <sz val="10"/>
      <color rgb="FFFF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2F2F2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96">
    <xf numFmtId="0" fontId="0" fillId="0" borderId="0" xfId="0"/>
    <xf numFmtId="0" fontId="0" fillId="0" borderId="0" xfId="0" applyFill="1"/>
    <xf numFmtId="0" fontId="3" fillId="0" borderId="0" xfId="0" applyNumberFormat="1" applyFont="1" applyFill="1" applyAlignment="1"/>
    <xf numFmtId="0" fontId="4" fillId="0" borderId="0" xfId="0" applyNumberFormat="1" applyFont="1" applyAlignment="1">
      <alignment horizontal="right"/>
    </xf>
    <xf numFmtId="164" fontId="4" fillId="0" borderId="1" xfId="0" applyNumberFormat="1" applyFont="1" applyFill="1" applyBorder="1" applyAlignment="1"/>
    <xf numFmtId="0" fontId="4" fillId="0" borderId="0" xfId="0" applyNumberFormat="1" applyFont="1" applyFill="1" applyAlignment="1">
      <alignment horizontal="centerContinuous"/>
    </xf>
    <xf numFmtId="0" fontId="4" fillId="0" borderId="0" xfId="0" applyNumberFormat="1" applyFont="1" applyFill="1" applyAlignment="1">
      <alignment horizontal="center"/>
    </xf>
    <xf numFmtId="0" fontId="4" fillId="0" borderId="2" xfId="0" applyNumberFormat="1" applyFont="1" applyFill="1" applyBorder="1" applyAlignment="1">
      <alignment horizontal="center"/>
    </xf>
    <xf numFmtId="0" fontId="0" fillId="0" borderId="0" xfId="0" applyNumberFormat="1" applyAlignment="1"/>
    <xf numFmtId="0" fontId="4" fillId="0" borderId="0" xfId="0" applyNumberFormat="1" applyFont="1" applyFill="1" applyAlignment="1"/>
    <xf numFmtId="0" fontId="4" fillId="0" borderId="0" xfId="0" applyNumberFormat="1" applyFont="1" applyFill="1" applyAlignment="1" applyProtection="1">
      <alignment horizontal="centerContinuous"/>
      <protection locked="0"/>
    </xf>
    <xf numFmtId="0" fontId="5" fillId="0" borderId="0" xfId="0" applyNumberFormat="1" applyFont="1" applyFill="1" applyAlignment="1">
      <alignment horizontal="centerContinuous"/>
    </xf>
    <xf numFmtId="0" fontId="4" fillId="0" borderId="2" xfId="0" applyNumberFormat="1" applyFont="1" applyFill="1" applyBorder="1" applyAlignment="1" applyProtection="1">
      <protection locked="0"/>
    </xf>
    <xf numFmtId="0" fontId="4" fillId="0" borderId="2" xfId="0" applyNumberFormat="1" applyFont="1" applyFill="1" applyBorder="1" applyAlignment="1"/>
    <xf numFmtId="0" fontId="4" fillId="0" borderId="2" xfId="0" applyNumberFormat="1" applyFont="1" applyFill="1" applyBorder="1" applyAlignment="1">
      <alignment horizontal="right"/>
    </xf>
    <xf numFmtId="0" fontId="3" fillId="0" borderId="0" xfId="0" quotePrefix="1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left"/>
    </xf>
    <xf numFmtId="165" fontId="3" fillId="0" borderId="0" xfId="0" applyNumberFormat="1" applyFont="1" applyFill="1" applyAlignment="1"/>
    <xf numFmtId="0" fontId="6" fillId="0" borderId="0" xfId="0" applyNumberFormat="1" applyFont="1" applyFill="1" applyAlignment="1"/>
    <xf numFmtId="166" fontId="3" fillId="0" borderId="0" xfId="0" applyNumberFormat="1" applyFont="1" applyFill="1" applyAlignment="1"/>
    <xf numFmtId="165" fontId="3" fillId="0" borderId="2" xfId="0" applyNumberFormat="1" applyFont="1" applyFill="1" applyBorder="1" applyAlignment="1"/>
    <xf numFmtId="165" fontId="3" fillId="0" borderId="0" xfId="0" applyNumberFormat="1" applyFont="1" applyFill="1" applyBorder="1" applyAlignment="1"/>
    <xf numFmtId="9" fontId="3" fillId="0" borderId="0" xfId="0" applyNumberFormat="1" applyFont="1" applyFill="1" applyAlignment="1"/>
    <xf numFmtId="0" fontId="7" fillId="0" borderId="0" xfId="0" applyNumberFormat="1" applyFont="1" applyAlignment="1"/>
    <xf numFmtId="0" fontId="0" fillId="0" borderId="0" xfId="0" applyAlignment="1">
      <alignment wrapText="1"/>
    </xf>
    <xf numFmtId="0" fontId="2" fillId="2" borderId="5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41" fontId="0" fillId="0" borderId="0" xfId="0" applyNumberFormat="1" applyAlignment="1">
      <alignment wrapText="1"/>
    </xf>
    <xf numFmtId="41" fontId="0" fillId="0" borderId="0" xfId="0" applyNumberFormat="1"/>
    <xf numFmtId="41" fontId="2" fillId="2" borderId="6" xfId="0" applyNumberFormat="1" applyFont="1" applyFill="1" applyBorder="1"/>
    <xf numFmtId="42" fontId="0" fillId="0" borderId="0" xfId="0" applyNumberFormat="1"/>
    <xf numFmtId="0" fontId="0" fillId="0" borderId="2" xfId="0" applyBorder="1" applyAlignment="1">
      <alignment horizontal="center" wrapText="1"/>
    </xf>
    <xf numFmtId="0" fontId="0" fillId="0" borderId="2" xfId="0" quotePrefix="1" applyBorder="1" applyAlignment="1">
      <alignment horizontal="center" wrapText="1"/>
    </xf>
    <xf numFmtId="0" fontId="0" fillId="0" borderId="0" xfId="0" applyAlignment="1">
      <alignment horizontal="center"/>
    </xf>
    <xf numFmtId="167" fontId="0" fillId="0" borderId="0" xfId="0" applyNumberFormat="1" applyFont="1"/>
    <xf numFmtId="9" fontId="0" fillId="0" borderId="0" xfId="0" applyNumberFormat="1" applyFont="1"/>
    <xf numFmtId="0" fontId="0" fillId="0" borderId="0" xfId="0" quotePrefix="1" applyAlignment="1">
      <alignment horizontal="left"/>
    </xf>
    <xf numFmtId="0" fontId="2" fillId="2" borderId="5" xfId="0" applyFont="1" applyFill="1" applyBorder="1"/>
    <xf numFmtId="168" fontId="0" fillId="0" borderId="0" xfId="0" applyNumberFormat="1" applyFont="1"/>
    <xf numFmtId="168" fontId="0" fillId="0" borderId="0" xfId="0" applyNumberFormat="1"/>
    <xf numFmtId="0" fontId="4" fillId="0" borderId="0" xfId="0" applyNumberFormat="1" applyFont="1" applyFill="1" applyAlignment="1">
      <alignment horizontal="right"/>
    </xf>
    <xf numFmtId="15" fontId="4" fillId="0" borderId="0" xfId="0" applyNumberFormat="1" applyFont="1" applyFill="1" applyAlignment="1">
      <alignment horizontal="centerContinuous"/>
    </xf>
    <xf numFmtId="18" fontId="4" fillId="0" borderId="0" xfId="0" applyNumberFormat="1" applyFont="1" applyFill="1" applyAlignment="1">
      <alignment horizontal="centerContinuous"/>
    </xf>
    <xf numFmtId="0" fontId="4" fillId="0" borderId="0" xfId="0" applyNumberFormat="1" applyFont="1" applyFill="1" applyAlignment="1" applyProtection="1">
      <protection locked="0"/>
    </xf>
    <xf numFmtId="0" fontId="4" fillId="0" borderId="0" xfId="0" applyNumberFormat="1" applyFont="1" applyFill="1" applyAlignment="1" applyProtection="1">
      <alignment horizontal="center"/>
      <protection locked="0"/>
    </xf>
    <xf numFmtId="0" fontId="4" fillId="0" borderId="2" xfId="0" applyNumberFormat="1" applyFont="1" applyFill="1" applyBorder="1" applyAlignment="1" applyProtection="1">
      <alignment horizontal="center"/>
      <protection locked="0"/>
    </xf>
    <xf numFmtId="42" fontId="3" fillId="0" borderId="0" xfId="0" applyNumberFormat="1" applyFont="1" applyFill="1" applyAlignment="1" applyProtection="1">
      <protection locked="0"/>
    </xf>
    <xf numFmtId="41" fontId="3" fillId="0" borderId="0" xfId="0" applyNumberFormat="1" applyFont="1" applyFill="1" applyAlignment="1" applyProtection="1">
      <protection locked="0"/>
    </xf>
    <xf numFmtId="41" fontId="3" fillId="0" borderId="2" xfId="0" applyNumberFormat="1" applyFont="1" applyFill="1" applyBorder="1" applyAlignment="1" applyProtection="1">
      <protection locked="0"/>
    </xf>
    <xf numFmtId="10" fontId="3" fillId="0" borderId="0" xfId="0" applyNumberFormat="1" applyFont="1" applyFill="1" applyAlignment="1" applyProtection="1">
      <protection locked="0"/>
    </xf>
    <xf numFmtId="41" fontId="3" fillId="0" borderId="0" xfId="0" applyNumberFormat="1" applyFont="1" applyFill="1" applyAlignment="1"/>
    <xf numFmtId="0" fontId="12" fillId="0" borderId="0" xfId="0" quotePrefix="1" applyFont="1" applyAlignment="1">
      <alignment horizontal="left"/>
    </xf>
    <xf numFmtId="0" fontId="12" fillId="0" borderId="0" xfId="0" applyFont="1"/>
    <xf numFmtId="165" fontId="3" fillId="0" borderId="4" xfId="0" applyNumberFormat="1" applyFont="1" applyFill="1" applyBorder="1" applyAlignment="1" applyProtection="1">
      <protection locked="0"/>
    </xf>
    <xf numFmtId="0" fontId="0" fillId="0" borderId="0" xfId="0" quotePrefix="1" applyAlignment="1">
      <alignment horizontal="center"/>
    </xf>
    <xf numFmtId="0" fontId="8" fillId="0" borderId="0" xfId="0" applyFont="1"/>
    <xf numFmtId="0" fontId="13" fillId="0" borderId="0" xfId="0" applyFont="1" applyAlignment="1">
      <alignment horizontal="left"/>
    </xf>
    <xf numFmtId="0" fontId="0" fillId="4" borderId="0" xfId="0" applyNumberFormat="1" applyFill="1" applyAlignment="1"/>
    <xf numFmtId="0" fontId="1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170" fontId="0" fillId="4" borderId="0" xfId="0" applyNumberFormat="1" applyFont="1" applyFill="1" applyAlignment="1">
      <alignment horizontal="right"/>
    </xf>
    <xf numFmtId="170" fontId="14" fillId="5" borderId="9" xfId="0" quotePrefix="1" applyNumberFormat="1" applyFont="1" applyFill="1" applyBorder="1" applyAlignment="1">
      <alignment horizontal="left"/>
    </xf>
    <xf numFmtId="170" fontId="14" fillId="5" borderId="9" xfId="0" applyNumberFormat="1" applyFont="1" applyFill="1" applyBorder="1" applyAlignment="1">
      <alignment horizontal="left"/>
    </xf>
    <xf numFmtId="0" fontId="15" fillId="0" borderId="0" xfId="0" applyFont="1" applyAlignment="1">
      <alignment horizontal="left" wrapText="1"/>
    </xf>
    <xf numFmtId="170" fontId="14" fillId="5" borderId="10" xfId="0" applyNumberFormat="1" applyFont="1" applyFill="1" applyBorder="1" applyAlignment="1">
      <alignment horizontal="left"/>
    </xf>
    <xf numFmtId="0" fontId="15" fillId="0" borderId="0" xfId="0" applyFont="1" applyAlignment="1">
      <alignment horizontal="right" wrapText="1"/>
    </xf>
    <xf numFmtId="10" fontId="14" fillId="5" borderId="9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left" wrapText="1"/>
    </xf>
    <xf numFmtId="171" fontId="14" fillId="5" borderId="10" xfId="0" applyNumberFormat="1" applyFont="1" applyFill="1" applyBorder="1" applyAlignment="1">
      <alignment horizontal="left"/>
    </xf>
    <xf numFmtId="0" fontId="13" fillId="0" borderId="0" xfId="0" quotePrefix="1" applyFont="1" applyAlignment="1">
      <alignment horizontal="left"/>
    </xf>
    <xf numFmtId="0" fontId="0" fillId="4" borderId="0" xfId="0" applyNumberFormat="1" applyFill="1" applyBorder="1" applyAlignment="1"/>
    <xf numFmtId="0" fontId="15" fillId="4" borderId="0" xfId="0" applyNumberFormat="1" applyFont="1" applyFill="1" applyAlignment="1">
      <alignment horizontal="right"/>
    </xf>
    <xf numFmtId="9" fontId="0" fillId="0" borderId="0" xfId="0" applyNumberFormat="1"/>
    <xf numFmtId="0" fontId="0" fillId="0" borderId="0" xfId="0" applyBorder="1" applyAlignment="1">
      <alignment horizontal="center" wrapText="1"/>
    </xf>
    <xf numFmtId="0" fontId="0" fillId="0" borderId="0" xfId="0" quotePrefix="1" applyBorder="1" applyAlignment="1">
      <alignment horizontal="center" wrapText="1"/>
    </xf>
    <xf numFmtId="170" fontId="0" fillId="0" borderId="0" xfId="0" applyNumberFormat="1" applyFont="1" applyFill="1"/>
    <xf numFmtId="167" fontId="0" fillId="0" borderId="0" xfId="0" applyNumberFormat="1" applyFont="1" applyFill="1"/>
    <xf numFmtId="16" fontId="0" fillId="0" borderId="0" xfId="0" quotePrefix="1" applyNumberFormat="1" applyAlignment="1">
      <alignment horizontal="center"/>
    </xf>
    <xf numFmtId="0" fontId="0" fillId="0" borderId="0" xfId="0" quotePrefix="1" applyAlignment="1">
      <alignment horizontal="left" indent="1"/>
    </xf>
    <xf numFmtId="167" fontId="0" fillId="0" borderId="0" xfId="0" applyNumberFormat="1"/>
    <xf numFmtId="167" fontId="0" fillId="0" borderId="0" xfId="0" quotePrefix="1" applyNumberFormat="1" applyFont="1" applyAlignment="1">
      <alignment horizontal="left"/>
    </xf>
    <xf numFmtId="170" fontId="0" fillId="0" borderId="0" xfId="0" applyNumberFormat="1"/>
    <xf numFmtId="167" fontId="0" fillId="0" borderId="2" xfId="0" applyNumberFormat="1" applyFont="1" applyFill="1" applyBorder="1"/>
    <xf numFmtId="170" fontId="0" fillId="0" borderId="0" xfId="0" applyNumberFormat="1" applyFont="1"/>
    <xf numFmtId="10" fontId="0" fillId="0" borderId="0" xfId="0" applyNumberFormat="1" applyFont="1"/>
    <xf numFmtId="9" fontId="14" fillId="5" borderId="10" xfId="0" applyNumberFormat="1" applyFont="1" applyFill="1" applyBorder="1" applyAlignment="1">
      <alignment horizontal="center"/>
    </xf>
    <xf numFmtId="170" fontId="14" fillId="5" borderId="10" xfId="0" quotePrefix="1" applyNumberFormat="1" applyFont="1" applyFill="1" applyBorder="1" applyAlignment="1">
      <alignment horizontal="left"/>
    </xf>
    <xf numFmtId="6" fontId="17" fillId="0" borderId="0" xfId="0" applyNumberFormat="1" applyFont="1" applyFill="1" applyAlignment="1">
      <alignment horizontal="right" indent="1"/>
    </xf>
    <xf numFmtId="10" fontId="17" fillId="0" borderId="0" xfId="0" applyNumberFormat="1" applyFont="1" applyFill="1" applyAlignment="1">
      <alignment horizontal="right" indent="1"/>
    </xf>
    <xf numFmtId="44" fontId="17" fillId="0" borderId="0" xfId="0" applyNumberFormat="1" applyFont="1" applyFill="1" applyAlignment="1">
      <alignment horizontal="right" indent="1"/>
    </xf>
    <xf numFmtId="38" fontId="17" fillId="0" borderId="0" xfId="0" applyNumberFormat="1" applyFont="1" applyFill="1" applyAlignment="1">
      <alignment horizontal="right" indent="1"/>
    </xf>
    <xf numFmtId="9" fontId="17" fillId="0" borderId="0" xfId="0" applyNumberFormat="1" applyFont="1" applyFill="1" applyAlignment="1">
      <alignment horizontal="right" indent="1"/>
    </xf>
    <xf numFmtId="172" fontId="17" fillId="0" borderId="0" xfId="0" applyNumberFormat="1" applyFont="1" applyFill="1" applyAlignment="1">
      <alignment horizontal="right" indent="1"/>
    </xf>
    <xf numFmtId="0" fontId="17" fillId="0" borderId="0" xfId="0" applyFont="1" applyFill="1" applyAlignment="1">
      <alignment horizontal="right"/>
    </xf>
    <xf numFmtId="0" fontId="17" fillId="0" borderId="0" xfId="0" applyFont="1" applyFill="1" applyBorder="1"/>
    <xf numFmtId="173" fontId="17" fillId="0" borderId="0" xfId="0" applyNumberFormat="1" applyFont="1" applyFill="1" applyBorder="1" applyAlignment="1">
      <alignment horizontal="center"/>
    </xf>
    <xf numFmtId="174" fontId="17" fillId="0" borderId="0" xfId="0" applyNumberFormat="1" applyFont="1" applyFill="1" applyAlignment="1">
      <alignment horizontal="right" indent="1"/>
    </xf>
    <xf numFmtId="0" fontId="19" fillId="0" borderId="0" xfId="0" applyFont="1" applyFill="1" applyBorder="1" applyAlignment="1">
      <alignment horizontal="center"/>
    </xf>
    <xf numFmtId="0" fontId="17" fillId="0" borderId="0" xfId="0" applyFont="1" applyFill="1" applyAlignment="1">
      <alignment horizontal="left"/>
    </xf>
    <xf numFmtId="0" fontId="17" fillId="0" borderId="0" xfId="0" quotePrefix="1" applyFont="1" applyFill="1" applyAlignment="1">
      <alignment horizontal="left"/>
    </xf>
    <xf numFmtId="10" fontId="17" fillId="0" borderId="0" xfId="0" applyNumberFormat="1" applyFont="1" applyFill="1" applyAlignment="1">
      <alignment horizontal="center"/>
    </xf>
    <xf numFmtId="10" fontId="17" fillId="0" borderId="2" xfId="0" applyNumberFormat="1" applyFont="1" applyFill="1" applyBorder="1" applyAlignment="1">
      <alignment horizontal="center"/>
    </xf>
    <xf numFmtId="10" fontId="21" fillId="0" borderId="2" xfId="0" applyNumberFormat="1" applyFont="1" applyFill="1" applyBorder="1" applyAlignment="1">
      <alignment horizontal="center"/>
    </xf>
    <xf numFmtId="10" fontId="17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9" fontId="14" fillId="5" borderId="10" xfId="0" applyNumberFormat="1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41" fontId="0" fillId="0" borderId="0" xfId="0" applyNumberFormat="1" applyAlignment="1">
      <alignment horizontal="left" wrapText="1"/>
    </xf>
    <xf numFmtId="170" fontId="11" fillId="5" borderId="10" xfId="0" applyNumberFormat="1" applyFont="1" applyFill="1" applyBorder="1" applyAlignment="1">
      <alignment horizontal="left"/>
    </xf>
    <xf numFmtId="170" fontId="11" fillId="0" borderId="10" xfId="0" applyNumberFormat="1" applyFont="1" applyFill="1" applyBorder="1" applyAlignment="1">
      <alignment horizontal="left"/>
    </xf>
    <xf numFmtId="10" fontId="11" fillId="0" borderId="10" xfId="0" applyNumberFormat="1" applyFont="1" applyFill="1" applyBorder="1" applyAlignment="1">
      <alignment horizontal="right"/>
    </xf>
    <xf numFmtId="0" fontId="11" fillId="3" borderId="22" xfId="0" applyFont="1" applyFill="1" applyBorder="1"/>
    <xf numFmtId="41" fontId="0" fillId="4" borderId="0" xfId="0" applyNumberFormat="1" applyFill="1" applyBorder="1" applyAlignment="1"/>
    <xf numFmtId="0" fontId="11" fillId="3" borderId="0" xfId="0" applyFont="1" applyFill="1" applyBorder="1"/>
    <xf numFmtId="0" fontId="0" fillId="0" borderId="0" xfId="0" quotePrefix="1" applyAlignment="1">
      <alignment horizontal="left"/>
    </xf>
    <xf numFmtId="0" fontId="0" fillId="0" borderId="0" xfId="0" pivotButton="1"/>
    <xf numFmtId="0" fontId="0" fillId="0" borderId="0" xfId="0" quotePrefix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28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0" fillId="0" borderId="26" xfId="0" applyFill="1" applyBorder="1" applyAlignment="1">
      <alignment horizontal="center" wrapText="1"/>
    </xf>
    <xf numFmtId="0" fontId="0" fillId="0" borderId="27" xfId="0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25" xfId="0" quotePrefix="1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2" xfId="0" quotePrefix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170" fontId="0" fillId="0" borderId="22" xfId="0" applyNumberFormat="1" applyFont="1" applyFill="1" applyBorder="1"/>
    <xf numFmtId="0" fontId="0" fillId="0" borderId="0" xfId="0" applyFill="1" applyBorder="1"/>
    <xf numFmtId="42" fontId="0" fillId="0" borderId="29" xfId="0" applyNumberFormat="1" applyFill="1" applyBorder="1"/>
    <xf numFmtId="167" fontId="0" fillId="0" borderId="0" xfId="0" applyNumberFormat="1" applyFont="1" applyFill="1" applyBorder="1"/>
    <xf numFmtId="167" fontId="0" fillId="0" borderId="29" xfId="0" applyNumberFormat="1" applyFont="1" applyFill="1" applyBorder="1"/>
    <xf numFmtId="167" fontId="0" fillId="0" borderId="30" xfId="0" applyNumberFormat="1" applyFont="1" applyFill="1" applyBorder="1"/>
    <xf numFmtId="0" fontId="0" fillId="0" borderId="0" xfId="0" quotePrefix="1" applyFill="1" applyAlignment="1">
      <alignment horizontal="center"/>
    </xf>
    <xf numFmtId="0" fontId="0" fillId="0" borderId="29" xfId="0" applyFill="1" applyBorder="1"/>
    <xf numFmtId="0" fontId="0" fillId="0" borderId="30" xfId="0" applyFill="1" applyBorder="1"/>
    <xf numFmtId="42" fontId="0" fillId="0" borderId="0" xfId="0" applyNumberFormat="1" applyFill="1" applyBorder="1"/>
    <xf numFmtId="167" fontId="0" fillId="0" borderId="29" xfId="0" applyNumberFormat="1" applyFill="1" applyBorder="1"/>
    <xf numFmtId="0" fontId="0" fillId="0" borderId="31" xfId="0" applyFill="1" applyBorder="1"/>
    <xf numFmtId="0" fontId="0" fillId="0" borderId="2" xfId="0" applyFill="1" applyBorder="1"/>
    <xf numFmtId="0" fontId="0" fillId="0" borderId="28" xfId="0" applyFill="1" applyBorder="1"/>
    <xf numFmtId="0" fontId="0" fillId="0" borderId="32" xfId="0" applyFill="1" applyBorder="1"/>
    <xf numFmtId="0" fontId="0" fillId="0" borderId="0" xfId="0" applyAlignment="1">
      <alignment horizontal="center" wrapText="1"/>
    </xf>
    <xf numFmtId="0" fontId="0" fillId="0" borderId="0" xfId="0" quotePrefix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right"/>
    </xf>
    <xf numFmtId="167" fontId="1" fillId="0" borderId="0" xfId="0" applyNumberFormat="1" applyFont="1"/>
    <xf numFmtId="0" fontId="0" fillId="0" borderId="0" xfId="0" quotePrefix="1" applyAlignment="1">
      <alignment horizontal="right"/>
    </xf>
    <xf numFmtId="0" fontId="19" fillId="0" borderId="2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36" xfId="0" applyFont="1" applyBorder="1" applyAlignment="1">
      <alignment horizontal="center"/>
    </xf>
    <xf numFmtId="0" fontId="11" fillId="0" borderId="37" xfId="0" quotePrefix="1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Alignment="1">
      <alignment horizontal="center" wrapText="1"/>
    </xf>
    <xf numFmtId="0" fontId="11" fillId="0" borderId="37" xfId="0" applyFont="1" applyBorder="1" applyAlignment="1">
      <alignment horizontal="right"/>
    </xf>
    <xf numFmtId="170" fontId="11" fillId="0" borderId="0" xfId="0" applyNumberFormat="1" applyFont="1" applyBorder="1"/>
    <xf numFmtId="0" fontId="11" fillId="0" borderId="39" xfId="0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11" fillId="0" borderId="0" xfId="0" quotePrefix="1" applyFont="1" applyBorder="1" applyAlignment="1">
      <alignment horizontal="right"/>
    </xf>
    <xf numFmtId="0" fontId="11" fillId="0" borderId="41" xfId="0" applyFont="1" applyBorder="1"/>
    <xf numFmtId="0" fontId="11" fillId="0" borderId="15" xfId="0" applyFont="1" applyBorder="1"/>
    <xf numFmtId="0" fontId="11" fillId="0" borderId="42" xfId="0" applyFont="1" applyBorder="1"/>
    <xf numFmtId="0" fontId="11" fillId="0" borderId="34" xfId="0" quotePrefix="1" applyFont="1" applyFill="1" applyBorder="1" applyAlignment="1">
      <alignment horizontal="center" wrapText="1"/>
    </xf>
    <xf numFmtId="0" fontId="11" fillId="0" borderId="34" xfId="0" applyFont="1" applyFill="1" applyBorder="1" applyAlignment="1">
      <alignment horizontal="center" wrapText="1"/>
    </xf>
    <xf numFmtId="0" fontId="11" fillId="0" borderId="35" xfId="0" applyFont="1" applyFill="1" applyBorder="1" applyAlignment="1">
      <alignment horizontal="center" wrapText="1"/>
    </xf>
    <xf numFmtId="170" fontId="11" fillId="0" borderId="0" xfId="0" applyNumberFormat="1" applyFont="1" applyFill="1" applyBorder="1"/>
    <xf numFmtId="170" fontId="11" fillId="0" borderId="40" xfId="0" applyNumberFormat="1" applyFont="1" applyFill="1" applyBorder="1"/>
    <xf numFmtId="0" fontId="1" fillId="0" borderId="0" xfId="0" applyFont="1"/>
    <xf numFmtId="14" fontId="1" fillId="0" borderId="0" xfId="0" applyNumberFormat="1" applyFont="1" applyAlignment="1" applyProtection="1">
      <alignment vertical="center"/>
    </xf>
    <xf numFmtId="170" fontId="1" fillId="0" borderId="0" xfId="0" applyNumberFormat="1" applyFont="1"/>
    <xf numFmtId="170" fontId="1" fillId="0" borderId="0" xfId="0" applyNumberFormat="1" applyFont="1"/>
    <xf numFmtId="0" fontId="1" fillId="0" borderId="0" xfId="0" applyFont="1" applyFill="1"/>
    <xf numFmtId="0" fontId="1" fillId="0" borderId="0" xfId="0" quotePrefix="1" applyFont="1" applyFill="1" applyAlignment="1">
      <alignment horizontal="left"/>
    </xf>
    <xf numFmtId="0" fontId="11" fillId="0" borderId="0" xfId="0" applyFont="1"/>
    <xf numFmtId="0" fontId="11" fillId="0" borderId="0" xfId="0" applyFont="1"/>
    <xf numFmtId="170" fontId="11" fillId="0" borderId="0" xfId="0" applyNumberFormat="1" applyFont="1" applyBorder="1"/>
    <xf numFmtId="170" fontId="15" fillId="0" borderId="0" xfId="0" applyNumberFormat="1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170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22" fontId="11" fillId="0" borderId="0" xfId="0" applyNumberFormat="1" applyFont="1"/>
    <xf numFmtId="37" fontId="11" fillId="0" borderId="0" xfId="0" applyNumberFormat="1" applyFont="1"/>
    <xf numFmtId="170" fontId="11" fillId="0" borderId="0" xfId="0" applyNumberFormat="1" applyFont="1"/>
    <xf numFmtId="170" fontId="11" fillId="0" borderId="0" xfId="0" applyNumberFormat="1" applyFont="1" applyBorder="1" applyAlignment="1">
      <alignment vertical="top" wrapText="1"/>
    </xf>
    <xf numFmtId="0" fontId="11" fillId="0" borderId="0" xfId="0" applyFont="1"/>
    <xf numFmtId="170" fontId="11" fillId="0" borderId="0" xfId="0" applyNumberFormat="1" applyFont="1" applyFill="1"/>
    <xf numFmtId="10" fontId="11" fillId="0" borderId="0" xfId="0" applyNumberFormat="1" applyFont="1"/>
    <xf numFmtId="170" fontId="11" fillId="0" borderId="0" xfId="0" applyNumberFormat="1" applyFont="1"/>
    <xf numFmtId="10" fontId="11" fillId="0" borderId="0" xfId="0" applyNumberFormat="1" applyFont="1"/>
    <xf numFmtId="0" fontId="11" fillId="0" borderId="0" xfId="0" applyNumberFormat="1" applyFont="1" applyBorder="1"/>
    <xf numFmtId="0" fontId="11" fillId="0" borderId="0" xfId="0" quotePrefix="1" applyFont="1" applyAlignment="1">
      <alignment horizontal="left"/>
    </xf>
    <xf numFmtId="0" fontId="15" fillId="0" borderId="0" xfId="0" applyFont="1"/>
    <xf numFmtId="4" fontId="11" fillId="0" borderId="0" xfId="0" applyNumberFormat="1" applyFont="1"/>
    <xf numFmtId="0" fontId="11" fillId="0" borderId="0" xfId="0" applyFont="1"/>
    <xf numFmtId="0" fontId="11" fillId="0" borderId="0" xfId="0" quotePrefix="1" applyFont="1" applyBorder="1" applyAlignment="1">
      <alignment horizontal="left"/>
    </xf>
    <xf numFmtId="0" fontId="11" fillId="0" borderId="0" xfId="0" applyFont="1" applyAlignment="1">
      <alignment horizontal="center"/>
    </xf>
    <xf numFmtId="0" fontId="24" fillId="0" borderId="0" xfId="0" applyFont="1" applyAlignment="1">
      <alignment horizontal="centerContinuous"/>
    </xf>
    <xf numFmtId="0" fontId="24" fillId="0" borderId="0" xfId="0" applyFont="1" applyAlignment="1">
      <alignment horizontal="center"/>
    </xf>
    <xf numFmtId="0" fontId="24" fillId="0" borderId="0" xfId="0" applyFont="1" applyAlignment="1"/>
    <xf numFmtId="0" fontId="11" fillId="6" borderId="36" xfId="0" applyFont="1" applyFill="1" applyBorder="1" applyAlignment="1"/>
    <xf numFmtId="3" fontId="11" fillId="7" borderId="38" xfId="0" applyNumberFormat="1" applyFont="1" applyFill="1" applyBorder="1" applyAlignment="1"/>
    <xf numFmtId="0" fontId="11" fillId="6" borderId="36" xfId="0" applyFont="1" applyFill="1" applyBorder="1" applyAlignment="1">
      <alignment horizontal="left"/>
    </xf>
    <xf numFmtId="3" fontId="11" fillId="0" borderId="38" xfId="0" applyNumberFormat="1" applyFont="1" applyBorder="1" applyAlignment="1">
      <alignment horizontal="right"/>
    </xf>
    <xf numFmtId="0" fontId="11" fillId="0" borderId="0" xfId="0" applyFont="1" applyAlignment="1"/>
    <xf numFmtId="0" fontId="11" fillId="6" borderId="39" xfId="0" applyFont="1" applyFill="1" applyBorder="1" applyAlignment="1"/>
    <xf numFmtId="3" fontId="11" fillId="0" borderId="43" xfId="0" applyNumberFormat="1" applyFont="1" applyBorder="1" applyAlignment="1"/>
    <xf numFmtId="0" fontId="11" fillId="6" borderId="39" xfId="0" applyFont="1" applyFill="1" applyBorder="1" applyAlignment="1">
      <alignment horizontal="left"/>
    </xf>
    <xf numFmtId="3" fontId="11" fillId="0" borderId="43" xfId="0" applyNumberFormat="1" applyFont="1" applyBorder="1" applyAlignment="1">
      <alignment horizontal="right"/>
    </xf>
    <xf numFmtId="0" fontId="11" fillId="6" borderId="41" xfId="0" applyFont="1" applyFill="1" applyBorder="1" applyAlignment="1"/>
    <xf numFmtId="3" fontId="11" fillId="7" borderId="42" xfId="0" applyNumberFormat="1" applyFont="1" applyFill="1" applyBorder="1" applyAlignment="1"/>
    <xf numFmtId="0" fontId="11" fillId="6" borderId="41" xfId="0" applyFont="1" applyFill="1" applyBorder="1" applyAlignment="1">
      <alignment horizontal="left"/>
    </xf>
    <xf numFmtId="3" fontId="11" fillId="0" borderId="42" xfId="0" applyNumberFormat="1" applyFont="1" applyBorder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center" wrapText="1"/>
    </xf>
    <xf numFmtId="0" fontId="11" fillId="0" borderId="0" xfId="0" applyFont="1" applyFill="1" applyAlignment="1">
      <alignment horizontal="center"/>
    </xf>
    <xf numFmtId="0" fontId="11" fillId="6" borderId="36" xfId="0" quotePrefix="1" applyFont="1" applyFill="1" applyBorder="1" applyAlignment="1">
      <alignment horizontal="center"/>
    </xf>
    <xf numFmtId="0" fontId="11" fillId="6" borderId="37" xfId="0" quotePrefix="1" applyFont="1" applyFill="1" applyBorder="1" applyAlignment="1">
      <alignment horizontal="center"/>
    </xf>
    <xf numFmtId="0" fontId="11" fillId="0" borderId="38" xfId="0" quotePrefix="1" applyFont="1" applyFill="1" applyBorder="1" applyAlignment="1">
      <alignment horizontal="center"/>
    </xf>
    <xf numFmtId="0" fontId="15" fillId="6" borderId="39" xfId="0" applyFont="1" applyFill="1" applyBorder="1" applyAlignment="1">
      <alignment horizontal="center"/>
    </xf>
    <xf numFmtId="0" fontId="15" fillId="6" borderId="0" xfId="0" applyFont="1" applyFill="1" applyBorder="1" applyAlignment="1">
      <alignment horizontal="center"/>
    </xf>
    <xf numFmtId="0" fontId="15" fillId="0" borderId="40" xfId="0" applyFont="1" applyFill="1" applyBorder="1" applyAlignment="1">
      <alignment horizontal="center"/>
    </xf>
    <xf numFmtId="0" fontId="11" fillId="6" borderId="39" xfId="0" applyFont="1" applyFill="1" applyBorder="1"/>
    <xf numFmtId="0" fontId="11" fillId="6" borderId="0" xfId="0" applyFont="1" applyFill="1" applyBorder="1"/>
    <xf numFmtId="0" fontId="11" fillId="6" borderId="0" xfId="0" applyFont="1" applyFill="1" applyBorder="1" applyAlignment="1">
      <alignment horizontal="center"/>
    </xf>
    <xf numFmtId="0" fontId="20" fillId="6" borderId="39" xfId="0" applyFont="1" applyFill="1" applyBorder="1" applyAlignment="1">
      <alignment horizontal="center"/>
    </xf>
    <xf numFmtId="0" fontId="20" fillId="6" borderId="0" xfId="0" applyFont="1" applyFill="1" applyBorder="1" applyAlignment="1">
      <alignment horizontal="center" wrapText="1"/>
    </xf>
    <xf numFmtId="0" fontId="20" fillId="6" borderId="0" xfId="0" applyFont="1" applyFill="1" applyBorder="1" applyAlignment="1">
      <alignment horizontal="center"/>
    </xf>
    <xf numFmtId="0" fontId="20" fillId="6" borderId="0" xfId="0" quotePrefix="1" applyFont="1" applyFill="1" applyBorder="1" applyAlignment="1">
      <alignment horizontal="center"/>
    </xf>
    <xf numFmtId="0" fontId="20" fillId="0" borderId="40" xfId="0" quotePrefix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5" fillId="0" borderId="39" xfId="0" quotePrefix="1" applyFont="1" applyBorder="1" applyAlignment="1">
      <alignment horizontal="center"/>
    </xf>
    <xf numFmtId="0" fontId="25" fillId="0" borderId="0" xfId="0" quotePrefix="1" applyFont="1" applyBorder="1" applyAlignment="1">
      <alignment horizontal="right"/>
    </xf>
    <xf numFmtId="0" fontId="25" fillId="0" borderId="40" xfId="0" quotePrefix="1" applyFont="1" applyFill="1" applyBorder="1" applyAlignment="1">
      <alignment horizontal="right"/>
    </xf>
    <xf numFmtId="0" fontId="25" fillId="0" borderId="0" xfId="0" applyFont="1" applyAlignment="1">
      <alignment horizontal="center"/>
    </xf>
    <xf numFmtId="0" fontId="20" fillId="0" borderId="44" xfId="0" quotePrefix="1" applyFont="1" applyBorder="1" applyAlignment="1">
      <alignment horizontal="center"/>
    </xf>
    <xf numFmtId="41" fontId="20" fillId="0" borderId="26" xfId="0" applyNumberFormat="1" applyFont="1" applyFill="1" applyBorder="1" applyAlignment="1">
      <alignment horizontal="right"/>
    </xf>
    <xf numFmtId="3" fontId="20" fillId="8" borderId="26" xfId="0" applyNumberFormat="1" applyFont="1" applyFill="1" applyBorder="1" applyAlignment="1">
      <alignment horizontal="right"/>
    </xf>
    <xf numFmtId="10" fontId="20" fillId="0" borderId="26" xfId="0" applyNumberFormat="1" applyFont="1" applyBorder="1" applyAlignment="1">
      <alignment horizontal="right"/>
    </xf>
    <xf numFmtId="3" fontId="20" fillId="0" borderId="26" xfId="0" applyNumberFormat="1" applyFont="1" applyBorder="1" applyAlignment="1">
      <alignment horizontal="right"/>
    </xf>
    <xf numFmtId="41" fontId="20" fillId="0" borderId="26" xfId="0" applyNumberFormat="1" applyFont="1" applyBorder="1" applyAlignment="1">
      <alignment horizontal="right"/>
    </xf>
    <xf numFmtId="41" fontId="20" fillId="0" borderId="45" xfId="0" applyNumberFormat="1" applyFont="1" applyFill="1" applyBorder="1" applyAlignment="1">
      <alignment horizontal="right"/>
    </xf>
    <xf numFmtId="10" fontId="20" fillId="0" borderId="0" xfId="0" applyNumberFormat="1" applyFont="1" applyAlignment="1">
      <alignment horizontal="center"/>
    </xf>
    <xf numFmtId="0" fontId="20" fillId="0" borderId="44" xfId="0" applyFont="1" applyBorder="1" applyAlignment="1">
      <alignment horizontal="center"/>
    </xf>
    <xf numFmtId="0" fontId="25" fillId="0" borderId="0" xfId="0" quotePrefix="1" applyFont="1" applyFill="1" applyBorder="1" applyAlignment="1">
      <alignment horizontal="right"/>
    </xf>
    <xf numFmtId="0" fontId="20" fillId="0" borderId="39" xfId="0" applyFont="1" applyBorder="1" applyAlignment="1">
      <alignment horizontal="center"/>
    </xf>
    <xf numFmtId="3" fontId="20" fillId="0" borderId="0" xfId="0" applyNumberFormat="1" applyFont="1" applyBorder="1" applyAlignment="1">
      <alignment horizontal="right"/>
    </xf>
    <xf numFmtId="3" fontId="20" fillId="0" borderId="0" xfId="0" applyNumberFormat="1" applyFont="1" applyFill="1" applyBorder="1" applyAlignment="1">
      <alignment horizontal="right"/>
    </xf>
    <xf numFmtId="3" fontId="20" fillId="0" borderId="0" xfId="0" quotePrefix="1" applyNumberFormat="1" applyFont="1" applyBorder="1" applyAlignment="1">
      <alignment horizontal="right"/>
    </xf>
    <xf numFmtId="3" fontId="20" fillId="0" borderId="40" xfId="0" applyNumberFormat="1" applyFont="1" applyFill="1" applyBorder="1" applyAlignment="1">
      <alignment horizontal="right"/>
    </xf>
    <xf numFmtId="0" fontId="20" fillId="0" borderId="41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0" fillId="0" borderId="15" xfId="0" applyFont="1" applyFill="1" applyBorder="1" applyAlignment="1">
      <alignment horizontal="center"/>
    </xf>
    <xf numFmtId="3" fontId="20" fillId="0" borderId="15" xfId="0" applyNumberFormat="1" applyFont="1" applyBorder="1" applyAlignment="1">
      <alignment horizontal="center"/>
    </xf>
    <xf numFmtId="0" fontId="20" fillId="0" borderId="42" xfId="0" applyFont="1" applyFill="1" applyBorder="1" applyAlignment="1">
      <alignment horizontal="center"/>
    </xf>
    <xf numFmtId="10" fontId="11" fillId="0" borderId="0" xfId="0" applyNumberFormat="1" applyFont="1" applyAlignment="1">
      <alignment horizontal="center"/>
    </xf>
    <xf numFmtId="0" fontId="15" fillId="0" borderId="0" xfId="0" applyFont="1" applyAlignment="1">
      <alignment horizontal="left"/>
    </xf>
    <xf numFmtId="0" fontId="20" fillId="0" borderId="46" xfId="0" applyFont="1" applyBorder="1" applyAlignment="1">
      <alignment horizontal="center"/>
    </xf>
    <xf numFmtId="41" fontId="20" fillId="0" borderId="47" xfId="0" applyNumberFormat="1" applyFont="1" applyFill="1" applyBorder="1" applyAlignment="1">
      <alignment horizontal="right"/>
    </xf>
    <xf numFmtId="3" fontId="20" fillId="0" borderId="47" xfId="0" applyNumberFormat="1" applyFont="1" applyBorder="1" applyAlignment="1">
      <alignment horizontal="right"/>
    </xf>
    <xf numFmtId="10" fontId="20" fillId="0" borderId="47" xfId="0" applyNumberFormat="1" applyFont="1" applyBorder="1" applyAlignment="1">
      <alignment horizontal="right"/>
    </xf>
    <xf numFmtId="3" fontId="20" fillId="0" borderId="48" xfId="0" applyNumberFormat="1" applyFont="1" applyFill="1" applyBorder="1" applyAlignment="1">
      <alignment horizontal="right"/>
    </xf>
    <xf numFmtId="3" fontId="20" fillId="0" borderId="2" xfId="0" applyNumberFormat="1" applyFont="1" applyBorder="1" applyAlignment="1">
      <alignment horizontal="right"/>
    </xf>
    <xf numFmtId="3" fontId="20" fillId="0" borderId="45" xfId="0" applyNumberFormat="1" applyFont="1" applyFill="1" applyBorder="1" applyAlignment="1">
      <alignment horizontal="right"/>
    </xf>
    <xf numFmtId="0" fontId="20" fillId="0" borderId="39" xfId="0" quotePrefix="1" applyFont="1" applyBorder="1" applyAlignment="1">
      <alignment horizontal="center"/>
    </xf>
    <xf numFmtId="0" fontId="20" fillId="0" borderId="0" xfId="0" quotePrefix="1" applyFont="1" applyBorder="1" applyAlignment="1">
      <alignment horizontal="center"/>
    </xf>
    <xf numFmtId="0" fontId="20" fillId="0" borderId="40" xfId="0" quotePrefix="1" applyFont="1" applyBorder="1" applyAlignment="1">
      <alignment horizontal="center"/>
    </xf>
    <xf numFmtId="3" fontId="20" fillId="0" borderId="15" xfId="0" applyNumberFormat="1" applyFont="1" applyBorder="1" applyAlignment="1">
      <alignment horizontal="right"/>
    </xf>
    <xf numFmtId="3" fontId="20" fillId="0" borderId="15" xfId="0" quotePrefix="1" applyNumberFormat="1" applyFont="1" applyBorder="1" applyAlignment="1">
      <alignment horizontal="right"/>
    </xf>
    <xf numFmtId="3" fontId="20" fillId="0" borderId="42" xfId="0" applyNumberFormat="1" applyFont="1" applyFill="1" applyBorder="1" applyAlignment="1">
      <alignment horizontal="right"/>
    </xf>
    <xf numFmtId="0" fontId="20" fillId="0" borderId="0" xfId="0" applyFont="1" applyBorder="1" applyAlignment="1">
      <alignment horizontal="center"/>
    </xf>
    <xf numFmtId="0" fontId="26" fillId="0" borderId="0" xfId="0" applyFont="1" applyBorder="1" applyAlignment="1">
      <alignment horizontal="left"/>
    </xf>
    <xf numFmtId="3" fontId="1" fillId="0" borderId="0" xfId="0" applyNumberFormat="1" applyFont="1" applyFill="1"/>
    <xf numFmtId="0" fontId="1" fillId="0" borderId="0" xfId="0" applyFont="1" applyFill="1"/>
    <xf numFmtId="3" fontId="11" fillId="0" borderId="0" xfId="0" applyNumberFormat="1" applyFont="1" applyAlignment="1">
      <alignment horizontal="right"/>
    </xf>
    <xf numFmtId="0" fontId="11" fillId="0" borderId="33" xfId="0" applyFont="1" applyFill="1" applyBorder="1" applyAlignment="1">
      <alignment horizontal="center" wrapText="1"/>
    </xf>
    <xf numFmtId="0" fontId="11" fillId="0" borderId="35" xfId="0" quotePrefix="1" applyFont="1" applyFill="1" applyBorder="1" applyAlignment="1">
      <alignment horizontal="center" wrapText="1"/>
    </xf>
    <xf numFmtId="170" fontId="11" fillId="0" borderId="39" xfId="0" applyNumberFormat="1" applyFont="1" applyFill="1" applyBorder="1"/>
    <xf numFmtId="170" fontId="11" fillId="0" borderId="0" xfId="0" applyNumberFormat="1" applyFont="1" applyFill="1" applyBorder="1"/>
    <xf numFmtId="170" fontId="11" fillId="0" borderId="40" xfId="0" applyNumberFormat="1" applyFont="1" applyFill="1" applyBorder="1"/>
    <xf numFmtId="170" fontId="11" fillId="0" borderId="39" xfId="0" applyNumberFormat="1" applyFont="1" applyFill="1" applyBorder="1"/>
    <xf numFmtId="0" fontId="11" fillId="0" borderId="41" xfId="0" applyFont="1" applyFill="1" applyBorder="1"/>
    <xf numFmtId="0" fontId="11" fillId="0" borderId="15" xfId="0" applyFont="1" applyFill="1" applyBorder="1"/>
    <xf numFmtId="0" fontId="11" fillId="0" borderId="42" xfId="0" applyFont="1" applyFill="1" applyBorder="1"/>
    <xf numFmtId="0" fontId="11" fillId="0" borderId="0" xfId="0" applyFont="1" applyAlignment="1">
      <alignment horizontal="centerContinuous"/>
    </xf>
    <xf numFmtId="0" fontId="11" fillId="0" borderId="0" xfId="0" applyFont="1" applyAlignment="1">
      <alignment horizontal="left"/>
    </xf>
    <xf numFmtId="0" fontId="15" fillId="6" borderId="36" xfId="0" applyFont="1" applyFill="1" applyBorder="1" applyAlignment="1">
      <alignment horizontal="centerContinuous"/>
    </xf>
    <xf numFmtId="0" fontId="15" fillId="6" borderId="37" xfId="0" applyFont="1" applyFill="1" applyBorder="1" applyAlignment="1">
      <alignment horizontal="centerContinuous"/>
    </xf>
    <xf numFmtId="0" fontId="15" fillId="6" borderId="37" xfId="0" applyFont="1" applyFill="1" applyBorder="1" applyAlignment="1">
      <alignment horizontal="center"/>
    </xf>
    <xf numFmtId="0" fontId="15" fillId="6" borderId="38" xfId="0" applyFont="1" applyFill="1" applyBorder="1" applyAlignment="1">
      <alignment horizontal="center"/>
    </xf>
    <xf numFmtId="3" fontId="11" fillId="0" borderId="38" xfId="0" applyNumberFormat="1" applyFont="1" applyBorder="1"/>
    <xf numFmtId="3" fontId="11" fillId="0" borderId="0" xfId="0" applyNumberFormat="1" applyFont="1" applyAlignment="1"/>
    <xf numFmtId="0" fontId="15" fillId="6" borderId="39" xfId="0" applyFont="1" applyFill="1" applyBorder="1" applyAlignment="1">
      <alignment horizontal="centerContinuous"/>
    </xf>
    <xf numFmtId="0" fontId="15" fillId="6" borderId="0" xfId="0" applyFont="1" applyFill="1" applyBorder="1" applyAlignment="1">
      <alignment horizontal="centerContinuous"/>
    </xf>
    <xf numFmtId="0" fontId="15" fillId="6" borderId="40" xfId="0" applyFont="1" applyFill="1" applyBorder="1" applyAlignment="1">
      <alignment horizontal="center"/>
    </xf>
    <xf numFmtId="3" fontId="11" fillId="7" borderId="40" xfId="0" applyNumberFormat="1" applyFont="1" applyFill="1" applyBorder="1" applyAlignment="1"/>
    <xf numFmtId="0" fontId="11" fillId="6" borderId="0" xfId="0" applyFont="1" applyFill="1" applyBorder="1" applyAlignment="1"/>
    <xf numFmtId="10" fontId="11" fillId="0" borderId="0" xfId="0" applyNumberFormat="1" applyFont="1" applyBorder="1" applyAlignment="1"/>
    <xf numFmtId="10" fontId="11" fillId="0" borderId="40" xfId="0" applyNumberFormat="1" applyFont="1" applyBorder="1" applyAlignment="1"/>
    <xf numFmtId="37" fontId="11" fillId="0" borderId="43" xfId="0" applyNumberFormat="1" applyFont="1" applyBorder="1" applyAlignment="1"/>
    <xf numFmtId="0" fontId="11" fillId="6" borderId="49" xfId="0" applyFont="1" applyFill="1" applyBorder="1" applyAlignment="1"/>
    <xf numFmtId="3" fontId="11" fillId="0" borderId="50" xfId="0" applyNumberFormat="1" applyFont="1" applyBorder="1" applyAlignment="1"/>
    <xf numFmtId="177" fontId="11" fillId="0" borderId="0" xfId="0" applyNumberFormat="1" applyFont="1" applyAlignment="1"/>
    <xf numFmtId="0" fontId="11" fillId="6" borderId="51" xfId="0" applyFont="1" applyFill="1" applyBorder="1" applyAlignment="1"/>
    <xf numFmtId="0" fontId="11" fillId="6" borderId="2" xfId="0" applyFont="1" applyFill="1" applyBorder="1" applyAlignment="1"/>
    <xf numFmtId="10" fontId="11" fillId="0" borderId="2" xfId="0" applyNumberFormat="1" applyFont="1" applyBorder="1" applyAlignment="1"/>
    <xf numFmtId="10" fontId="11" fillId="0" borderId="43" xfId="0" applyNumberFormat="1" applyFont="1" applyBorder="1" applyAlignment="1"/>
    <xf numFmtId="0" fontId="11" fillId="6" borderId="15" xfId="0" applyFont="1" applyFill="1" applyBorder="1" applyAlignment="1">
      <alignment horizontal="centerContinuous"/>
    </xf>
    <xf numFmtId="10" fontId="11" fillId="0" borderId="15" xfId="0" applyNumberFormat="1" applyFont="1" applyBorder="1" applyAlignment="1"/>
    <xf numFmtId="10" fontId="11" fillId="0" borderId="42" xfId="0" applyNumberFormat="1" applyFont="1" applyBorder="1" applyAlignment="1">
      <alignment horizontal="right"/>
    </xf>
    <xf numFmtId="0" fontId="11" fillId="0" borderId="0" xfId="0" applyFont="1" applyFill="1" applyAlignment="1">
      <alignment horizontal="center" wrapText="1"/>
    </xf>
    <xf numFmtId="0" fontId="20" fillId="6" borderId="36" xfId="0" quotePrefix="1" applyFont="1" applyFill="1" applyBorder="1" applyAlignment="1">
      <alignment horizontal="center"/>
    </xf>
    <xf numFmtId="0" fontId="20" fillId="6" borderId="37" xfId="0" quotePrefix="1" applyFont="1" applyFill="1" applyBorder="1" applyAlignment="1">
      <alignment horizontal="center"/>
    </xf>
    <xf numFmtId="0" fontId="20" fillId="6" borderId="38" xfId="0" quotePrefix="1" applyFont="1" applyFill="1" applyBorder="1" applyAlignment="1">
      <alignment horizontal="center"/>
    </xf>
    <xf numFmtId="0" fontId="25" fillId="6" borderId="39" xfId="0" applyFont="1" applyFill="1" applyBorder="1" applyAlignment="1">
      <alignment horizontal="center"/>
    </xf>
    <xf numFmtId="0" fontId="25" fillId="6" borderId="0" xfId="0" applyFont="1" applyFill="1" applyBorder="1" applyAlignment="1">
      <alignment horizontal="center"/>
    </xf>
    <xf numFmtId="0" fontId="25" fillId="6" borderId="40" xfId="0" applyFont="1" applyFill="1" applyBorder="1" applyAlignment="1">
      <alignment horizontal="center"/>
    </xf>
    <xf numFmtId="0" fontId="11" fillId="6" borderId="40" xfId="0" applyFont="1" applyFill="1" applyBorder="1" applyAlignment="1">
      <alignment horizontal="center"/>
    </xf>
    <xf numFmtId="0" fontId="20" fillId="6" borderId="40" xfId="0" quotePrefix="1" applyFont="1" applyFill="1" applyBorder="1" applyAlignment="1">
      <alignment horizontal="center"/>
    </xf>
    <xf numFmtId="0" fontId="25" fillId="0" borderId="40" xfId="0" quotePrefix="1" applyFont="1" applyBorder="1" applyAlignment="1">
      <alignment horizontal="right"/>
    </xf>
    <xf numFmtId="3" fontId="20" fillId="0" borderId="26" xfId="0" applyNumberFormat="1" applyFont="1" applyFill="1" applyBorder="1" applyAlignment="1">
      <alignment horizontal="right"/>
    </xf>
    <xf numFmtId="178" fontId="20" fillId="0" borderId="26" xfId="0" applyNumberFormat="1" applyFont="1" applyBorder="1" applyAlignment="1">
      <alignment horizontal="right"/>
    </xf>
    <xf numFmtId="10" fontId="20" fillId="0" borderId="45" xfId="0" applyNumberFormat="1" applyFont="1" applyBorder="1" applyAlignment="1">
      <alignment horizontal="right"/>
    </xf>
    <xf numFmtId="37" fontId="20" fillId="0" borderId="0" xfId="0" applyNumberFormat="1" applyFont="1" applyBorder="1" applyAlignment="1">
      <alignment horizontal="right"/>
    </xf>
    <xf numFmtId="178" fontId="20" fillId="0" borderId="0" xfId="0" applyNumberFormat="1" applyFont="1" applyBorder="1" applyAlignment="1">
      <alignment horizontal="right"/>
    </xf>
    <xf numFmtId="10" fontId="20" fillId="0" borderId="40" xfId="0" applyNumberFormat="1" applyFont="1" applyBorder="1" applyAlignment="1">
      <alignment horizontal="right"/>
    </xf>
    <xf numFmtId="0" fontId="20" fillId="0" borderId="42" xfId="0" applyFont="1" applyBorder="1" applyAlignment="1">
      <alignment horizontal="center"/>
    </xf>
    <xf numFmtId="3" fontId="20" fillId="0" borderId="0" xfId="0" applyNumberFormat="1" applyFont="1" applyBorder="1" applyAlignment="1">
      <alignment horizontal="center"/>
    </xf>
    <xf numFmtId="0" fontId="25" fillId="0" borderId="39" xfId="0" applyFont="1" applyBorder="1" applyAlignment="1">
      <alignment horizontal="left"/>
    </xf>
    <xf numFmtId="0" fontId="20" fillId="0" borderId="0" xfId="0" applyFont="1" applyFill="1" applyBorder="1" applyAlignment="1">
      <alignment horizontal="center"/>
    </xf>
    <xf numFmtId="3" fontId="20" fillId="0" borderId="47" xfId="0" applyNumberFormat="1" applyFont="1" applyFill="1" applyBorder="1" applyAlignment="1">
      <alignment horizontal="right"/>
    </xf>
    <xf numFmtId="3" fontId="20" fillId="9" borderId="47" xfId="0" applyNumberFormat="1" applyFont="1" applyFill="1" applyBorder="1" applyAlignment="1">
      <alignment horizontal="right"/>
    </xf>
    <xf numFmtId="178" fontId="20" fillId="0" borderId="47" xfId="0" applyNumberFormat="1" applyFont="1" applyFill="1" applyBorder="1" applyAlignment="1">
      <alignment horizontal="right"/>
    </xf>
    <xf numFmtId="10" fontId="20" fillId="0" borderId="48" xfId="0" applyNumberFormat="1" applyFont="1" applyBorder="1" applyAlignment="1">
      <alignment horizontal="right"/>
    </xf>
    <xf numFmtId="3" fontId="20" fillId="9" borderId="26" xfId="0" applyNumberFormat="1" applyFont="1" applyFill="1" applyBorder="1" applyAlignment="1">
      <alignment horizontal="right"/>
    </xf>
    <xf numFmtId="178" fontId="20" fillId="0" borderId="26" xfId="0" applyNumberFormat="1" applyFont="1" applyFill="1" applyBorder="1" applyAlignment="1">
      <alignment horizontal="right"/>
    </xf>
    <xf numFmtId="0" fontId="20" fillId="0" borderId="0" xfId="0" quotePrefix="1" applyFont="1" applyBorder="1" applyAlignment="1">
      <alignment horizontal="right"/>
    </xf>
    <xf numFmtId="0" fontId="20" fillId="0" borderId="40" xfId="0" quotePrefix="1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27" fillId="0" borderId="0" xfId="0" applyFont="1" applyAlignment="1">
      <alignment horizontal="center"/>
    </xf>
    <xf numFmtId="41" fontId="28" fillId="0" borderId="0" xfId="0" applyNumberFormat="1" applyFont="1" applyFill="1" applyBorder="1" applyAlignment="1">
      <alignment horizontal="right"/>
    </xf>
    <xf numFmtId="3" fontId="28" fillId="0" borderId="0" xfId="0" applyNumberFormat="1" applyFont="1" applyFill="1" applyBorder="1" applyAlignment="1">
      <alignment horizontal="right"/>
    </xf>
    <xf numFmtId="178" fontId="28" fillId="0" borderId="0" xfId="0" applyNumberFormat="1" applyFont="1" applyFill="1" applyBorder="1" applyAlignment="1">
      <alignment horizontal="right"/>
    </xf>
    <xf numFmtId="10" fontId="28" fillId="0" borderId="0" xfId="0" applyNumberFormat="1" applyFont="1" applyFill="1" applyBorder="1" applyAlignment="1">
      <alignment horizontal="right"/>
    </xf>
    <xf numFmtId="0" fontId="27" fillId="0" borderId="2" xfId="0" applyFont="1" applyBorder="1" applyAlignment="1">
      <alignment horizontal="center"/>
    </xf>
    <xf numFmtId="41" fontId="28" fillId="0" borderId="2" xfId="0" applyNumberFormat="1" applyFont="1" applyFill="1" applyBorder="1" applyAlignment="1">
      <alignment horizontal="right"/>
    </xf>
    <xf numFmtId="3" fontId="28" fillId="0" borderId="2" xfId="0" applyNumberFormat="1" applyFont="1" applyFill="1" applyBorder="1" applyAlignment="1">
      <alignment horizontal="right"/>
    </xf>
    <xf numFmtId="178" fontId="28" fillId="0" borderId="2" xfId="0" applyNumberFormat="1" applyFont="1" applyFill="1" applyBorder="1" applyAlignment="1">
      <alignment horizontal="right"/>
    </xf>
    <xf numFmtId="10" fontId="28" fillId="0" borderId="2" xfId="0" applyNumberFormat="1" applyFont="1" applyFill="1" applyBorder="1" applyAlignment="1">
      <alignment horizontal="right"/>
    </xf>
    <xf numFmtId="0" fontId="16" fillId="0" borderId="0" xfId="0" applyFont="1" applyFill="1" applyAlignment="1">
      <alignment horizontal="center"/>
    </xf>
    <xf numFmtId="0" fontId="17" fillId="0" borderId="0" xfId="0" applyFont="1" applyFill="1"/>
    <xf numFmtId="0" fontId="18" fillId="0" borderId="11" xfId="0" applyFont="1" applyFill="1" applyBorder="1"/>
    <xf numFmtId="0" fontId="18" fillId="0" borderId="12" xfId="0" applyFont="1" applyFill="1" applyBorder="1"/>
    <xf numFmtId="0" fontId="18" fillId="0" borderId="12" xfId="0" applyFont="1" applyFill="1" applyBorder="1" applyAlignment="1">
      <alignment horizontal="center"/>
    </xf>
    <xf numFmtId="0" fontId="18" fillId="0" borderId="13" xfId="0" applyFont="1" applyFill="1" applyBorder="1" applyAlignment="1">
      <alignment horizontal="center"/>
    </xf>
    <xf numFmtId="0" fontId="18" fillId="0" borderId="14" xfId="0" applyFont="1" applyFill="1" applyBorder="1"/>
    <xf numFmtId="0" fontId="18" fillId="0" borderId="15" xfId="0" applyFont="1" applyFill="1" applyBorder="1"/>
    <xf numFmtId="0" fontId="18" fillId="0" borderId="15" xfId="0" applyFont="1" applyFill="1" applyBorder="1" applyAlignment="1">
      <alignment horizontal="center"/>
    </xf>
    <xf numFmtId="0" fontId="18" fillId="0" borderId="16" xfId="0" applyFont="1" applyFill="1" applyBorder="1" applyAlignment="1">
      <alignment horizontal="center"/>
    </xf>
    <xf numFmtId="0" fontId="17" fillId="0" borderId="17" xfId="0" applyFont="1" applyFill="1" applyBorder="1"/>
    <xf numFmtId="3" fontId="17" fillId="0" borderId="0" xfId="0" applyNumberFormat="1" applyFont="1" applyFill="1" applyBorder="1" applyAlignment="1">
      <alignment horizontal="center"/>
    </xf>
    <xf numFmtId="0" fontId="17" fillId="0" borderId="18" xfId="0" applyFont="1" applyFill="1" applyBorder="1"/>
    <xf numFmtId="0" fontId="17" fillId="0" borderId="19" xfId="0" applyFont="1" applyFill="1" applyBorder="1"/>
    <xf numFmtId="0" fontId="17" fillId="0" borderId="20" xfId="0" applyFont="1" applyFill="1" applyBorder="1"/>
    <xf numFmtId="3" fontId="17" fillId="0" borderId="20" xfId="0" applyNumberFormat="1" applyFont="1" applyFill="1" applyBorder="1" applyAlignment="1">
      <alignment horizontal="center"/>
    </xf>
    <xf numFmtId="172" fontId="18" fillId="0" borderId="21" xfId="0" applyNumberFormat="1" applyFont="1" applyFill="1" applyBorder="1" applyAlignment="1">
      <alignment horizontal="center"/>
    </xf>
    <xf numFmtId="0" fontId="17" fillId="0" borderId="15" xfId="0" applyFont="1" applyFill="1" applyBorder="1"/>
    <xf numFmtId="0" fontId="18" fillId="0" borderId="0" xfId="0" applyFont="1" applyFill="1" applyBorder="1"/>
    <xf numFmtId="0" fontId="18" fillId="0" borderId="2" xfId="0" applyFont="1" applyFill="1" applyBorder="1" applyAlignment="1">
      <alignment horizontal="center"/>
    </xf>
    <xf numFmtId="10" fontId="20" fillId="0" borderId="0" xfId="0" applyNumberFormat="1" applyFont="1" applyFill="1"/>
    <xf numFmtId="0" fontId="16" fillId="0" borderId="15" xfId="0" applyFont="1" applyFill="1" applyBorder="1" applyAlignment="1">
      <alignment horizontal="center"/>
    </xf>
    <xf numFmtId="0" fontId="0" fillId="0" borderId="0" xfId="0" quotePrefix="1" applyAlignment="1">
      <alignment horizontal="left"/>
    </xf>
    <xf numFmtId="0" fontId="0" fillId="0" borderId="0" xfId="0" applyFill="1" applyAlignment="1">
      <alignment wrapText="1"/>
    </xf>
    <xf numFmtId="42" fontId="0" fillId="0" borderId="0" xfId="0" applyNumberFormat="1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11" fillId="0" borderId="0" xfId="0" applyFont="1"/>
    <xf numFmtId="0" fontId="15" fillId="0" borderId="0" xfId="0" applyFont="1" applyAlignment="1">
      <alignment horizontal="center" wrapText="1"/>
    </xf>
    <xf numFmtId="0" fontId="15" fillId="0" borderId="0" xfId="0" quotePrefix="1" applyFont="1" applyAlignment="1">
      <alignment horizontal="left" wrapText="1"/>
    </xf>
    <xf numFmtId="17" fontId="15" fillId="0" borderId="0" xfId="0" applyNumberFormat="1" applyFont="1" applyAlignment="1">
      <alignment horizontal="center" wrapText="1"/>
    </xf>
    <xf numFmtId="17" fontId="15" fillId="0" borderId="0" xfId="0" applyNumberFormat="1" applyFont="1" applyFill="1" applyAlignment="1">
      <alignment horizontal="center" wrapText="1"/>
    </xf>
    <xf numFmtId="43" fontId="0" fillId="0" borderId="0" xfId="0" applyNumberFormat="1" applyFont="1"/>
    <xf numFmtId="43" fontId="0" fillId="0" borderId="0" xfId="0" applyNumberFormat="1" applyFont="1" applyFill="1"/>
    <xf numFmtId="170" fontId="0" fillId="0" borderId="0" xfId="0" applyNumberFormat="1" applyFill="1"/>
    <xf numFmtId="167" fontId="0" fillId="0" borderId="0" xfId="0" applyNumberFormat="1" applyFill="1"/>
    <xf numFmtId="0" fontId="0" fillId="0" borderId="0" xfId="0" applyAlignment="1">
      <alignment horizontal="center"/>
    </xf>
    <xf numFmtId="0" fontId="23" fillId="0" borderId="0" xfId="0" applyFont="1" applyFill="1" applyAlignment="1">
      <alignment horizontal="center" wrapText="1"/>
    </xf>
    <xf numFmtId="41" fontId="0" fillId="0" borderId="0" xfId="0" applyNumberFormat="1" applyFill="1"/>
    <xf numFmtId="44" fontId="0" fillId="0" borderId="0" xfId="0" applyNumberFormat="1" applyFont="1" applyFill="1"/>
    <xf numFmtId="0" fontId="9" fillId="0" borderId="7" xfId="0" quotePrefix="1" applyNumberFormat="1" applyFont="1" applyFill="1" applyBorder="1" applyAlignment="1"/>
    <xf numFmtId="0" fontId="2" fillId="0" borderId="5" xfId="0" applyFont="1" applyFill="1" applyBorder="1" applyAlignment="1">
      <alignment wrapText="1"/>
    </xf>
    <xf numFmtId="0" fontId="10" fillId="0" borderId="8" xfId="0" applyNumberFormat="1" applyFont="1" applyFill="1" applyBorder="1" applyAlignment="1">
      <alignment horizontal="right"/>
    </xf>
    <xf numFmtId="10" fontId="0" fillId="0" borderId="0" xfId="0" applyNumberFormat="1" applyFont="1" applyFill="1"/>
    <xf numFmtId="0" fontId="2" fillId="0" borderId="6" xfId="0" applyFont="1" applyFill="1" applyBorder="1" applyAlignment="1">
      <alignment horizontal="left"/>
    </xf>
    <xf numFmtId="42" fontId="2" fillId="0" borderId="6" xfId="0" applyNumberFormat="1" applyFont="1" applyFill="1" applyBorder="1"/>
    <xf numFmtId="10" fontId="2" fillId="0" borderId="6" xfId="0" applyNumberFormat="1" applyFont="1" applyFill="1" applyBorder="1"/>
    <xf numFmtId="0" fontId="0" fillId="0" borderId="0" xfId="0" applyFill="1" applyAlignment="1"/>
    <xf numFmtId="0" fontId="31" fillId="0" borderId="0" xfId="0" applyFont="1" applyFill="1" applyBorder="1" applyAlignment="1"/>
    <xf numFmtId="42" fontId="31" fillId="0" borderId="0" xfId="0" applyNumberFormat="1" applyFont="1" applyFill="1" applyAlignment="1" applyProtection="1">
      <protection locked="0"/>
    </xf>
    <xf numFmtId="41" fontId="31" fillId="0" borderId="0" xfId="0" applyNumberFormat="1" applyFont="1" applyFill="1" applyAlignment="1" applyProtection="1">
      <protection locked="0"/>
    </xf>
    <xf numFmtId="169" fontId="31" fillId="0" borderId="0" xfId="0" applyNumberFormat="1" applyFont="1" applyFill="1" applyBorder="1" applyAlignment="1" applyProtection="1">
      <protection locked="0"/>
    </xf>
    <xf numFmtId="169" fontId="31" fillId="0" borderId="2" xfId="0" applyNumberFormat="1" applyFont="1" applyFill="1" applyBorder="1" applyAlignment="1" applyProtection="1">
      <protection locked="0"/>
    </xf>
    <xf numFmtId="41" fontId="3" fillId="0" borderId="3" xfId="0" applyNumberFormat="1" applyFont="1" applyFill="1" applyBorder="1" applyAlignment="1"/>
    <xf numFmtId="41" fontId="31" fillId="0" borderId="3" xfId="0" applyNumberFormat="1" applyFont="1" applyFill="1" applyBorder="1" applyAlignment="1"/>
    <xf numFmtId="41" fontId="31" fillId="0" borderId="2" xfId="0" applyNumberFormat="1" applyFont="1" applyFill="1" applyBorder="1" applyAlignment="1" applyProtection="1">
      <protection locked="0"/>
    </xf>
    <xf numFmtId="42" fontId="31" fillId="0" borderId="4" xfId="0" applyNumberFormat="1" applyFont="1" applyFill="1" applyBorder="1" applyAlignment="1" applyProtection="1">
      <protection locked="0"/>
    </xf>
    <xf numFmtId="0" fontId="0" fillId="0" borderId="0" xfId="0" applyNumberFormat="1" applyFont="1" applyFill="1" applyAlignment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left"/>
    </xf>
    <xf numFmtId="0" fontId="23" fillId="0" borderId="0" xfId="0" applyFont="1" applyFill="1"/>
    <xf numFmtId="170" fontId="0" fillId="0" borderId="0" xfId="0" applyNumberFormat="1" applyFont="1" applyFill="1"/>
    <xf numFmtId="44" fontId="0" fillId="0" borderId="0" xfId="0" applyNumberFormat="1" applyFill="1"/>
    <xf numFmtId="175" fontId="0" fillId="0" borderId="0" xfId="0" applyNumberFormat="1" applyFont="1" applyFill="1"/>
    <xf numFmtId="175" fontId="0" fillId="0" borderId="0" xfId="0" applyNumberFormat="1" applyFill="1"/>
    <xf numFmtId="176" fontId="0" fillId="0" borderId="0" xfId="0" applyNumberFormat="1" applyFont="1" applyFill="1"/>
    <xf numFmtId="167" fontId="0" fillId="0" borderId="0" xfId="0" quotePrefix="1" applyNumberFormat="1" applyFill="1" applyAlignment="1">
      <alignment horizontal="left"/>
    </xf>
    <xf numFmtId="0" fontId="11" fillId="0" borderId="0" xfId="0" applyFont="1" applyAlignment="1">
      <alignment horizontal="left"/>
    </xf>
    <xf numFmtId="41" fontId="0" fillId="10" borderId="0" xfId="0" applyNumberFormat="1" applyFill="1"/>
    <xf numFmtId="170" fontId="11" fillId="11" borderId="10" xfId="0" applyNumberFormat="1" applyFont="1" applyFill="1" applyBorder="1" applyAlignment="1">
      <alignment horizontal="left"/>
    </xf>
    <xf numFmtId="0" fontId="0" fillId="0" borderId="0" xfId="0" quotePrefix="1" applyAlignment="1">
      <alignment horizontal="left"/>
    </xf>
    <xf numFmtId="37" fontId="0" fillId="0" borderId="0" xfId="0" applyNumberFormat="1" applyFill="1"/>
    <xf numFmtId="0" fontId="11" fillId="10" borderId="0" xfId="0" quotePrefix="1" applyFont="1" applyFill="1" applyAlignment="1">
      <alignment horizontal="center"/>
    </xf>
    <xf numFmtId="0" fontId="1" fillId="10" borderId="0" xfId="0" applyFont="1" applyFill="1"/>
    <xf numFmtId="0" fontId="0" fillId="10" borderId="0" xfId="0" applyFill="1"/>
    <xf numFmtId="170" fontId="11" fillId="10" borderId="39" xfId="0" applyNumberFormat="1" applyFont="1" applyFill="1" applyBorder="1"/>
    <xf numFmtId="170" fontId="11" fillId="10" borderId="0" xfId="0" applyNumberFormat="1" applyFont="1" applyFill="1" applyBorder="1"/>
    <xf numFmtId="180" fontId="4" fillId="0" borderId="1" xfId="0" applyNumberFormat="1" applyFont="1" applyFill="1" applyBorder="1" applyAlignment="1"/>
    <xf numFmtId="0" fontId="29" fillId="0" borderId="0" xfId="0" applyFont="1" applyFill="1"/>
    <xf numFmtId="0" fontId="29" fillId="0" borderId="0" xfId="0" applyFont="1" applyFill="1" applyAlignment="1">
      <alignment horizontal="centerContinuous"/>
    </xf>
    <xf numFmtId="0" fontId="29" fillId="0" borderId="2" xfId="0" applyFont="1" applyFill="1" applyBorder="1" applyAlignment="1">
      <alignment horizontal="center" wrapText="1"/>
    </xf>
    <xf numFmtId="0" fontId="29" fillId="0" borderId="2" xfId="0" quotePrefix="1" applyFont="1" applyFill="1" applyBorder="1" applyAlignment="1">
      <alignment horizontal="center" wrapText="1"/>
    </xf>
    <xf numFmtId="0" fontId="29" fillId="0" borderId="0" xfId="0" applyFont="1" applyFill="1" applyAlignment="1">
      <alignment horizontal="center" vertical="top" wrapText="1"/>
    </xf>
    <xf numFmtId="0" fontId="29" fillId="0" borderId="0" xfId="0" applyFont="1" applyFill="1" applyBorder="1" applyAlignment="1">
      <alignment horizontal="left" vertical="top" wrapText="1"/>
    </xf>
    <xf numFmtId="0" fontId="29" fillId="0" borderId="0" xfId="0" applyFont="1" applyFill="1" applyBorder="1" applyAlignment="1">
      <alignment horizontal="center" vertical="top" wrapText="1"/>
    </xf>
    <xf numFmtId="0" fontId="29" fillId="0" borderId="0" xfId="0" quotePrefix="1" applyFont="1" applyFill="1" applyAlignment="1">
      <alignment horizontal="center" vertical="top" wrapText="1"/>
    </xf>
    <xf numFmtId="0" fontId="29" fillId="0" borderId="0" xfId="0" applyFont="1" applyFill="1" applyAlignment="1">
      <alignment horizontal="center" wrapText="1"/>
    </xf>
    <xf numFmtId="0" fontId="29" fillId="0" borderId="0" xfId="0" applyFont="1" applyFill="1" applyAlignment="1">
      <alignment horizontal="left"/>
    </xf>
    <xf numFmtId="0" fontId="29" fillId="0" borderId="0" xfId="0" applyFont="1" applyFill="1" applyAlignment="1">
      <alignment horizontal="center"/>
    </xf>
    <xf numFmtId="170" fontId="29" fillId="0" borderId="26" xfId="0" applyNumberFormat="1" applyFont="1" applyFill="1" applyBorder="1"/>
    <xf numFmtId="167" fontId="29" fillId="0" borderId="26" xfId="0" applyNumberFormat="1" applyFont="1" applyFill="1" applyBorder="1"/>
    <xf numFmtId="0" fontId="29" fillId="0" borderId="0" xfId="0" applyFont="1" applyFill="1"/>
    <xf numFmtId="10" fontId="29" fillId="0" borderId="0" xfId="0" applyNumberFormat="1" applyFont="1" applyFill="1" applyBorder="1"/>
    <xf numFmtId="9" fontId="29" fillId="0" borderId="0" xfId="0" applyNumberFormat="1" applyFont="1" applyFill="1"/>
    <xf numFmtId="10" fontId="29" fillId="0" borderId="0" xfId="0" applyNumberFormat="1" applyFont="1" applyFill="1"/>
    <xf numFmtId="167" fontId="29" fillId="0" borderId="26" xfId="0" applyNumberFormat="1" applyFont="1" applyFill="1" applyBorder="1"/>
    <xf numFmtId="167" fontId="29" fillId="0" borderId="0" xfId="0" applyNumberFormat="1" applyFont="1" applyFill="1"/>
    <xf numFmtId="170" fontId="29" fillId="0" borderId="0" xfId="0" applyNumberFormat="1" applyFont="1" applyFill="1" applyBorder="1"/>
    <xf numFmtId="167" fontId="29" fillId="0" borderId="0" xfId="0" applyNumberFormat="1" applyFont="1" applyFill="1" applyBorder="1"/>
    <xf numFmtId="10" fontId="29" fillId="0" borderId="0" xfId="0" applyNumberFormat="1" applyFont="1" applyFill="1" applyBorder="1"/>
    <xf numFmtId="167" fontId="29" fillId="0" borderId="0" xfId="0" applyNumberFormat="1" applyFont="1" applyFill="1" applyBorder="1"/>
    <xf numFmtId="0" fontId="29" fillId="0" borderId="0" xfId="0" quotePrefix="1" applyFont="1" applyFill="1" applyAlignment="1">
      <alignment horizontal="left" indent="1"/>
    </xf>
    <xf numFmtId="0" fontId="29" fillId="0" borderId="0" xfId="0" quotePrefix="1" applyFont="1" applyFill="1" applyAlignment="1">
      <alignment horizontal="center"/>
    </xf>
    <xf numFmtId="3" fontId="29" fillId="0" borderId="0" xfId="0" applyNumberFormat="1" applyFont="1" applyFill="1" applyBorder="1"/>
    <xf numFmtId="0" fontId="29" fillId="0" borderId="0" xfId="0" quotePrefix="1" applyFont="1" applyFill="1" applyAlignment="1">
      <alignment horizontal="left"/>
    </xf>
    <xf numFmtId="3" fontId="29" fillId="0" borderId="26" xfId="0" applyNumberFormat="1" applyFont="1" applyFill="1" applyBorder="1"/>
    <xf numFmtId="3" fontId="29" fillId="0" borderId="0" xfId="0" applyNumberFormat="1" applyFont="1" applyFill="1" applyBorder="1"/>
    <xf numFmtId="167" fontId="29" fillId="0" borderId="0" xfId="0" applyNumberFormat="1" applyFont="1" applyFill="1"/>
    <xf numFmtId="0" fontId="29" fillId="0" borderId="0" xfId="0" applyFont="1" applyFill="1" applyAlignment="1">
      <alignment horizontal="left" indent="1"/>
    </xf>
    <xf numFmtId="3" fontId="29" fillId="0" borderId="0" xfId="0" applyNumberFormat="1" applyFont="1" applyFill="1"/>
    <xf numFmtId="167" fontId="29" fillId="0" borderId="0" xfId="0" applyNumberFormat="1" applyFont="1" applyFill="1"/>
    <xf numFmtId="10" fontId="29" fillId="0" borderId="0" xfId="0" applyNumberFormat="1" applyFont="1" applyFill="1"/>
    <xf numFmtId="3" fontId="29" fillId="0" borderId="26" xfId="0" applyNumberFormat="1" applyFont="1" applyFill="1" applyBorder="1"/>
    <xf numFmtId="0" fontId="29" fillId="0" borderId="0" xfId="0" applyFont="1" applyFill="1" applyBorder="1"/>
    <xf numFmtId="170" fontId="29" fillId="0" borderId="0" xfId="0" applyNumberFormat="1" applyFont="1" applyFill="1"/>
    <xf numFmtId="170" fontId="29" fillId="0" borderId="4" xfId="0" applyNumberFormat="1" applyFont="1" applyFill="1" applyBorder="1"/>
    <xf numFmtId="167" fontId="29" fillId="0" borderId="4" xfId="0" applyNumberFormat="1" applyFont="1" applyFill="1" applyBorder="1"/>
    <xf numFmtId="167" fontId="29" fillId="0" borderId="4" xfId="0" applyNumberFormat="1" applyFont="1" applyFill="1" applyBorder="1"/>
    <xf numFmtId="10" fontId="29" fillId="0" borderId="4" xfId="0" applyNumberFormat="1" applyFont="1" applyFill="1" applyBorder="1"/>
    <xf numFmtId="10" fontId="29" fillId="0" borderId="0" xfId="0" applyNumberFormat="1" applyFont="1" applyFill="1" applyBorder="1"/>
    <xf numFmtId="44" fontId="29" fillId="0" borderId="0" xfId="0" applyNumberFormat="1" applyFont="1" applyFill="1" applyBorder="1"/>
    <xf numFmtId="167" fontId="29" fillId="0" borderId="0" xfId="0" applyNumberFormat="1" applyFont="1" applyFill="1"/>
    <xf numFmtId="9" fontId="30" fillId="0" borderId="37" xfId="0" applyNumberFormat="1" applyFont="1" applyFill="1" applyBorder="1"/>
    <xf numFmtId="10" fontId="29" fillId="0" borderId="38" xfId="0" applyNumberFormat="1" applyFont="1" applyFill="1" applyBorder="1"/>
    <xf numFmtId="10" fontId="29" fillId="0" borderId="40" xfId="0" applyNumberFormat="1" applyFont="1" applyFill="1" applyBorder="1"/>
    <xf numFmtId="10" fontId="30" fillId="0" borderId="42" xfId="0" applyNumberFormat="1" applyFont="1" applyFill="1" applyBorder="1"/>
    <xf numFmtId="0" fontId="30" fillId="0" borderId="0" xfId="0" quotePrefix="1" applyFont="1" applyFill="1" applyAlignment="1">
      <alignment wrapText="1"/>
    </xf>
    <xf numFmtId="0" fontId="0" fillId="0" borderId="0" xfId="0" quotePrefix="1" applyAlignment="1">
      <alignment horizontal="left"/>
    </xf>
    <xf numFmtId="0" fontId="11" fillId="0" borderId="0" xfId="0" quotePrefix="1" applyFont="1" applyAlignment="1">
      <alignment horizontal="left"/>
    </xf>
    <xf numFmtId="10" fontId="3" fillId="0" borderId="0" xfId="0" applyNumberFormat="1" applyFont="1"/>
    <xf numFmtId="0" fontId="22" fillId="0" borderId="0" xfId="0" applyFont="1" applyBorder="1" applyAlignment="1" applyProtection="1">
      <alignment horizontal="centerContinuous" vertical="center" wrapText="1"/>
    </xf>
    <xf numFmtId="10" fontId="15" fillId="0" borderId="0" xfId="0" applyNumberFormat="1" applyFont="1" applyAlignment="1">
      <alignment horizontal="centerContinuous"/>
    </xf>
    <xf numFmtId="10" fontId="3" fillId="0" borderId="0" xfId="0" applyNumberFormat="1" applyFont="1" applyAlignment="1">
      <alignment horizontal="centerContinuous"/>
    </xf>
    <xf numFmtId="181" fontId="15" fillId="0" borderId="0" xfId="0" applyNumberFormat="1" applyFont="1" applyBorder="1" applyAlignment="1" applyProtection="1">
      <alignment horizontal="centerContinuous" vertical="center" wrapText="1"/>
    </xf>
    <xf numFmtId="10" fontId="3" fillId="0" borderId="0" xfId="0" applyNumberFormat="1" applyFont="1" applyBorder="1" applyAlignment="1">
      <alignment horizontal="centerContinuous" vertical="center" wrapText="1"/>
    </xf>
    <xf numFmtId="1" fontId="3" fillId="0" borderId="0" xfId="0" applyNumberFormat="1" applyFont="1" applyAlignment="1" applyProtection="1">
      <alignment horizontal="center"/>
    </xf>
    <xf numFmtId="0" fontId="3" fillId="0" borderId="0" xfId="0" applyFont="1"/>
    <xf numFmtId="10" fontId="11" fillId="0" borderId="0" xfId="0" applyNumberFormat="1" applyFont="1"/>
    <xf numFmtId="1" fontId="20" fillId="0" borderId="0" xfId="0" applyNumberFormat="1" applyFont="1" applyAlignment="1" applyProtection="1">
      <alignment horizontal="center"/>
    </xf>
    <xf numFmtId="37" fontId="25" fillId="0" borderId="0" xfId="0" applyNumberFormat="1" applyFont="1" applyAlignment="1" applyProtection="1">
      <alignment horizontal="center"/>
    </xf>
    <xf numFmtId="10" fontId="15" fillId="0" borderId="0" xfId="0" applyNumberFormat="1" applyFont="1" applyFill="1" applyBorder="1" applyAlignment="1" applyProtection="1">
      <alignment horizontal="center" wrapText="1"/>
    </xf>
    <xf numFmtId="10" fontId="15" fillId="0" borderId="0" xfId="0" applyNumberFormat="1" applyFont="1" applyAlignment="1">
      <alignment horizontal="center"/>
    </xf>
    <xf numFmtId="10" fontId="15" fillId="0" borderId="0" xfId="0" applyNumberFormat="1" applyFont="1" applyAlignment="1" applyProtection="1">
      <alignment horizontal="center"/>
    </xf>
    <xf numFmtId="10" fontId="32" fillId="0" borderId="0" xfId="0" applyNumberFormat="1" applyFont="1" applyAlignment="1" applyProtection="1">
      <alignment horizontal="left"/>
    </xf>
    <xf numFmtId="10" fontId="32" fillId="0" borderId="0" xfId="0" applyNumberFormat="1" applyFont="1" applyAlignment="1" applyProtection="1">
      <alignment horizontal="center"/>
    </xf>
    <xf numFmtId="10" fontId="11" fillId="0" borderId="0" xfId="0" applyNumberFormat="1" applyFont="1" applyAlignment="1" applyProtection="1">
      <alignment horizontal="left"/>
    </xf>
    <xf numFmtId="10" fontId="11" fillId="0" borderId="0" xfId="0" applyNumberFormat="1" applyFont="1" applyAlignment="1" applyProtection="1">
      <alignment horizontal="left" indent="2"/>
    </xf>
    <xf numFmtId="172" fontId="11" fillId="0" borderId="0" xfId="0" applyNumberFormat="1" applyFont="1" applyAlignment="1" applyProtection="1"/>
    <xf numFmtId="10" fontId="11" fillId="0" borderId="0" xfId="0" applyNumberFormat="1" applyFont="1" applyAlignment="1" applyProtection="1"/>
    <xf numFmtId="10" fontId="11" fillId="0" borderId="0" xfId="0" applyNumberFormat="1" applyFont="1" applyAlignment="1">
      <alignment horizontal="left" indent="2"/>
    </xf>
    <xf numFmtId="10" fontId="11" fillId="0" borderId="2" xfId="0" applyNumberFormat="1" applyFont="1" applyBorder="1" applyAlignment="1">
      <alignment horizontal="left" indent="2"/>
    </xf>
    <xf numFmtId="37" fontId="25" fillId="0" borderId="2" xfId="0" applyNumberFormat="1" applyFont="1" applyBorder="1" applyAlignment="1" applyProtection="1">
      <alignment horizontal="center"/>
    </xf>
    <xf numFmtId="172" fontId="11" fillId="0" borderId="2" xfId="0" applyNumberFormat="1" applyFont="1" applyBorder="1" applyAlignment="1" applyProtection="1"/>
    <xf numFmtId="10" fontId="11" fillId="0" borderId="2" xfId="0" applyNumberFormat="1" applyFont="1" applyBorder="1" applyAlignment="1" applyProtection="1"/>
    <xf numFmtId="10" fontId="15" fillId="0" borderId="0" xfId="0" applyNumberFormat="1" applyFont="1" applyAlignment="1" applyProtection="1">
      <alignment horizontal="left" indent="1"/>
    </xf>
    <xf numFmtId="10" fontId="15" fillId="0" borderId="0" xfId="0" applyNumberFormat="1" applyFont="1" applyAlignment="1" applyProtection="1"/>
    <xf numFmtId="5" fontId="11" fillId="0" borderId="0" xfId="0" applyNumberFormat="1" applyFont="1" applyAlignment="1" applyProtection="1"/>
    <xf numFmtId="10" fontId="15" fillId="0" borderId="26" xfId="0" applyNumberFormat="1" applyFont="1" applyBorder="1" applyAlignment="1" applyProtection="1">
      <alignment horizontal="left" indent="1"/>
    </xf>
    <xf numFmtId="37" fontId="25" fillId="0" borderId="26" xfId="0" applyNumberFormat="1" applyFont="1" applyBorder="1" applyAlignment="1" applyProtection="1">
      <alignment horizontal="center"/>
    </xf>
    <xf numFmtId="172" fontId="11" fillId="0" borderId="26" xfId="0" applyNumberFormat="1" applyFont="1" applyBorder="1" applyAlignment="1" applyProtection="1"/>
    <xf numFmtId="10" fontId="11" fillId="0" borderId="26" xfId="0" applyNumberFormat="1" applyFont="1" applyBorder="1" applyAlignment="1" applyProtection="1"/>
    <xf numFmtId="10" fontId="15" fillId="0" borderId="26" xfId="0" applyNumberFormat="1" applyFont="1" applyBorder="1" applyAlignment="1" applyProtection="1"/>
    <xf numFmtId="10" fontId="15" fillId="0" borderId="0" xfId="0" applyNumberFormat="1" applyFont="1" applyAlignment="1" applyProtection="1">
      <alignment horizontal="left"/>
    </xf>
    <xf numFmtId="172" fontId="15" fillId="0" borderId="0" xfId="0" applyNumberFormat="1" applyFont="1" applyAlignment="1" applyProtection="1"/>
    <xf numFmtId="172" fontId="32" fillId="0" borderId="0" xfId="0" applyNumberFormat="1" applyFont="1" applyAlignment="1" applyProtection="1"/>
    <xf numFmtId="10" fontId="33" fillId="0" borderId="0" xfId="0" applyNumberFormat="1" applyFont="1" applyFill="1" applyBorder="1" applyAlignment="1" applyProtection="1">
      <alignment horizontal="right"/>
    </xf>
    <xf numFmtId="10" fontId="32" fillId="0" borderId="0" xfId="0" applyNumberFormat="1" applyFont="1" applyAlignment="1" applyProtection="1"/>
    <xf numFmtId="5" fontId="34" fillId="0" borderId="0" xfId="0" applyNumberFormat="1" applyFont="1" applyBorder="1" applyAlignment="1" applyProtection="1"/>
    <xf numFmtId="172" fontId="34" fillId="0" borderId="0" xfId="0" applyNumberFormat="1" applyFont="1" applyBorder="1" applyAlignment="1" applyProtection="1">
      <alignment horizontal="right"/>
    </xf>
    <xf numFmtId="10" fontId="34" fillId="0" borderId="0" xfId="0" applyNumberFormat="1" applyFont="1" applyBorder="1" applyAlignment="1" applyProtection="1">
      <alignment horizontal="right"/>
    </xf>
    <xf numFmtId="172" fontId="3" fillId="0" borderId="0" xfId="0" applyNumberFormat="1" applyFont="1" applyProtection="1"/>
    <xf numFmtId="10" fontId="35" fillId="0" borderId="0" xfId="0" applyNumberFormat="1" applyFont="1"/>
    <xf numFmtId="5" fontId="3" fillId="0" borderId="0" xfId="0" applyNumberFormat="1" applyFont="1" applyProtection="1"/>
    <xf numFmtId="10" fontId="3" fillId="0" borderId="0" xfId="0" applyNumberFormat="1" applyFont="1" applyProtection="1"/>
    <xf numFmtId="0" fontId="0" fillId="10" borderId="0" xfId="0" quotePrefix="1" applyFill="1" applyAlignment="1">
      <alignment horizontal="left"/>
    </xf>
    <xf numFmtId="9" fontId="29" fillId="0" borderId="37" xfId="0" applyNumberFormat="1" applyFont="1" applyFill="1" applyBorder="1"/>
    <xf numFmtId="9" fontId="29" fillId="0" borderId="0" xfId="0" applyNumberFormat="1" applyFont="1" applyFill="1" applyBorder="1"/>
    <xf numFmtId="9" fontId="29" fillId="0" borderId="40" xfId="0" applyNumberFormat="1" applyFont="1" applyFill="1" applyBorder="1"/>
    <xf numFmtId="9" fontId="29" fillId="0" borderId="15" xfId="0" applyNumberFormat="1" applyFont="1" applyFill="1" applyBorder="1"/>
    <xf numFmtId="0" fontId="3" fillId="0" borderId="0" xfId="0" applyNumberFormat="1" applyFont="1" applyFill="1" applyAlignment="1">
      <alignment horizontal="left" indent="1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13" fillId="0" borderId="0" xfId="0" applyFont="1" applyAlignment="1">
      <alignment horizontal="center" wrapText="1"/>
    </xf>
    <xf numFmtId="10" fontId="22" fillId="0" borderId="0" xfId="0" applyNumberFormat="1" applyFont="1" applyAlignment="1" applyProtection="1">
      <alignment horizontal="center"/>
    </xf>
    <xf numFmtId="181" fontId="22" fillId="0" borderId="0" xfId="0" applyNumberFormat="1" applyFont="1" applyAlignment="1" applyProtection="1">
      <alignment horizontal="center"/>
    </xf>
    <xf numFmtId="10" fontId="15" fillId="0" borderId="25" xfId="0" applyNumberFormat="1" applyFont="1" applyFill="1" applyBorder="1" applyAlignment="1" applyProtection="1">
      <alignment horizontal="center" wrapText="1"/>
    </xf>
    <xf numFmtId="10" fontId="15" fillId="0" borderId="26" xfId="0" applyNumberFormat="1" applyFont="1" applyFill="1" applyBorder="1" applyAlignment="1" applyProtection="1">
      <alignment horizontal="center" wrapText="1"/>
    </xf>
    <xf numFmtId="10" fontId="15" fillId="0" borderId="27" xfId="0" applyNumberFormat="1" applyFont="1" applyFill="1" applyBorder="1" applyAlignment="1" applyProtection="1">
      <alignment horizontal="center" wrapText="1"/>
    </xf>
    <xf numFmtId="0" fontId="16" fillId="0" borderId="0" xfId="0" quotePrefix="1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quotePrefix="1" applyAlignment="1">
      <alignment horizontal="left" indent="1"/>
    </xf>
    <xf numFmtId="0" fontId="0" fillId="0" borderId="2" xfId="0" applyBorder="1" applyAlignment="1">
      <alignment horizontal="center"/>
    </xf>
    <xf numFmtId="167" fontId="0" fillId="0" borderId="0" xfId="0" quotePrefix="1" applyNumberFormat="1" applyFont="1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29" fillId="0" borderId="41" xfId="0" quotePrefix="1" applyFont="1" applyFill="1" applyBorder="1" applyAlignment="1">
      <alignment horizontal="left"/>
    </xf>
    <xf numFmtId="0" fontId="29" fillId="0" borderId="15" xfId="0" quotePrefix="1" applyFont="1" applyFill="1" applyBorder="1" applyAlignment="1">
      <alignment horizontal="left"/>
    </xf>
    <xf numFmtId="0" fontId="29" fillId="0" borderId="0" xfId="0" quotePrefix="1" applyFont="1" applyFill="1" applyAlignment="1">
      <alignment horizontal="center"/>
    </xf>
    <xf numFmtId="0" fontId="29" fillId="0" borderId="0" xfId="0" applyFont="1" applyFill="1" applyAlignment="1">
      <alignment horizontal="center"/>
    </xf>
    <xf numFmtId="0" fontId="29" fillId="0" borderId="36" xfId="0" quotePrefix="1" applyFont="1" applyFill="1" applyBorder="1" applyAlignment="1">
      <alignment horizontal="left"/>
    </xf>
    <xf numFmtId="0" fontId="29" fillId="0" borderId="37" xfId="0" quotePrefix="1" applyFont="1" applyFill="1" applyBorder="1" applyAlignment="1">
      <alignment horizontal="left"/>
    </xf>
    <xf numFmtId="0" fontId="29" fillId="0" borderId="39" xfId="0" quotePrefix="1" applyFont="1" applyFill="1" applyBorder="1" applyAlignment="1">
      <alignment horizontal="left"/>
    </xf>
    <xf numFmtId="0" fontId="29" fillId="0" borderId="0" xfId="0" quotePrefix="1" applyFont="1" applyFill="1" applyBorder="1" applyAlignment="1">
      <alignment horizontal="left"/>
    </xf>
    <xf numFmtId="0" fontId="29" fillId="0" borderId="39" xfId="0" applyFont="1" applyFill="1" applyBorder="1" applyAlignment="1">
      <alignment horizontal="left"/>
    </xf>
    <xf numFmtId="0" fontId="29" fillId="0" borderId="0" xfId="0" applyFont="1" applyFill="1" applyBorder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25" xfId="0" quotePrefix="1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25" xfId="0" quotePrefix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10" borderId="0" xfId="0" quotePrefix="1" applyFill="1" applyAlignment="1">
      <alignment horizontal="center"/>
    </xf>
    <xf numFmtId="0" fontId="0" fillId="10" borderId="0" xfId="0" applyFill="1" applyAlignment="1">
      <alignment horizontal="center"/>
    </xf>
    <xf numFmtId="0" fontId="0" fillId="0" borderId="25" xfId="0" applyBorder="1" applyAlignment="1">
      <alignment horizontal="center"/>
    </xf>
    <xf numFmtId="0" fontId="2" fillId="2" borderId="0" xfId="0" quotePrefix="1" applyFont="1" applyFill="1" applyBorder="1" applyAlignment="1">
      <alignment horizontal="center"/>
    </xf>
    <xf numFmtId="0" fontId="11" fillId="10" borderId="33" xfId="0" applyFont="1" applyFill="1" applyBorder="1" applyAlignment="1">
      <alignment horizontal="center"/>
    </xf>
    <xf numFmtId="0" fontId="11" fillId="10" borderId="34" xfId="0" applyFont="1" applyFill="1" applyBorder="1" applyAlignment="1">
      <alignment horizontal="center"/>
    </xf>
    <xf numFmtId="0" fontId="11" fillId="10" borderId="35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quotePrefix="1" applyFont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" fillId="10" borderId="0" xfId="0" applyFont="1" applyFill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4" fillId="0" borderId="0" xfId="0" applyNumberFormat="1" applyFont="1" applyFill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179" fontId="22" fillId="0" borderId="0" xfId="0" quotePrefix="1" applyNumberFormat="1" applyFont="1" applyAlignment="1">
      <alignment horizontal="center"/>
    </xf>
    <xf numFmtId="179" fontId="22" fillId="0" borderId="0" xfId="0" applyNumberFormat="1" applyFont="1" applyAlignment="1">
      <alignment horizontal="center"/>
    </xf>
    <xf numFmtId="0" fontId="15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42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3.xml"/><Relationship Id="rId43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13</xdr:col>
      <xdr:colOff>49378</xdr:colOff>
      <xdr:row>26</xdr:row>
      <xdr:rowOff>114300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2940" y="0"/>
          <a:ext cx="4926178" cy="5052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12</xdr:col>
      <xdr:colOff>480472</xdr:colOff>
      <xdr:row>17</xdr:row>
      <xdr:rowOff>167908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0940" y="182880"/>
          <a:ext cx="4747672" cy="30939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2018/2018%20Tax%20Reform%20WP/RevReq%20WP/3.02E%20&amp;%203.02G%20Cost%20of%20Capital%2017GR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2018/2018%20Tax%20Reform%20WP/RevReq%20WP/3.03E%20&amp;%203.03G%20Conversion%20Factor%2017GRC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%202017%20GRC/Compliance%20Tax%20Reform/PSE%20Compliance%20Rate%20Spread%20&amp;%20Rate%20Design%20(Elec)_T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2018/2018%20Tax%20Reform%20WP/RevReq%20WP/%23Electric%20Model%20Tax%20Reform%202017%20GRC%20(SETTLEMENT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g 1 CofCap"/>
      <sheetName val="3.02E &amp; 3"/>
    </sheetNames>
    <sheetDataSet>
      <sheetData sheetId="0">
        <row r="1">
          <cell r="B1" t="str">
            <v>PUGET SOUND ENERGY, INC.</v>
          </cell>
        </row>
        <row r="3">
          <cell r="B3" t="str">
            <v>Utility Capital Structure</v>
          </cell>
        </row>
        <row r="4">
          <cell r="B4" t="str">
            <v>Settlement Cost of Capital and Rate of Return</v>
          </cell>
        </row>
        <row r="5">
          <cell r="A5" t="str">
            <v>Requested For Rate Year January 2018 through December 2018</v>
          </cell>
        </row>
        <row r="8">
          <cell r="A8">
            <v>1</v>
          </cell>
          <cell r="B8" t="str">
            <v>(A)</v>
          </cell>
          <cell r="C8" t="str">
            <v>(B)</v>
          </cell>
          <cell r="D8" t="str">
            <v>(C)</v>
          </cell>
          <cell r="E8" t="str">
            <v>(D)</v>
          </cell>
          <cell r="F8" t="str">
            <v>(E)</v>
          </cell>
        </row>
        <row r="9">
          <cell r="A9">
            <v>2</v>
          </cell>
          <cell r="B9" t="str">
            <v>General Rate Case Request</v>
          </cell>
        </row>
        <row r="10">
          <cell r="A10">
            <v>3</v>
          </cell>
        </row>
        <row r="11">
          <cell r="A11">
            <v>4</v>
          </cell>
        </row>
        <row r="12">
          <cell r="A12">
            <v>5</v>
          </cell>
          <cell r="B12" t="str">
            <v>Description</v>
          </cell>
          <cell r="C12"/>
          <cell r="D12" t="str">
            <v>Ratio</v>
          </cell>
          <cell r="E12" t="str">
            <v>Rates</v>
          </cell>
          <cell r="F12" t="str">
            <v>Capital</v>
          </cell>
        </row>
        <row r="13">
          <cell r="A13">
            <v>6</v>
          </cell>
        </row>
        <row r="14">
          <cell r="A14">
            <v>7</v>
          </cell>
          <cell r="B14" t="str">
            <v>Marginal Short-Term Debt Rate</v>
          </cell>
          <cell r="D14">
            <v>0.01</v>
          </cell>
          <cell r="E14">
            <v>3.0599999999999999E-2</v>
          </cell>
          <cell r="F14">
            <v>2.9999999999999997E-4</v>
          </cell>
        </row>
        <row r="15">
          <cell r="A15">
            <v>8</v>
          </cell>
          <cell r="B15" t="str">
            <v>Commitment Fees</v>
          </cell>
          <cell r="F15">
            <v>2.0000000000000001E-4</v>
          </cell>
        </row>
        <row r="16">
          <cell r="A16">
            <v>9</v>
          </cell>
          <cell r="B16" t="str">
            <v xml:space="preserve">Amortization of Short-Term Debt Issue Cost </v>
          </cell>
          <cell r="F16">
            <v>1E-4</v>
          </cell>
        </row>
        <row r="17">
          <cell r="A17">
            <v>10</v>
          </cell>
          <cell r="B17" t="str">
            <v>Weighted Short-Term Debt Rate</v>
          </cell>
          <cell r="F17">
            <v>6.0000000000000006E-4</v>
          </cell>
        </row>
        <row r="18">
          <cell r="A18">
            <v>11</v>
          </cell>
          <cell r="B18" t="str">
            <v>Marginal Long-Term Debt Rate</v>
          </cell>
          <cell r="D18">
            <v>0.505</v>
          </cell>
          <cell r="E18">
            <v>5.7332756117079067E-2</v>
          </cell>
          <cell r="F18">
            <v>2.9000000000000001E-2</v>
          </cell>
        </row>
        <row r="19">
          <cell r="A19">
            <v>12</v>
          </cell>
          <cell r="B19" t="str">
            <v>Amortization of Reacquired Debt</v>
          </cell>
          <cell r="F19">
            <v>2.9999999999999997E-4</v>
          </cell>
        </row>
        <row r="20">
          <cell r="A20">
            <v>13</v>
          </cell>
          <cell r="B20" t="str">
            <v>Weighted Long-Term Debt Rate</v>
          </cell>
          <cell r="F20">
            <v>2.9300000000000003E-2</v>
          </cell>
        </row>
        <row r="21">
          <cell r="A21">
            <v>14</v>
          </cell>
          <cell r="B21" t="str">
            <v>Total Debt</v>
          </cell>
          <cell r="D21">
            <v>0.51500000000000001</v>
          </cell>
          <cell r="E21">
            <v>5.8058252427184473E-2</v>
          </cell>
          <cell r="F21">
            <v>2.9900000000000003E-2</v>
          </cell>
        </row>
        <row r="22">
          <cell r="A22">
            <v>15</v>
          </cell>
          <cell r="B22" t="str">
            <v>Common Equity</v>
          </cell>
          <cell r="D22">
            <v>0.48499999999999999</v>
          </cell>
          <cell r="E22">
            <v>9.5000000000000001E-2</v>
          </cell>
          <cell r="F22">
            <v>4.6100000000000002E-2</v>
          </cell>
        </row>
        <row r="23">
          <cell r="A23">
            <v>16</v>
          </cell>
          <cell r="B23" t="str">
            <v xml:space="preserve">Total </v>
          </cell>
          <cell r="D23">
            <v>1</v>
          </cell>
          <cell r="F23">
            <v>7.6000000000000012E-2</v>
          </cell>
        </row>
        <row r="25">
          <cell r="B25" t="str">
            <v>Adapted from Exhibit No. BJL-04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04 E"/>
      <sheetName val="3.05 G"/>
      <sheetName val="Annual Filing Fee"/>
      <sheetName val="Pub Util Tax"/>
      <sheetName val="3.03E &amp; 3"/>
    </sheetNames>
    <sheetDataSet>
      <sheetData sheetId="0">
        <row r="5">
          <cell r="E5" t="str">
            <v>Page 3.04</v>
          </cell>
        </row>
        <row r="6">
          <cell r="B6" t="str">
            <v>PUGET SOUND ENERGY-ELECTRIC</v>
          </cell>
        </row>
        <row r="7">
          <cell r="B7" t="str">
            <v>CONVERSION FACTOR - ELECTRIC</v>
          </cell>
        </row>
        <row r="8">
          <cell r="B8" t="str">
            <v>FOR THE TWELVE MONTHS ENDED SEPTEMBER 30, 2016</v>
          </cell>
        </row>
        <row r="11">
          <cell r="A11" t="str">
            <v>LINE</v>
          </cell>
        </row>
        <row r="12">
          <cell r="A12" t="str">
            <v>NO.</v>
          </cell>
          <cell r="B12" t="str">
            <v>DESCRIPTION</v>
          </cell>
          <cell r="E12" t="str">
            <v>RATE</v>
          </cell>
        </row>
        <row r="14">
          <cell r="A14">
            <v>1</v>
          </cell>
          <cell r="B14" t="str">
            <v>BAD DEBTS</v>
          </cell>
          <cell r="E14">
            <v>7.1570000000000002E-3</v>
          </cell>
        </row>
        <row r="15">
          <cell r="A15">
            <v>2</v>
          </cell>
          <cell r="B15" t="str">
            <v>ANNUAL FILING FEE</v>
          </cell>
          <cell r="E15">
            <v>2E-3</v>
          </cell>
        </row>
        <row r="16">
          <cell r="A16">
            <v>3</v>
          </cell>
          <cell r="B16" t="str">
            <v>STATE UTILITY TAX - NET OF BAD DEBTS ( 3.8734% - ( LINE 1 * 3.8734%) )</v>
          </cell>
          <cell r="C16"/>
          <cell r="D16">
            <v>3.8733999999999998E-2</v>
          </cell>
          <cell r="E16">
            <v>3.8456999999999998E-2</v>
          </cell>
        </row>
        <row r="17">
          <cell r="A17">
            <v>4</v>
          </cell>
        </row>
        <row r="18">
          <cell r="A18">
            <v>5</v>
          </cell>
          <cell r="B18" t="str">
            <v>SUM OF TAXES OTHER</v>
          </cell>
          <cell r="E18">
            <v>4.7613999999999997E-2</v>
          </cell>
        </row>
        <row r="19">
          <cell r="A19">
            <v>6</v>
          </cell>
        </row>
        <row r="20">
          <cell r="A20">
            <v>7</v>
          </cell>
          <cell r="B20" t="str">
            <v>CONVERSION FACTOR EXCLUDING FEDERAL INCOME TAX ( 1 - LINE 5)</v>
          </cell>
          <cell r="E20">
            <v>0.95238599999999995</v>
          </cell>
        </row>
        <row r="21">
          <cell r="A21">
            <v>8</v>
          </cell>
          <cell r="B21" t="str">
            <v>FEDERAL INCOME TAX ( LINE 7 * 35%)</v>
          </cell>
          <cell r="D21">
            <v>0.21</v>
          </cell>
          <cell r="E21">
            <v>0.20000100000000001</v>
          </cell>
        </row>
        <row r="22">
          <cell r="A22">
            <v>9</v>
          </cell>
          <cell r="B22" t="str">
            <v xml:space="preserve">CONVERSION FACTOR INCL FEDERAL INCOME TAX ( LINE 5 + LINE 8 ) </v>
          </cell>
          <cell r="E22">
            <v>0.75238499999999997</v>
          </cell>
        </row>
      </sheetData>
      <sheetData sheetId="1">
        <row r="13">
          <cell r="E13">
            <v>5.1399999999999996E-3</v>
          </cell>
        </row>
      </sheetData>
      <sheetData sheetId="2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Charge Summary===&gt;"/>
      <sheetName val="Exhibit No.__(JAP-Tariff)"/>
      <sheetName val="Tariff Summary Lights"/>
      <sheetName val="Rate Spread-Design====&gt;"/>
      <sheetName val="Exhibit No.__(JAP-Rate Spread)"/>
      <sheetName val="Exhibit No.__(JAP-Rate Des Sum)"/>
      <sheetName val="Exhibit No.__(JAP-Prof-Prop)"/>
      <sheetName val="Exhibit No.__(JAP-Res RD)"/>
      <sheetName val="Exhibit No.__(JAP-SV RD)"/>
      <sheetName val="Exhibit No.__(JAP-PV RD)"/>
      <sheetName val="Exhibit No.__(JAP-CAMP RD)"/>
      <sheetName val="Exhibit No.__(JAP-HV RD)"/>
      <sheetName val="Exhibit No.__(JAP-TRANSP RD)"/>
      <sheetName val="Exhibit No.__(JAP-LIGHT RD) "/>
    </sheetNames>
    <sheetDataSet>
      <sheetData sheetId="0"/>
      <sheetData sheetId="1"/>
      <sheetData sheetId="2"/>
      <sheetData sheetId="3"/>
      <sheetData sheetId="4">
        <row r="8">
          <cell r="D8">
            <v>10442426</v>
          </cell>
          <cell r="E8">
            <v>1066627</v>
          </cell>
          <cell r="G8">
            <v>0.5578244642663629</v>
          </cell>
          <cell r="H8">
            <v>1</v>
          </cell>
          <cell r="I8">
            <v>1.8815167015235074E-2</v>
          </cell>
          <cell r="J8">
            <v>20068.76514795914</v>
          </cell>
          <cell r="K8">
            <v>1086695.7651479591</v>
          </cell>
          <cell r="M8">
            <v>20068765.147959139</v>
          </cell>
        </row>
        <row r="11">
          <cell r="D11">
            <v>2787584</v>
          </cell>
          <cell r="E11">
            <v>266957</v>
          </cell>
          <cell r="G11">
            <v>0.13961314077663084</v>
          </cell>
          <cell r="H11">
            <v>0.75</v>
          </cell>
          <cell r="I11">
            <v>1.4111375261426307E-2</v>
          </cell>
          <cell r="J11">
            <v>3767.1304056645827</v>
          </cell>
          <cell r="K11">
            <v>270724.13040566456</v>
          </cell>
          <cell r="M11">
            <v>3767130.4056645827</v>
          </cell>
        </row>
        <row r="12">
          <cell r="D12">
            <v>2853786</v>
          </cell>
          <cell r="E12">
            <v>253666.74600000001</v>
          </cell>
          <cell r="G12">
            <v>0.13266260528717308</v>
          </cell>
          <cell r="H12">
            <v>0.65</v>
          </cell>
          <cell r="I12">
            <v>1.2229858559902799E-2</v>
          </cell>
          <cell r="J12">
            <v>3102.3084249307894</v>
          </cell>
          <cell r="K12">
            <v>256769.0544249308</v>
          </cell>
          <cell r="M12">
            <v>3102308.4249307895</v>
          </cell>
        </row>
        <row r="13">
          <cell r="D13">
            <v>1892054.7443816457</v>
          </cell>
          <cell r="E13">
            <v>153864.55600000001</v>
          </cell>
          <cell r="G13">
            <v>8.0468067581527372E-2</v>
          </cell>
          <cell r="H13">
            <v>0.65</v>
          </cell>
          <cell r="I13">
            <v>1.2229858559902799E-2</v>
          </cell>
          <cell r="J13">
            <v>1881.7417572622437</v>
          </cell>
          <cell r="K13">
            <v>155746.29775726225</v>
          </cell>
          <cell r="M13">
            <v>1881741.7572622437</v>
          </cell>
        </row>
        <row r="14">
          <cell r="D14">
            <v>7533424.7443816457</v>
          </cell>
          <cell r="E14">
            <v>674488.30200000003</v>
          </cell>
          <cell r="J14">
            <v>8751.180587857616</v>
          </cell>
          <cell r="K14">
            <v>683239.48258785764</v>
          </cell>
          <cell r="M14">
            <v>8751180.5878576152</v>
          </cell>
        </row>
        <row r="17">
          <cell r="D17">
            <v>1284401.5744586966</v>
          </cell>
          <cell r="E17">
            <v>102890.712</v>
          </cell>
          <cell r="G17">
            <v>5.3809772581590969E-2</v>
          </cell>
          <cell r="H17">
            <v>0.65</v>
          </cell>
          <cell r="I17">
            <v>1.2229858559902799E-2</v>
          </cell>
          <cell r="J17">
            <v>1258.3388548876937</v>
          </cell>
          <cell r="K17">
            <v>104149.0508548877</v>
          </cell>
          <cell r="M17">
            <v>1258338.8548876937</v>
          </cell>
        </row>
        <row r="18">
          <cell r="D18">
            <v>4452.6000000000004</v>
          </cell>
          <cell r="E18">
            <v>248.215</v>
          </cell>
          <cell r="G18">
            <v>1.2981145179887183E-4</v>
          </cell>
          <cell r="H18">
            <v>1.5</v>
          </cell>
          <cell r="I18">
            <v>2.8222750522852613E-2</v>
          </cell>
          <cell r="J18">
            <v>7.0053100210298611</v>
          </cell>
          <cell r="K18">
            <v>255.22031002102986</v>
          </cell>
          <cell r="M18">
            <v>7005.3100210298608</v>
          </cell>
        </row>
        <row r="19">
          <cell r="D19">
            <v>119660.40146477679</v>
          </cell>
          <cell r="E19">
            <v>10337.824000000001</v>
          </cell>
          <cell r="G19">
            <v>5.406473991826523E-3</v>
          </cell>
          <cell r="H19">
            <v>1</v>
          </cell>
          <cell r="I19">
            <v>1.8815167015235074E-2</v>
          </cell>
          <cell r="J19">
            <v>194.50788513410552</v>
          </cell>
          <cell r="K19">
            <v>10532.331885134106</v>
          </cell>
          <cell r="M19">
            <v>194507.88513410551</v>
          </cell>
        </row>
        <row r="20">
          <cell r="D20">
            <v>1408514.5759234736</v>
          </cell>
          <cell r="E20">
            <v>113476.75099999999</v>
          </cell>
          <cell r="J20">
            <v>1459.852050042829</v>
          </cell>
          <cell r="K20">
            <v>114936.60305004283</v>
          </cell>
          <cell r="M20">
            <v>1459852.050042829</v>
          </cell>
        </row>
        <row r="22">
          <cell r="D22">
            <v>621678.72633913101</v>
          </cell>
          <cell r="E22">
            <v>43551.319801261998</v>
          </cell>
          <cell r="I22">
            <v>3.5862649075357869E-2</v>
          </cell>
          <cell r="J22">
            <v>1561.8656988013433</v>
          </cell>
          <cell r="K22">
            <v>45113.185500063344</v>
          </cell>
          <cell r="M22">
            <v>1561865.6988013433</v>
          </cell>
        </row>
        <row r="24">
          <cell r="D24">
            <v>632259.21669800009</v>
          </cell>
          <cell r="E24">
            <v>40360.090000000004</v>
          </cell>
          <cell r="G24">
            <v>2.110751516883802E-2</v>
          </cell>
          <cell r="H24">
            <v>0.65</v>
          </cell>
          <cell r="I24">
            <v>1.2229858559902799E-2</v>
          </cell>
          <cell r="J24">
            <v>493.59819216494742</v>
          </cell>
          <cell r="K24">
            <v>40853.688192164955</v>
          </cell>
          <cell r="M24">
            <v>493598.1921649474</v>
          </cell>
        </row>
        <row r="26">
          <cell r="D26">
            <v>2098103.6366259996</v>
          </cell>
          <cell r="E26">
            <v>7513.2849999999999</v>
          </cell>
          <cell r="I26">
            <v>5.922509261927373E-2</v>
          </cell>
          <cell r="J26">
            <v>444.97500000000002</v>
          </cell>
          <cell r="K26">
            <v>7958.26</v>
          </cell>
          <cell r="M26">
            <v>444975</v>
          </cell>
        </row>
        <row r="28">
          <cell r="D28">
            <v>77972349.305999994</v>
          </cell>
          <cell r="E28">
            <v>17167.293000000001</v>
          </cell>
          <cell r="G28">
            <v>8.9781488942513935E-3</v>
          </cell>
          <cell r="H28">
            <v>1</v>
          </cell>
          <cell r="I28">
            <v>1.8815167015235074E-2</v>
          </cell>
          <cell r="J28">
            <v>323.00548499447603</v>
          </cell>
          <cell r="K28">
            <v>17490.298484994477</v>
          </cell>
          <cell r="M28">
            <v>323005.48499447602</v>
          </cell>
        </row>
        <row r="30">
          <cell r="D30">
            <v>100708756.20596826</v>
          </cell>
          <cell r="E30">
            <v>1963184.040801262</v>
          </cell>
          <cell r="I30">
            <v>1.6862016741084274E-2</v>
          </cell>
          <cell r="J30">
            <v>33103.242161820352</v>
          </cell>
          <cell r="K30">
            <v>1996287.2829630824</v>
          </cell>
          <cell r="M30">
            <v>33103242.161820352</v>
          </cell>
        </row>
        <row r="32">
          <cell r="D32">
            <v>6929.8034221808284</v>
          </cell>
          <cell r="E32">
            <v>316.39299999999997</v>
          </cell>
          <cell r="I32">
            <v>1.1632553127902472</v>
          </cell>
          <cell r="J32">
            <v>368.04583817964465</v>
          </cell>
          <cell r="K32">
            <v>684.43883817964456</v>
          </cell>
          <cell r="M32">
            <v>368045.83817964466</v>
          </cell>
        </row>
        <row r="34">
          <cell r="D34">
            <v>100715686.00939044</v>
          </cell>
          <cell r="E34">
            <v>1963500.4338012619</v>
          </cell>
          <cell r="F34">
            <v>33471288</v>
          </cell>
          <cell r="G34">
            <v>1</v>
          </cell>
          <cell r="I34">
            <v>1.7046743369035507E-2</v>
          </cell>
          <cell r="J34">
            <v>33471.287999999993</v>
          </cell>
          <cell r="K34">
            <v>1996971.7218012621</v>
          </cell>
          <cell r="M34">
            <v>33471287.999999993</v>
          </cell>
        </row>
        <row r="37">
          <cell r="F37">
            <v>1</v>
          </cell>
          <cell r="I37">
            <v>1.7046743369035507E-2</v>
          </cell>
        </row>
        <row r="38">
          <cell r="I38">
            <v>1.6262792416393286E-2</v>
          </cell>
        </row>
        <row r="39">
          <cell r="I39">
            <v>1.1569456544417878</v>
          </cell>
        </row>
        <row r="40">
          <cell r="I40">
            <v>1.8815167015235074E-2</v>
          </cell>
        </row>
      </sheetData>
      <sheetData sheetId="5"/>
      <sheetData sheetId="6"/>
      <sheetData sheetId="7"/>
      <sheetData sheetId="8"/>
      <sheetData sheetId="9"/>
      <sheetData sheetId="10">
        <row r="15">
          <cell r="C15">
            <v>495</v>
          </cell>
        </row>
      </sheetData>
      <sheetData sheetId="11"/>
      <sheetData sheetId="12">
        <row r="14">
          <cell r="G14">
            <v>2120</v>
          </cell>
        </row>
        <row r="18">
          <cell r="G18">
            <v>3.7929999999999999E-3</v>
          </cell>
        </row>
      </sheetData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Summary"/>
      <sheetName val="ETR"/>
      <sheetName val="KJB-3,11 Def"/>
      <sheetName val="KJB-6,13 Cmn Adj"/>
      <sheetName val="KJB-7,14 El Adj"/>
      <sheetName val="Power Cost Bridge to A-1"/>
      <sheetName val="Exh.A-1"/>
      <sheetName val="RJR Prod O&amp;M"/>
      <sheetName val="PKW RY PC1"/>
      <sheetName val="MCC-2r page 7-30 Black Box"/>
      <sheetName val="Work Papers==&gt;"/>
      <sheetName val="Verify Pwr Costs"/>
      <sheetName val="Centralia Equity Kicker"/>
      <sheetName val="For Prod Adj Ratebase"/>
      <sheetName val="For Prod Adj Expense"/>
      <sheetName val="Trans Ratebase"/>
      <sheetName val="Trans OATT Revenue"/>
    </sheetNames>
    <sheetDataSet>
      <sheetData sheetId="0"/>
      <sheetData sheetId="1">
        <row r="13">
          <cell r="A13" t="str">
            <v>LINE</v>
          </cell>
        </row>
      </sheetData>
      <sheetData sheetId="2"/>
      <sheetData sheetId="3">
        <row r="5">
          <cell r="D5" t="str">
            <v>PUGET SOUND ENERGY-ELECTRIC</v>
          </cell>
        </row>
      </sheetData>
      <sheetData sheetId="4">
        <row r="4">
          <cell r="E4" t="str">
            <v>Common Adj 01</v>
          </cell>
          <cell r="CC4" t="str">
            <v>Common Adj 16</v>
          </cell>
        </row>
        <row r="5">
          <cell r="BY5" t="str">
            <v>PUGET SOUND ENERGY-ELECTRIC (PER SETTLEMENT)</v>
          </cell>
        </row>
        <row r="6">
          <cell r="BY6" t="str">
            <v>WAGE INCREASE</v>
          </cell>
        </row>
        <row r="7">
          <cell r="BY7" t="str">
            <v>FOR THE TWELVE MONTHS ENDED SEPTEMBER 30, 2016</v>
          </cell>
        </row>
        <row r="8">
          <cell r="BY8" t="str">
            <v xml:space="preserve">2017 GENERAL RATE CASE </v>
          </cell>
        </row>
        <row r="14">
          <cell r="BZ14" t="str">
            <v>PURCHASED POWER</v>
          </cell>
          <cell r="CA14">
            <v>4380759.8377278037</v>
          </cell>
          <cell r="CB14">
            <v>4511306.4808920929</v>
          </cell>
          <cell r="CC14">
            <v>130546.64316428918</v>
          </cell>
        </row>
        <row r="15">
          <cell r="BZ15" t="str">
            <v>OTHER POWER SUPPLY</v>
          </cell>
          <cell r="CA15">
            <v>20419279.131090328</v>
          </cell>
          <cell r="CB15">
            <v>20731146.497479629</v>
          </cell>
          <cell r="CC15">
            <v>311867.36638930067</v>
          </cell>
        </row>
        <row r="16">
          <cell r="BZ16" t="str">
            <v>TRANSMISSION</v>
          </cell>
          <cell r="CA16">
            <v>8959227.0002665874</v>
          </cell>
          <cell r="CB16">
            <v>9172906.2088294737</v>
          </cell>
          <cell r="CC16">
            <v>213679.20856288634</v>
          </cell>
        </row>
        <row r="17">
          <cell r="BZ17" t="str">
            <v>DISTRIBUTION</v>
          </cell>
          <cell r="CA17">
            <v>24060543.133236647</v>
          </cell>
          <cell r="CB17">
            <v>24400551.446550019</v>
          </cell>
          <cell r="CC17">
            <v>340008.31331337243</v>
          </cell>
        </row>
        <row r="18">
          <cell r="BZ18" t="str">
            <v>CUSTOMER ACCTS</v>
          </cell>
          <cell r="CA18">
            <v>11030663.555404065</v>
          </cell>
          <cell r="CB18">
            <v>11152893.808019754</v>
          </cell>
          <cell r="CC18">
            <v>122230.25261568837</v>
          </cell>
        </row>
        <row r="19">
          <cell r="BZ19" t="str">
            <v>CUSTOMER SERVICE</v>
          </cell>
          <cell r="CA19">
            <v>1385463.025825866</v>
          </cell>
          <cell r="CB19">
            <v>1422849.8356199341</v>
          </cell>
          <cell r="CC19">
            <v>37386.809794068104</v>
          </cell>
        </row>
        <row r="20">
          <cell r="BZ20" t="str">
            <v>SALES</v>
          </cell>
          <cell r="CA20">
            <v>209317.86788684683</v>
          </cell>
          <cell r="CB20">
            <v>213614.34113897898</v>
          </cell>
          <cell r="CC20">
            <v>4296.4732521321566</v>
          </cell>
        </row>
        <row r="21">
          <cell r="BZ21" t="str">
            <v>ADMIN. &amp; GENERAL</v>
          </cell>
          <cell r="CA21">
            <v>27183671.346791636</v>
          </cell>
          <cell r="CB21">
            <v>27978916.317603432</v>
          </cell>
          <cell r="CC21">
            <v>795244.97081179544</v>
          </cell>
        </row>
        <row r="22">
          <cell r="BZ22" t="str">
            <v>TOTAL WAGE INCREASE</v>
          </cell>
          <cell r="CA22">
            <v>97628924.898229778</v>
          </cell>
          <cell r="CB22">
            <v>99584184.936133325</v>
          </cell>
          <cell r="CC22">
            <v>1955260.0379035326</v>
          </cell>
        </row>
        <row r="24">
          <cell r="BZ24" t="str">
            <v>PAYROLL TAXES</v>
          </cell>
          <cell r="CA24">
            <v>6486464.3989615748</v>
          </cell>
          <cell r="CB24">
            <v>6619997.5749932379</v>
          </cell>
          <cell r="CC24">
            <v>133533.17603166337</v>
          </cell>
        </row>
        <row r="25">
          <cell r="BZ25" t="str">
            <v>TOTAL WAGES &amp; TAXES</v>
          </cell>
          <cell r="CA25">
            <v>104115389.29719135</v>
          </cell>
          <cell r="CB25">
            <v>106204182.51112656</v>
          </cell>
          <cell r="CC25">
            <v>2088793.2139351959</v>
          </cell>
        </row>
        <row r="27">
          <cell r="BZ27" t="str">
            <v>INCREASE (DECREASE) OPERATING EXPENSE</v>
          </cell>
          <cell r="CC27">
            <v>2088793.2139351959</v>
          </cell>
        </row>
        <row r="28">
          <cell r="BZ28" t="str">
            <v xml:space="preserve">INCREASE (DECREASE) FIT </v>
          </cell>
          <cell r="CC28">
            <v>-438646.57492639113</v>
          </cell>
        </row>
        <row r="29">
          <cell r="BZ29" t="str">
            <v>INCREASE (DECREASE) NOI</v>
          </cell>
          <cell r="CC29">
            <v>-1650146.6390088047</v>
          </cell>
        </row>
      </sheetData>
      <sheetData sheetId="5">
        <row r="4">
          <cell r="E4" t="str">
            <v>Electric Adj 01 Pg. 1 of 2</v>
          </cell>
        </row>
      </sheetData>
      <sheetData sheetId="6">
        <row r="9">
          <cell r="N9">
            <v>1</v>
          </cell>
        </row>
      </sheetData>
      <sheetData sheetId="7">
        <row r="1">
          <cell r="A1" t="str">
            <v>Exhibit A-1 Power Cost Baseline Rate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2">
          <cell r="C62">
            <v>85738601.034227908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39"/>
  <sheetViews>
    <sheetView zoomScaleNormal="100" workbookViewId="0">
      <selection activeCell="C12" sqref="C12"/>
    </sheetView>
  </sheetViews>
  <sheetFormatPr defaultRowHeight="14.4" x14ac:dyDescent="0.3"/>
  <cols>
    <col min="2" max="2" width="33.44140625" bestFit="1" customWidth="1"/>
    <col min="3" max="3" width="18" bestFit="1" customWidth="1"/>
  </cols>
  <sheetData>
    <row r="1" spans="1:3" x14ac:dyDescent="0.3">
      <c r="A1" s="536" t="s">
        <v>65</v>
      </c>
      <c r="B1" s="536"/>
      <c r="C1" s="536"/>
    </row>
    <row r="2" spans="1:3" x14ac:dyDescent="0.3">
      <c r="A2" s="537" t="s">
        <v>769</v>
      </c>
      <c r="B2" s="536"/>
      <c r="C2" s="536"/>
    </row>
    <row r="3" spans="1:3" x14ac:dyDescent="0.3">
      <c r="A3" s="537" t="s">
        <v>790</v>
      </c>
      <c r="B3" s="536"/>
      <c r="C3" s="536"/>
    </row>
    <row r="4" spans="1:3" x14ac:dyDescent="0.3">
      <c r="A4" s="537" t="s">
        <v>163</v>
      </c>
      <c r="B4" s="536"/>
      <c r="C4" s="536"/>
    </row>
    <row r="5" spans="1:3" x14ac:dyDescent="0.3">
      <c r="A5" s="536" t="s">
        <v>67</v>
      </c>
      <c r="B5" s="536"/>
      <c r="C5" s="536"/>
    </row>
    <row r="8" spans="1:3" x14ac:dyDescent="0.3">
      <c r="A8" s="56" t="s">
        <v>723</v>
      </c>
      <c r="B8" s="56" t="s">
        <v>68</v>
      </c>
      <c r="C8" s="56" t="s">
        <v>70</v>
      </c>
    </row>
    <row r="9" spans="1:3" x14ac:dyDescent="0.3">
      <c r="A9" s="391">
        <v>2</v>
      </c>
      <c r="B9" s="53" t="s">
        <v>712</v>
      </c>
      <c r="C9" s="483" t="s">
        <v>791</v>
      </c>
    </row>
    <row r="10" spans="1:3" x14ac:dyDescent="0.3">
      <c r="A10" s="391">
        <v>3</v>
      </c>
      <c r="B10" s="53" t="s">
        <v>713</v>
      </c>
      <c r="C10" s="530" t="s">
        <v>711</v>
      </c>
    </row>
    <row r="11" spans="1:3" x14ac:dyDescent="0.3">
      <c r="A11" s="78" t="s">
        <v>724</v>
      </c>
      <c r="B11" s="53" t="s">
        <v>714</v>
      </c>
      <c r="C11" s="426" t="s">
        <v>785</v>
      </c>
    </row>
    <row r="12" spans="1:3" x14ac:dyDescent="0.3">
      <c r="A12" s="391">
        <v>7</v>
      </c>
      <c r="B12" s="53" t="s">
        <v>69</v>
      </c>
      <c r="C12" s="483" t="s">
        <v>791</v>
      </c>
    </row>
    <row r="13" spans="1:3" x14ac:dyDescent="0.3">
      <c r="A13" s="391">
        <v>8</v>
      </c>
      <c r="B13" s="53" t="s">
        <v>74</v>
      </c>
      <c r="C13" s="483" t="s">
        <v>791</v>
      </c>
    </row>
    <row r="14" spans="1:3" x14ac:dyDescent="0.3">
      <c r="A14" s="391">
        <v>9</v>
      </c>
      <c r="B14" s="53" t="s">
        <v>91</v>
      </c>
      <c r="C14" t="s">
        <v>71</v>
      </c>
    </row>
    <row r="15" spans="1:3" x14ac:dyDescent="0.3">
      <c r="A15" s="391">
        <v>10</v>
      </c>
      <c r="B15" s="53" t="s">
        <v>4</v>
      </c>
      <c r="C15" s="426" t="s">
        <v>785</v>
      </c>
    </row>
    <row r="16" spans="1:3" x14ac:dyDescent="0.3">
      <c r="A16" s="391">
        <v>11</v>
      </c>
      <c r="B16" s="53" t="s">
        <v>75</v>
      </c>
      <c r="C16" t="s">
        <v>71</v>
      </c>
    </row>
    <row r="17" spans="1:3" x14ac:dyDescent="0.3">
      <c r="A17" s="391">
        <v>12</v>
      </c>
      <c r="B17" s="53" t="s">
        <v>27</v>
      </c>
      <c r="C17" t="s">
        <v>71</v>
      </c>
    </row>
    <row r="18" spans="1:3" x14ac:dyDescent="0.3">
      <c r="A18" s="391">
        <v>13</v>
      </c>
      <c r="B18" s="52" t="s">
        <v>715</v>
      </c>
      <c r="C18" s="530" t="s">
        <v>785</v>
      </c>
    </row>
    <row r="19" spans="1:3" x14ac:dyDescent="0.3">
      <c r="A19" s="414">
        <v>14</v>
      </c>
      <c r="B19" s="52" t="s">
        <v>716</v>
      </c>
      <c r="C19" s="415" t="s">
        <v>767</v>
      </c>
    </row>
    <row r="20" spans="1:3" x14ac:dyDescent="0.3">
      <c r="A20" s="414">
        <v>15</v>
      </c>
      <c r="B20" s="52" t="s">
        <v>76</v>
      </c>
      <c r="C20" s="415" t="s">
        <v>680</v>
      </c>
    </row>
    <row r="21" spans="1:3" x14ac:dyDescent="0.3">
      <c r="A21" s="414">
        <v>16</v>
      </c>
      <c r="B21" s="52" t="s">
        <v>77</v>
      </c>
      <c r="C21" s="415" t="s">
        <v>71</v>
      </c>
    </row>
    <row r="22" spans="1:3" x14ac:dyDescent="0.3">
      <c r="A22" s="414">
        <v>17</v>
      </c>
      <c r="B22" s="52" t="s">
        <v>78</v>
      </c>
      <c r="C22" s="415" t="s">
        <v>680</v>
      </c>
    </row>
    <row r="23" spans="1:3" x14ac:dyDescent="0.3">
      <c r="A23" s="414">
        <v>18</v>
      </c>
      <c r="B23" s="52" t="s">
        <v>79</v>
      </c>
      <c r="C23" s="415" t="s">
        <v>680</v>
      </c>
    </row>
    <row r="24" spans="1:3" x14ac:dyDescent="0.3">
      <c r="A24" s="414">
        <v>19</v>
      </c>
      <c r="B24" s="52" t="s">
        <v>80</v>
      </c>
      <c r="C24" s="415" t="s">
        <v>71</v>
      </c>
    </row>
    <row r="25" spans="1:3" x14ac:dyDescent="0.3">
      <c r="A25" s="414">
        <v>20</v>
      </c>
      <c r="B25" s="52" t="s">
        <v>83</v>
      </c>
      <c r="C25" s="415" t="s">
        <v>767</v>
      </c>
    </row>
    <row r="26" spans="1:3" x14ac:dyDescent="0.3">
      <c r="A26" s="414">
        <v>21</v>
      </c>
      <c r="B26" s="52" t="s">
        <v>84</v>
      </c>
      <c r="C26" s="415" t="s">
        <v>767</v>
      </c>
    </row>
    <row r="27" spans="1:3" x14ac:dyDescent="0.3">
      <c r="A27" s="414">
        <v>22</v>
      </c>
      <c r="B27" s="52" t="s">
        <v>85</v>
      </c>
      <c r="C27" s="415" t="s">
        <v>680</v>
      </c>
    </row>
    <row r="28" spans="1:3" x14ac:dyDescent="0.3">
      <c r="A28" s="414">
        <v>23</v>
      </c>
      <c r="B28" s="52" t="s">
        <v>86</v>
      </c>
      <c r="C28" s="415" t="s">
        <v>680</v>
      </c>
    </row>
    <row r="29" spans="1:3" x14ac:dyDescent="0.3">
      <c r="A29" s="414">
        <v>24</v>
      </c>
      <c r="B29" s="52" t="s">
        <v>87</v>
      </c>
      <c r="C29" s="415" t="s">
        <v>680</v>
      </c>
    </row>
    <row r="30" spans="1:3" x14ac:dyDescent="0.3">
      <c r="A30" s="414">
        <v>25</v>
      </c>
      <c r="B30" s="52" t="s">
        <v>82</v>
      </c>
      <c r="C30" s="415" t="s">
        <v>71</v>
      </c>
    </row>
    <row r="31" spans="1:3" x14ac:dyDescent="0.3">
      <c r="A31" s="414">
        <v>26</v>
      </c>
      <c r="B31" s="52" t="s">
        <v>81</v>
      </c>
      <c r="C31" s="415" t="s">
        <v>680</v>
      </c>
    </row>
    <row r="32" spans="1:3" x14ac:dyDescent="0.3">
      <c r="A32" s="414">
        <v>27</v>
      </c>
      <c r="B32" s="52" t="s">
        <v>88</v>
      </c>
      <c r="C32" s="426" t="s">
        <v>785</v>
      </c>
    </row>
    <row r="33" spans="1:3" x14ac:dyDescent="0.3">
      <c r="A33" s="414">
        <v>28</v>
      </c>
      <c r="B33" s="52" t="s">
        <v>709</v>
      </c>
      <c r="C33" s="426" t="s">
        <v>785</v>
      </c>
    </row>
    <row r="34" spans="1:3" x14ac:dyDescent="0.3">
      <c r="A34" s="414" t="s">
        <v>725</v>
      </c>
      <c r="B34" s="52" t="s">
        <v>710</v>
      </c>
      <c r="C34" s="426" t="s">
        <v>785</v>
      </c>
    </row>
    <row r="35" spans="1:3" x14ac:dyDescent="0.3">
      <c r="A35" s="414" t="s">
        <v>726</v>
      </c>
      <c r="B35" s="52" t="s">
        <v>728</v>
      </c>
      <c r="C35" s="426" t="s">
        <v>785</v>
      </c>
    </row>
    <row r="36" spans="1:3" x14ac:dyDescent="0.3">
      <c r="A36" s="414" t="s">
        <v>727</v>
      </c>
      <c r="B36" s="52" t="s">
        <v>89</v>
      </c>
      <c r="C36" s="426" t="s">
        <v>785</v>
      </c>
    </row>
    <row r="37" spans="1:3" x14ac:dyDescent="0.3">
      <c r="A37" s="414">
        <v>39</v>
      </c>
      <c r="B37" s="52" t="s">
        <v>90</v>
      </c>
      <c r="C37" s="415" t="s">
        <v>768</v>
      </c>
    </row>
    <row r="38" spans="1:3" x14ac:dyDescent="0.3">
      <c r="A38" s="414">
        <v>40</v>
      </c>
      <c r="B38" s="52" t="s">
        <v>717</v>
      </c>
      <c r="C38" s="415" t="s">
        <v>680</v>
      </c>
    </row>
    <row r="39" spans="1:3" x14ac:dyDescent="0.3">
      <c r="A39" s="414">
        <v>41</v>
      </c>
      <c r="B39" s="52" t="s">
        <v>764</v>
      </c>
      <c r="C39" s="426" t="s">
        <v>785</v>
      </c>
    </row>
  </sheetData>
  <mergeCells count="5">
    <mergeCell ref="A1:C1"/>
    <mergeCell ref="A2:C2"/>
    <mergeCell ref="A3:C3"/>
    <mergeCell ref="A4:C4"/>
    <mergeCell ref="A5:C5"/>
  </mergeCells>
  <hyperlinks>
    <hyperlink ref="B15" location="'Customer Counts'!A1" display="Customer Counts"/>
    <hyperlink ref="B13" location="'Revenue Sensitive Items'!A1" display="Revenue Sensitive Items"/>
    <hyperlink ref="B17" location="'Customer Advances (252)'!A1" display="Customer Advances"/>
    <hyperlink ref="B16" location="'Customer Deposits (235)'!A1" display="Customer Deposits"/>
    <hyperlink ref="B20" location="'Other Op Rev (450-451)'!A1" display="Other Op Rev (450-451)"/>
    <hyperlink ref="B21" location="'Other Op Rev Equip Rental (454)'!A1" display="Other Op Rev (454)"/>
    <hyperlink ref="B22" location="'Meter Reading Cost (902)'!A1" display="Meter Reading Cost (902)"/>
    <hyperlink ref="B23" location="'Records &amp; Collec (903)'!A1" display="Records &amp; Collec (903)"/>
    <hyperlink ref="B31" location="'Meter Costs (370)'!A1" display="Meter Costs (370)"/>
    <hyperlink ref="B30" location="'Distribution Service (369)'!A1" display="Distribution Service (369)"/>
    <hyperlink ref="B25" location="'Dist Plant (360-368)'!A1" display="Dist Plant (360-368)"/>
    <hyperlink ref="B26" location="'Dist Accum Depr (360-368)'!A1" display="Dist Accum Depr (360-368)"/>
    <hyperlink ref="B27" location="'NCP Dist Plant (360-362)'!A1" display="NCP Dist Plant (360-362)"/>
    <hyperlink ref="B28" location="'NCP Dist OH-UG Plant (364-367)'!A1" display="NCP Dist OH-UG Plant (364-367)"/>
    <hyperlink ref="B29" location="'Dist Transformer Plant (368)'!A1" display="Dist Transformer Plant (368)"/>
    <hyperlink ref="B32" location="'Load Research Data - Summary'!A1" display="Load Research Data - Summary"/>
    <hyperlink ref="B33" location="'Load Research Data - Dem 4CP'!A1" display="Load Research Data - Demand 4CP"/>
    <hyperlink ref="B36" location="'Load Research Data -Energy'!A1" display="Load Research Data -Energy"/>
    <hyperlink ref="B37" location="'Salary &amp; Wages'!A1" display="Salary &amp; Wages"/>
    <hyperlink ref="B18" location="'Proforma Revenue'!A1" display="Proforma Revenue"/>
    <hyperlink ref="B34" location="'Load Research Data Dem 75CP'!A1" display="Load Research Data - Demand 75CP"/>
    <hyperlink ref="B35" location="'Load Research Data Dem 200NCP'!A1" display="Load Research Data - Top 12 NCP Demand"/>
    <hyperlink ref="B9" location="'ECOS - INPUTS'!A1" display="2017 ECOS - Inputs"/>
    <hyperlink ref="B10" location="'ECOS - CLASSIFIERS'!A1" display="2017 ECOS - Classifiers"/>
    <hyperlink ref="B12" location="'Customer Counts'!A1" display="Customer Counts"/>
    <hyperlink ref="B11" location="'ECOS - EXTERNAL (2017)'!A1" display="2017 ECOS - External Allocation Factors"/>
    <hyperlink ref="B19" location="'Retail Wheeling Proforma Rev'!A1" display="Proforma Revenue - Retail Wheeling"/>
    <hyperlink ref="B14" location="'Peak Credit'!A1" display="Peak Credit"/>
    <hyperlink ref="B38" location="'BPA Delivered kWh'!A1" display="BPA Res Exchange kWh"/>
    <hyperlink ref="B39" location="'Proposed Rev'!A1" display="Proposed Revenue"/>
  </hyperlinks>
  <printOptions horizontalCentered="1"/>
  <pageMargins left="0.25" right="0.25" top="0.75" bottom="0.75" header="0.3" footer="0.3"/>
  <pageSetup scale="88" orientation="landscape" r:id="rId1"/>
  <headerFooter>
    <oddFooter>&amp;L&amp;"Times New Roman,Regular"&amp;F
&amp;A&amp;R&amp;"Times New Roman,Regular"Page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workbookViewId="0">
      <selection sqref="A1:G1"/>
    </sheetView>
  </sheetViews>
  <sheetFormatPr defaultRowHeight="14.4" x14ac:dyDescent="0.3"/>
  <cols>
    <col min="1" max="1" width="7.21875" bestFit="1" customWidth="1"/>
    <col min="2" max="2" width="15" bestFit="1" customWidth="1"/>
    <col min="3" max="3" width="12.5546875" bestFit="1" customWidth="1"/>
    <col min="4" max="4" width="9.109375" bestFit="1" customWidth="1"/>
    <col min="5" max="5" width="11.5546875" bestFit="1" customWidth="1"/>
    <col min="6" max="7" width="12.5546875" bestFit="1" customWidth="1"/>
  </cols>
  <sheetData>
    <row r="1" spans="1:7" x14ac:dyDescent="0.3">
      <c r="A1" s="536" t="s">
        <v>27</v>
      </c>
      <c r="B1" s="536"/>
      <c r="C1" s="536"/>
      <c r="D1" s="536"/>
      <c r="E1" s="536"/>
      <c r="F1" s="536"/>
      <c r="G1" s="536"/>
    </row>
    <row r="2" spans="1:7" x14ac:dyDescent="0.3">
      <c r="A2" s="536" t="s">
        <v>28</v>
      </c>
      <c r="B2" s="536"/>
      <c r="C2" s="536"/>
      <c r="D2" s="536"/>
      <c r="E2" s="536"/>
      <c r="F2" s="536"/>
      <c r="G2" s="536"/>
    </row>
    <row r="3" spans="1:7" x14ac:dyDescent="0.3">
      <c r="A3" s="537" t="s">
        <v>29</v>
      </c>
      <c r="B3" s="536"/>
      <c r="C3" s="536"/>
      <c r="D3" s="536"/>
      <c r="E3" s="536"/>
      <c r="F3" s="536"/>
      <c r="G3" s="536"/>
    </row>
    <row r="4" spans="1:7" x14ac:dyDescent="0.3">
      <c r="A4" s="536" t="s">
        <v>30</v>
      </c>
      <c r="B4" s="536"/>
      <c r="C4" s="536"/>
      <c r="D4" s="536"/>
      <c r="E4" s="536"/>
      <c r="F4" s="536"/>
      <c r="G4" s="536"/>
    </row>
    <row r="6" spans="1:7" ht="100.8" x14ac:dyDescent="0.3">
      <c r="A6" s="32" t="s">
        <v>31</v>
      </c>
      <c r="B6" s="32" t="s">
        <v>32</v>
      </c>
      <c r="C6" s="32"/>
      <c r="D6" s="33" t="s">
        <v>33</v>
      </c>
      <c r="E6" s="33" t="s">
        <v>34</v>
      </c>
      <c r="F6" s="33" t="s">
        <v>35</v>
      </c>
      <c r="G6" s="33" t="s">
        <v>36</v>
      </c>
    </row>
    <row r="7" spans="1:7" x14ac:dyDescent="0.3">
      <c r="A7" s="34">
        <v>1</v>
      </c>
      <c r="B7" t="s">
        <v>20</v>
      </c>
      <c r="C7" s="35">
        <v>-54720677.887500003</v>
      </c>
      <c r="D7" s="77">
        <v>-16967.4175</v>
      </c>
      <c r="E7" s="77">
        <v>-6429735.9779166654</v>
      </c>
      <c r="F7" s="77">
        <v>-14726399.540416665</v>
      </c>
      <c r="G7" s="77">
        <v>-33547574.951666668</v>
      </c>
    </row>
    <row r="8" spans="1:7" x14ac:dyDescent="0.3">
      <c r="A8" s="34">
        <v>2</v>
      </c>
    </row>
    <row r="9" spans="1:7" x14ac:dyDescent="0.3">
      <c r="A9" s="34">
        <v>3</v>
      </c>
      <c r="B9" s="548" t="s">
        <v>4</v>
      </c>
      <c r="C9" s="548"/>
      <c r="D9" s="548" t="s">
        <v>37</v>
      </c>
      <c r="E9" s="548"/>
      <c r="F9" s="548"/>
      <c r="G9" s="548"/>
    </row>
    <row r="10" spans="1:7" x14ac:dyDescent="0.3">
      <c r="A10" s="34">
        <v>4</v>
      </c>
      <c r="B10" t="s">
        <v>38</v>
      </c>
      <c r="C10" s="29">
        <v>980660</v>
      </c>
      <c r="D10" s="36">
        <v>1</v>
      </c>
      <c r="E10" s="36">
        <v>1</v>
      </c>
      <c r="F10" s="36">
        <v>1</v>
      </c>
      <c r="G10" s="36">
        <v>0</v>
      </c>
    </row>
    <row r="11" spans="1:7" x14ac:dyDescent="0.3">
      <c r="A11" s="34">
        <v>5</v>
      </c>
      <c r="B11" s="37" t="s">
        <v>39</v>
      </c>
      <c r="C11" s="29">
        <v>117926</v>
      </c>
      <c r="D11" s="36"/>
      <c r="E11" s="36"/>
      <c r="F11" s="36"/>
      <c r="G11" s="36">
        <v>0.93341670756225359</v>
      </c>
    </row>
    <row r="12" spans="1:7" x14ac:dyDescent="0.3">
      <c r="A12" s="34">
        <v>6</v>
      </c>
      <c r="B12" s="37" t="s">
        <v>40</v>
      </c>
      <c r="C12" s="29">
        <v>7627</v>
      </c>
      <c r="D12" s="36"/>
      <c r="E12" s="36"/>
      <c r="F12" s="36"/>
      <c r="G12" s="36">
        <v>6.0369801643211068E-2</v>
      </c>
    </row>
    <row r="13" spans="1:7" x14ac:dyDescent="0.3">
      <c r="A13" s="34">
        <v>7</v>
      </c>
      <c r="B13" s="37" t="s">
        <v>41</v>
      </c>
      <c r="C13" s="29">
        <v>785</v>
      </c>
      <c r="D13" s="36"/>
      <c r="E13" s="36"/>
      <c r="F13" s="36"/>
      <c r="G13" s="36">
        <v>6.2134907945352938E-3</v>
      </c>
    </row>
    <row r="14" spans="1:7" x14ac:dyDescent="0.3">
      <c r="A14" s="34">
        <v>8</v>
      </c>
      <c r="C14" s="29">
        <v>1106998</v>
      </c>
      <c r="D14" s="36"/>
      <c r="E14" s="36"/>
      <c r="F14" s="36"/>
    </row>
    <row r="15" spans="1:7" x14ac:dyDescent="0.3">
      <c r="A15" s="34">
        <v>9</v>
      </c>
    </row>
    <row r="16" spans="1:7" x14ac:dyDescent="0.3">
      <c r="A16" s="34">
        <v>10</v>
      </c>
      <c r="B16" t="s">
        <v>38</v>
      </c>
      <c r="C16" s="35">
        <v>-21173102.935833331</v>
      </c>
      <c r="D16" s="35">
        <v>-16967.4175</v>
      </c>
      <c r="E16" s="35">
        <v>-6429735.9779166654</v>
      </c>
      <c r="F16" s="35">
        <v>-14726399.540416665</v>
      </c>
      <c r="G16" s="35">
        <v>0</v>
      </c>
    </row>
    <row r="17" spans="1:7" x14ac:dyDescent="0.3">
      <c r="A17" s="34">
        <v>11</v>
      </c>
      <c r="B17" s="37" t="s">
        <v>39</v>
      </c>
      <c r="C17" s="35">
        <v>-31313866.958082631</v>
      </c>
      <c r="D17" s="35"/>
      <c r="E17" s="35"/>
      <c r="F17" s="35"/>
      <c r="G17" s="35">
        <v>-31313866.958082631</v>
      </c>
    </row>
    <row r="18" spans="1:7" x14ac:dyDescent="0.3">
      <c r="A18" s="34">
        <v>12</v>
      </c>
      <c r="B18" s="37" t="s">
        <v>40</v>
      </c>
      <c r="C18" s="35">
        <v>-2025260.4454428728</v>
      </c>
      <c r="D18" s="35"/>
      <c r="E18" s="35"/>
      <c r="F18" s="35"/>
      <c r="G18" s="35">
        <v>-2025260.4454428728</v>
      </c>
    </row>
    <row r="19" spans="1:7" x14ac:dyDescent="0.3">
      <c r="A19" s="34">
        <v>13</v>
      </c>
      <c r="B19" s="37" t="s">
        <v>41</v>
      </c>
      <c r="C19" s="35">
        <v>-208447.54814116366</v>
      </c>
      <c r="D19" s="35"/>
      <c r="E19" s="35"/>
      <c r="F19" s="35"/>
      <c r="G19" s="35">
        <v>-208447.54814116366</v>
      </c>
    </row>
    <row r="20" spans="1:7" x14ac:dyDescent="0.3">
      <c r="A20" s="34">
        <v>14</v>
      </c>
      <c r="B20" s="27" t="s">
        <v>20</v>
      </c>
      <c r="C20" s="35">
        <v>-54720677.887500003</v>
      </c>
      <c r="D20" s="35">
        <v>-16967.4175</v>
      </c>
      <c r="E20" s="35">
        <v>-6429735.9779166654</v>
      </c>
      <c r="F20" s="35">
        <v>-14726399.540416665</v>
      </c>
      <c r="G20" s="35">
        <v>-33547574.951666668</v>
      </c>
    </row>
  </sheetData>
  <mergeCells count="6">
    <mergeCell ref="A1:G1"/>
    <mergeCell ref="A2:G2"/>
    <mergeCell ref="A3:G3"/>
    <mergeCell ref="A4:G4"/>
    <mergeCell ref="B9:C9"/>
    <mergeCell ref="D9:G9"/>
  </mergeCells>
  <printOptions horizontalCentered="1"/>
  <pageMargins left="0.25" right="0.25" top="0.75" bottom="0.75" header="0.3" footer="0.3"/>
  <pageSetup orientation="landscape" r:id="rId1"/>
  <headerFooter>
    <oddFooter>&amp;L&amp;"Times New Roman,Regular"&amp;F
&amp;A&amp;R&amp;"Times New Roman,Regular"Page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4"/>
  <sheetViews>
    <sheetView workbookViewId="0">
      <selection sqref="A1:P1"/>
    </sheetView>
  </sheetViews>
  <sheetFormatPr defaultRowHeight="14.4" x14ac:dyDescent="0.3"/>
  <cols>
    <col min="1" max="1" width="4.33203125" bestFit="1" customWidth="1"/>
    <col min="2" max="2" width="10" bestFit="1" customWidth="1"/>
    <col min="3" max="3" width="22.6640625" bestFit="1" customWidth="1"/>
    <col min="4" max="5" width="14.5546875" bestFit="1" customWidth="1"/>
    <col min="6" max="8" width="11.5546875" bestFit="1" customWidth="1"/>
    <col min="9" max="9" width="12" bestFit="1" customWidth="1"/>
    <col min="10" max="10" width="1.44140625" customWidth="1"/>
    <col min="11" max="12" width="14.5546875" bestFit="1" customWidth="1"/>
    <col min="13" max="14" width="11.5546875" bestFit="1" customWidth="1"/>
    <col min="15" max="15" width="10.109375" bestFit="1" customWidth="1"/>
    <col min="16" max="16" width="12" bestFit="1" customWidth="1"/>
  </cols>
  <sheetData>
    <row r="1" spans="1:16" x14ac:dyDescent="0.3">
      <c r="A1" s="536" t="s">
        <v>65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</row>
    <row r="2" spans="1:16" x14ac:dyDescent="0.3">
      <c r="A2" s="537" t="s">
        <v>162</v>
      </c>
      <c r="B2" s="536"/>
      <c r="C2" s="536"/>
      <c r="D2" s="536"/>
      <c r="E2" s="536"/>
      <c r="F2" s="536"/>
      <c r="G2" s="536"/>
      <c r="H2" s="536"/>
      <c r="I2" s="536"/>
      <c r="J2" s="536"/>
      <c r="K2" s="536"/>
      <c r="L2" s="536"/>
      <c r="M2" s="536"/>
      <c r="N2" s="536"/>
      <c r="O2" s="536"/>
      <c r="P2" s="536"/>
    </row>
    <row r="3" spans="1:16" x14ac:dyDescent="0.3">
      <c r="A3" s="537" t="s">
        <v>770</v>
      </c>
      <c r="B3" s="536"/>
      <c r="C3" s="536"/>
      <c r="D3" s="536"/>
      <c r="E3" s="536"/>
      <c r="F3" s="536"/>
      <c r="G3" s="536"/>
      <c r="H3" s="536"/>
      <c r="I3" s="536"/>
      <c r="J3" s="536"/>
      <c r="K3" s="536"/>
      <c r="L3" s="536"/>
      <c r="M3" s="536"/>
      <c r="N3" s="536"/>
      <c r="O3" s="536"/>
      <c r="P3" s="536"/>
    </row>
    <row r="4" spans="1:16" x14ac:dyDescent="0.3">
      <c r="A4" s="536" t="s">
        <v>163</v>
      </c>
      <c r="B4" s="536"/>
      <c r="C4" s="536"/>
      <c r="D4" s="536"/>
      <c r="E4" s="536"/>
      <c r="F4" s="536"/>
      <c r="G4" s="536"/>
      <c r="H4" s="536"/>
      <c r="I4" s="536"/>
      <c r="J4" s="536"/>
      <c r="K4" s="536"/>
      <c r="L4" s="536"/>
      <c r="M4" s="536"/>
      <c r="N4" s="536"/>
      <c r="O4" s="536"/>
      <c r="P4" s="536"/>
    </row>
    <row r="6" spans="1:16" x14ac:dyDescent="0.3">
      <c r="D6" s="550" t="s">
        <v>164</v>
      </c>
      <c r="E6" s="550"/>
      <c r="F6" s="550"/>
      <c r="G6" s="550"/>
      <c r="H6" s="550"/>
      <c r="I6" s="550"/>
      <c r="K6" s="550" t="s">
        <v>165</v>
      </c>
      <c r="L6" s="550"/>
      <c r="M6" s="550"/>
      <c r="N6" s="550"/>
      <c r="O6" s="550"/>
      <c r="P6" s="550"/>
    </row>
    <row r="7" spans="1:16" ht="43.2" x14ac:dyDescent="0.3">
      <c r="A7" s="32" t="s">
        <v>166</v>
      </c>
      <c r="B7" s="32" t="s">
        <v>167</v>
      </c>
      <c r="C7" s="32" t="s">
        <v>32</v>
      </c>
      <c r="D7" s="33" t="s">
        <v>168</v>
      </c>
      <c r="E7" s="32" t="s">
        <v>169</v>
      </c>
      <c r="F7" s="32" t="s">
        <v>170</v>
      </c>
      <c r="G7" s="32" t="s">
        <v>171</v>
      </c>
      <c r="H7" s="32" t="s">
        <v>172</v>
      </c>
      <c r="I7" s="32" t="s">
        <v>173</v>
      </c>
      <c r="J7" s="33"/>
      <c r="K7" s="33" t="s">
        <v>168</v>
      </c>
      <c r="L7" s="33" t="s">
        <v>174</v>
      </c>
      <c r="M7" s="32" t="s">
        <v>170</v>
      </c>
      <c r="N7" s="32" t="s">
        <v>171</v>
      </c>
      <c r="O7" s="32" t="s">
        <v>172</v>
      </c>
      <c r="P7" s="32" t="s">
        <v>173</v>
      </c>
    </row>
    <row r="8" spans="1:16" x14ac:dyDescent="0.3">
      <c r="A8" s="74"/>
      <c r="B8" s="74" t="s">
        <v>175</v>
      </c>
      <c r="C8" s="75" t="s">
        <v>176</v>
      </c>
      <c r="D8" s="75" t="s">
        <v>177</v>
      </c>
      <c r="E8" s="75" t="s">
        <v>178</v>
      </c>
      <c r="F8" s="75" t="s">
        <v>179</v>
      </c>
      <c r="G8" s="75" t="s">
        <v>180</v>
      </c>
      <c r="H8" s="75" t="s">
        <v>181</v>
      </c>
      <c r="I8" s="75" t="s">
        <v>182</v>
      </c>
      <c r="J8" s="75"/>
      <c r="K8" s="75" t="s">
        <v>183</v>
      </c>
      <c r="L8" s="75" t="s">
        <v>184</v>
      </c>
      <c r="M8" s="75" t="s">
        <v>185</v>
      </c>
      <c r="N8" s="75" t="s">
        <v>186</v>
      </c>
      <c r="O8" s="75" t="s">
        <v>187</v>
      </c>
      <c r="P8" s="75" t="s">
        <v>188</v>
      </c>
    </row>
    <row r="9" spans="1:16" x14ac:dyDescent="0.3">
      <c r="A9" s="34">
        <v>1</v>
      </c>
      <c r="B9" s="34">
        <v>7</v>
      </c>
      <c r="C9" t="s">
        <v>153</v>
      </c>
      <c r="D9" s="76">
        <v>10442426485.066896</v>
      </c>
      <c r="E9" s="76">
        <v>10227816741</v>
      </c>
      <c r="F9" s="76">
        <v>-28359904.933104038</v>
      </c>
      <c r="G9" s="76"/>
      <c r="H9" s="76">
        <v>0</v>
      </c>
      <c r="I9" s="76">
        <v>242969649</v>
      </c>
      <c r="K9" s="77">
        <v>1066627454</v>
      </c>
      <c r="L9" s="77">
        <v>1044217260</v>
      </c>
      <c r="M9" s="77">
        <v>-2896795</v>
      </c>
      <c r="N9" s="77">
        <v>0</v>
      </c>
      <c r="O9" s="77">
        <v>0</v>
      </c>
      <c r="P9" s="77">
        <v>25306989</v>
      </c>
    </row>
    <row r="10" spans="1:16" x14ac:dyDescent="0.3">
      <c r="A10" s="34">
        <v>2</v>
      </c>
      <c r="B10" s="34" t="s">
        <v>21</v>
      </c>
      <c r="C10" s="37" t="s">
        <v>189</v>
      </c>
      <c r="D10" s="76">
        <v>2530848</v>
      </c>
      <c r="E10" s="76">
        <v>2525000</v>
      </c>
      <c r="F10" s="76">
        <v>5848</v>
      </c>
      <c r="G10" s="76"/>
      <c r="H10" s="76">
        <v>0</v>
      </c>
      <c r="I10" s="76">
        <v>0</v>
      </c>
      <c r="K10" s="77">
        <v>215030</v>
      </c>
      <c r="L10" s="77">
        <v>214512</v>
      </c>
      <c r="M10" s="77">
        <v>518</v>
      </c>
      <c r="N10" s="77">
        <v>0</v>
      </c>
      <c r="O10" s="77">
        <v>0</v>
      </c>
      <c r="P10" s="77">
        <v>0</v>
      </c>
    </row>
    <row r="11" spans="1:16" x14ac:dyDescent="0.3">
      <c r="A11" s="34">
        <v>3</v>
      </c>
      <c r="B11" s="549" t="s">
        <v>190</v>
      </c>
      <c r="C11" s="549"/>
      <c r="D11" s="76">
        <v>10444957333.066896</v>
      </c>
      <c r="E11" s="76">
        <v>10230341741</v>
      </c>
      <c r="F11" s="76">
        <v>-28354056.933104038</v>
      </c>
      <c r="G11" s="76">
        <v>0</v>
      </c>
      <c r="H11" s="76">
        <v>0</v>
      </c>
      <c r="I11" s="76">
        <v>242969649</v>
      </c>
      <c r="K11" s="77">
        <v>1066842484</v>
      </c>
      <c r="L11" s="77">
        <v>1044431772</v>
      </c>
      <c r="M11" s="77">
        <v>-2896277</v>
      </c>
      <c r="N11" s="77">
        <v>0</v>
      </c>
      <c r="O11" s="77">
        <v>0</v>
      </c>
      <c r="P11" s="77">
        <v>25306989</v>
      </c>
    </row>
    <row r="12" spans="1:16" x14ac:dyDescent="0.3">
      <c r="A12" s="34">
        <v>4</v>
      </c>
      <c r="D12" s="76"/>
      <c r="E12" s="76"/>
      <c r="F12" s="76"/>
      <c r="G12" s="76"/>
      <c r="H12" s="76"/>
      <c r="I12" s="76"/>
      <c r="K12" s="77"/>
      <c r="L12" s="77"/>
      <c r="M12" s="77"/>
      <c r="N12" s="77"/>
      <c r="O12" s="77"/>
      <c r="P12" s="77"/>
    </row>
    <row r="13" spans="1:16" x14ac:dyDescent="0.3">
      <c r="A13" s="34">
        <v>5</v>
      </c>
      <c r="B13" s="78" t="s">
        <v>191</v>
      </c>
      <c r="C13" t="s">
        <v>192</v>
      </c>
      <c r="D13" s="76">
        <v>2787584113.8710942</v>
      </c>
      <c r="E13" s="76">
        <v>2746108936</v>
      </c>
      <c r="F13" s="76">
        <v>19022939.703836836</v>
      </c>
      <c r="G13" s="76">
        <v>-96230</v>
      </c>
      <c r="H13" s="76">
        <v>0</v>
      </c>
      <c r="I13" s="76">
        <v>22548468.167257167</v>
      </c>
      <c r="K13" s="77">
        <v>266956973</v>
      </c>
      <c r="L13" s="77">
        <v>263130625</v>
      </c>
      <c r="M13" s="77">
        <v>1821750</v>
      </c>
      <c r="N13" s="77">
        <v>-8770</v>
      </c>
      <c r="O13" s="77">
        <v>0</v>
      </c>
      <c r="P13" s="77">
        <v>2013368</v>
      </c>
    </row>
    <row r="14" spans="1:16" x14ac:dyDescent="0.3">
      <c r="A14" s="34">
        <v>6</v>
      </c>
      <c r="B14" s="55" t="s">
        <v>193</v>
      </c>
      <c r="C14" s="37" t="s">
        <v>194</v>
      </c>
      <c r="D14" s="76">
        <v>2836928109.4718885</v>
      </c>
      <c r="E14" s="76">
        <v>2795961386</v>
      </c>
      <c r="F14" s="76">
        <v>29719659.391902685</v>
      </c>
      <c r="G14" s="76">
        <v>0</v>
      </c>
      <c r="H14" s="76">
        <v>0</v>
      </c>
      <c r="I14" s="76">
        <v>11247064.07998576</v>
      </c>
      <c r="K14" s="77">
        <v>252314969</v>
      </c>
      <c r="L14" s="77">
        <v>248951200</v>
      </c>
      <c r="M14" s="77">
        <v>2643147</v>
      </c>
      <c r="N14" s="77">
        <v>0</v>
      </c>
      <c r="O14" s="77">
        <v>0</v>
      </c>
      <c r="P14" s="77">
        <v>720622</v>
      </c>
    </row>
    <row r="15" spans="1:16" x14ac:dyDescent="0.3">
      <c r="A15" s="34">
        <v>7</v>
      </c>
      <c r="B15" s="55" t="s">
        <v>195</v>
      </c>
      <c r="C15" s="37" t="s">
        <v>196</v>
      </c>
      <c r="D15" s="76">
        <v>1878822444.3816457</v>
      </c>
      <c r="E15" s="76">
        <v>1877448961</v>
      </c>
      <c r="F15" s="76">
        <v>1605471.0577550698</v>
      </c>
      <c r="G15" s="76">
        <v>0</v>
      </c>
      <c r="H15" s="76">
        <v>0</v>
      </c>
      <c r="I15" s="76">
        <v>-231987.67610922537</v>
      </c>
      <c r="K15" s="77">
        <v>152830099</v>
      </c>
      <c r="L15" s="77">
        <v>152713915</v>
      </c>
      <c r="M15" s="77">
        <v>130595</v>
      </c>
      <c r="N15" s="77">
        <v>-1248</v>
      </c>
      <c r="O15" s="77">
        <v>0</v>
      </c>
      <c r="P15" s="77">
        <v>-13163</v>
      </c>
    </row>
    <row r="16" spans="1:16" x14ac:dyDescent="0.3">
      <c r="A16" s="34">
        <v>8</v>
      </c>
      <c r="B16" s="55" t="s">
        <v>197</v>
      </c>
      <c r="C16" s="37" t="s">
        <v>198</v>
      </c>
      <c r="D16" s="76">
        <v>13232300</v>
      </c>
      <c r="E16" s="76">
        <v>13232300</v>
      </c>
      <c r="F16" s="76">
        <v>0</v>
      </c>
      <c r="G16" s="76">
        <v>0</v>
      </c>
      <c r="H16" s="76">
        <v>0</v>
      </c>
      <c r="I16" s="76"/>
      <c r="K16" s="77">
        <v>1034457</v>
      </c>
      <c r="L16" s="77">
        <v>1034457</v>
      </c>
      <c r="M16" s="77">
        <v>0</v>
      </c>
      <c r="N16" s="77">
        <v>0</v>
      </c>
      <c r="O16" s="77">
        <v>0</v>
      </c>
      <c r="P16" s="77">
        <v>0</v>
      </c>
    </row>
    <row r="17" spans="1:16" x14ac:dyDescent="0.3">
      <c r="A17" s="34">
        <v>9</v>
      </c>
      <c r="B17" s="34">
        <v>29</v>
      </c>
      <c r="C17" t="s">
        <v>199</v>
      </c>
      <c r="D17" s="76">
        <v>14326829.389192818</v>
      </c>
      <c r="E17" s="76">
        <v>12964401</v>
      </c>
      <c r="F17" s="76">
        <v>1521175.2230270188</v>
      </c>
      <c r="G17" s="76">
        <v>0</v>
      </c>
      <c r="H17" s="76">
        <v>0</v>
      </c>
      <c r="I17" s="76">
        <v>-158746.83383420159</v>
      </c>
      <c r="K17" s="77">
        <v>1137750</v>
      </c>
      <c r="L17" s="77">
        <v>1025391</v>
      </c>
      <c r="M17" s="77">
        <v>120803</v>
      </c>
      <c r="N17" s="77">
        <v>0</v>
      </c>
      <c r="O17" s="77">
        <v>0</v>
      </c>
      <c r="P17" s="77">
        <v>-8444</v>
      </c>
    </row>
    <row r="18" spans="1:16" x14ac:dyDescent="0.3">
      <c r="A18" s="34">
        <v>10</v>
      </c>
      <c r="B18" s="549" t="s">
        <v>200</v>
      </c>
      <c r="C18" s="549"/>
      <c r="D18" s="76">
        <v>7530893797.113821</v>
      </c>
      <c r="E18" s="76">
        <v>7445715984</v>
      </c>
      <c r="F18" s="76">
        <v>51869245.37652161</v>
      </c>
      <c r="G18" s="76">
        <v>-96230</v>
      </c>
      <c r="H18" s="76">
        <v>0</v>
      </c>
      <c r="I18" s="76">
        <v>33404797.737299502</v>
      </c>
      <c r="K18" s="77">
        <v>674274248</v>
      </c>
      <c r="L18" s="77">
        <v>666855588</v>
      </c>
      <c r="M18" s="77">
        <v>4716295</v>
      </c>
      <c r="N18" s="77">
        <v>-10018</v>
      </c>
      <c r="O18" s="77">
        <v>0</v>
      </c>
      <c r="P18" s="77">
        <v>2712383</v>
      </c>
    </row>
    <row r="19" spans="1:16" x14ac:dyDescent="0.3">
      <c r="A19" s="34">
        <v>11</v>
      </c>
      <c r="D19" s="76"/>
      <c r="E19" s="76"/>
      <c r="F19" s="76"/>
      <c r="G19" s="76"/>
      <c r="H19" s="76"/>
      <c r="I19" s="76"/>
      <c r="K19" s="77"/>
      <c r="L19" s="77"/>
      <c r="M19" s="77"/>
      <c r="N19" s="77"/>
      <c r="O19" s="77"/>
      <c r="P19" s="77"/>
    </row>
    <row r="20" spans="1:16" x14ac:dyDescent="0.3">
      <c r="A20" s="34">
        <v>12</v>
      </c>
      <c r="B20" s="78" t="s">
        <v>201</v>
      </c>
      <c r="C20" t="s">
        <v>202</v>
      </c>
      <c r="D20" s="76">
        <v>1284401574.4586966</v>
      </c>
      <c r="E20" s="76">
        <v>1298591685</v>
      </c>
      <c r="F20" s="76">
        <v>-15147343.245038178</v>
      </c>
      <c r="G20" s="76">
        <v>0</v>
      </c>
      <c r="H20" s="76">
        <v>0</v>
      </c>
      <c r="I20" s="76">
        <v>957232.70373482059</v>
      </c>
      <c r="K20" s="77">
        <v>102890718</v>
      </c>
      <c r="L20" s="77">
        <v>104052118</v>
      </c>
      <c r="M20" s="77">
        <v>-1213422</v>
      </c>
      <c r="N20" s="77">
        <v>0</v>
      </c>
      <c r="O20" s="77">
        <v>0</v>
      </c>
      <c r="P20" s="77">
        <v>52022</v>
      </c>
    </row>
    <row r="21" spans="1:16" x14ac:dyDescent="0.3">
      <c r="A21" s="34">
        <v>13</v>
      </c>
      <c r="B21" s="34">
        <v>35</v>
      </c>
      <c r="C21" t="s">
        <v>199</v>
      </c>
      <c r="D21" s="76">
        <v>4452600</v>
      </c>
      <c r="E21" s="76">
        <v>4443000</v>
      </c>
      <c r="F21" s="76">
        <v>9600</v>
      </c>
      <c r="G21" s="76">
        <v>0</v>
      </c>
      <c r="H21" s="76">
        <v>0</v>
      </c>
      <c r="I21" s="76">
        <v>0</v>
      </c>
      <c r="K21" s="77">
        <v>248214</v>
      </c>
      <c r="L21" s="77">
        <v>247679</v>
      </c>
      <c r="M21" s="77">
        <v>535</v>
      </c>
      <c r="N21" s="77">
        <v>0</v>
      </c>
      <c r="O21" s="77">
        <v>0</v>
      </c>
      <c r="P21" s="77">
        <v>0</v>
      </c>
    </row>
    <row r="22" spans="1:16" x14ac:dyDescent="0.3">
      <c r="A22" s="34">
        <v>14</v>
      </c>
      <c r="B22" s="34">
        <v>43</v>
      </c>
      <c r="C22" t="s">
        <v>203</v>
      </c>
      <c r="D22" s="76">
        <v>119660401.46477678</v>
      </c>
      <c r="E22" s="76">
        <v>116386804</v>
      </c>
      <c r="F22" s="76">
        <v>-562522.33265664149</v>
      </c>
      <c r="G22" s="76">
        <v>0</v>
      </c>
      <c r="H22" s="76">
        <v>0</v>
      </c>
      <c r="I22" s="76">
        <v>3836119.7974334164</v>
      </c>
      <c r="K22" s="77">
        <v>10337826</v>
      </c>
      <c r="L22" s="77">
        <v>10172007</v>
      </c>
      <c r="M22" s="77">
        <v>-48597</v>
      </c>
      <c r="N22" s="77">
        <v>0</v>
      </c>
      <c r="O22" s="77">
        <v>0</v>
      </c>
      <c r="P22" s="77">
        <v>214416</v>
      </c>
    </row>
    <row r="23" spans="1:16" x14ac:dyDescent="0.3">
      <c r="A23" s="34">
        <v>15</v>
      </c>
      <c r="B23" s="549" t="s">
        <v>204</v>
      </c>
      <c r="C23" s="549"/>
      <c r="D23" s="76">
        <v>1408514575.9234734</v>
      </c>
      <c r="E23" s="76">
        <v>1419421489</v>
      </c>
      <c r="F23" s="76">
        <v>-15700265.577694818</v>
      </c>
      <c r="G23" s="76">
        <v>0</v>
      </c>
      <c r="H23" s="76">
        <v>0</v>
      </c>
      <c r="I23" s="76">
        <v>4793352.5011682371</v>
      </c>
      <c r="K23" s="77">
        <v>113476758</v>
      </c>
      <c r="L23" s="77">
        <v>114471804</v>
      </c>
      <c r="M23" s="77">
        <v>-1261484</v>
      </c>
      <c r="N23" s="77">
        <v>0</v>
      </c>
      <c r="O23" s="77">
        <v>0</v>
      </c>
      <c r="P23" s="77">
        <v>266438</v>
      </c>
    </row>
    <row r="24" spans="1:16" x14ac:dyDescent="0.3">
      <c r="A24" s="34">
        <v>16</v>
      </c>
      <c r="D24" s="76"/>
      <c r="E24" s="76"/>
      <c r="F24" s="76"/>
      <c r="G24" s="76"/>
      <c r="H24" s="76"/>
      <c r="I24" s="76"/>
      <c r="K24" s="77"/>
      <c r="L24" s="77"/>
      <c r="M24" s="77"/>
      <c r="N24" s="77"/>
      <c r="O24" s="77"/>
      <c r="P24" s="77"/>
    </row>
    <row r="25" spans="1:16" x14ac:dyDescent="0.3">
      <c r="A25" s="34">
        <v>17</v>
      </c>
      <c r="B25" s="34">
        <v>40</v>
      </c>
      <c r="C25" t="s">
        <v>205</v>
      </c>
      <c r="D25" s="76">
        <v>621678726.339131</v>
      </c>
      <c r="E25" s="76">
        <v>629347700</v>
      </c>
      <c r="F25" s="76">
        <v>-8158575.4494833089</v>
      </c>
      <c r="G25" s="76">
        <v>96230</v>
      </c>
      <c r="H25" s="76">
        <v>0</v>
      </c>
      <c r="I25" s="76">
        <v>393371.78861424379</v>
      </c>
      <c r="K25" s="77">
        <v>43553127.801261999</v>
      </c>
      <c r="L25" s="77">
        <v>44075005</v>
      </c>
      <c r="M25" s="77">
        <v>-506225</v>
      </c>
      <c r="N25" s="77">
        <v>-37976.198737999992</v>
      </c>
      <c r="O25" s="77">
        <v>0</v>
      </c>
      <c r="P25" s="77">
        <v>22324</v>
      </c>
    </row>
    <row r="26" spans="1:16" x14ac:dyDescent="0.3">
      <c r="A26" s="34">
        <v>18</v>
      </c>
      <c r="D26" s="76"/>
      <c r="E26" s="76"/>
      <c r="F26" s="76"/>
      <c r="G26" s="76"/>
      <c r="H26" s="76"/>
      <c r="I26" s="76"/>
      <c r="K26" s="77"/>
      <c r="L26" s="77"/>
      <c r="M26" s="77"/>
      <c r="N26" s="77"/>
      <c r="O26" s="77"/>
      <c r="P26" s="77"/>
    </row>
    <row r="27" spans="1:16" x14ac:dyDescent="0.3">
      <c r="A27" s="34">
        <v>19</v>
      </c>
      <c r="B27" s="34">
        <v>46</v>
      </c>
      <c r="C27" s="37" t="s">
        <v>206</v>
      </c>
      <c r="D27" s="76">
        <v>64275357.697999991</v>
      </c>
      <c r="E27" s="76">
        <v>80900207</v>
      </c>
      <c r="F27" s="76">
        <v>539040</v>
      </c>
      <c r="G27" s="76">
        <v>0</v>
      </c>
      <c r="H27" s="76">
        <v>-17163889.302000009</v>
      </c>
      <c r="I27" s="76">
        <v>0</v>
      </c>
      <c r="K27" s="77">
        <v>4202351</v>
      </c>
      <c r="L27" s="77">
        <v>5101047</v>
      </c>
      <c r="M27" s="77">
        <v>35243</v>
      </c>
      <c r="N27" s="77">
        <v>0</v>
      </c>
      <c r="O27" s="77">
        <v>-933939</v>
      </c>
      <c r="P27" s="77">
        <v>0</v>
      </c>
    </row>
    <row r="28" spans="1:16" x14ac:dyDescent="0.3">
      <c r="A28" s="34">
        <v>20</v>
      </c>
      <c r="B28" s="34">
        <v>49</v>
      </c>
      <c r="C28" t="s">
        <v>202</v>
      </c>
      <c r="D28" s="76">
        <v>567983859</v>
      </c>
      <c r="E28" s="76">
        <v>565213426</v>
      </c>
      <c r="F28" s="76">
        <v>2770433</v>
      </c>
      <c r="G28" s="76">
        <v>0</v>
      </c>
      <c r="H28" s="76">
        <v>0</v>
      </c>
      <c r="I28" s="76">
        <v>0</v>
      </c>
      <c r="K28" s="77">
        <v>36157741</v>
      </c>
      <c r="L28" s="77">
        <v>35981375</v>
      </c>
      <c r="M28" s="77">
        <v>176366</v>
      </c>
      <c r="N28" s="77">
        <v>0</v>
      </c>
      <c r="O28" s="77">
        <v>0</v>
      </c>
      <c r="P28" s="77">
        <v>0</v>
      </c>
    </row>
    <row r="29" spans="1:16" x14ac:dyDescent="0.3">
      <c r="A29" s="34">
        <v>21</v>
      </c>
      <c r="B29" s="549" t="s">
        <v>207</v>
      </c>
      <c r="C29" s="549"/>
      <c r="D29" s="76">
        <v>632259216.69799995</v>
      </c>
      <c r="E29" s="76">
        <v>646113633</v>
      </c>
      <c r="F29" s="76">
        <v>3309473</v>
      </c>
      <c r="G29" s="76">
        <v>0</v>
      </c>
      <c r="H29" s="76">
        <v>-17163889.302000009</v>
      </c>
      <c r="I29" s="76">
        <v>0</v>
      </c>
      <c r="K29" s="77">
        <v>40360092</v>
      </c>
      <c r="L29" s="77">
        <v>41082422</v>
      </c>
      <c r="M29" s="77">
        <v>211609</v>
      </c>
      <c r="N29" s="77">
        <v>0</v>
      </c>
      <c r="O29" s="77">
        <v>-933939</v>
      </c>
      <c r="P29" s="77">
        <v>0</v>
      </c>
    </row>
    <row r="30" spans="1:16" x14ac:dyDescent="0.3">
      <c r="A30" s="34">
        <v>22</v>
      </c>
      <c r="D30" s="76"/>
      <c r="E30" s="76"/>
      <c r="F30" s="76"/>
      <c r="G30" s="76"/>
      <c r="H30" s="76"/>
      <c r="I30" s="76"/>
      <c r="K30" s="77"/>
      <c r="L30" s="77"/>
      <c r="M30" s="77"/>
      <c r="N30" s="77"/>
      <c r="O30" s="77"/>
      <c r="P30" s="77"/>
    </row>
    <row r="31" spans="1:16" x14ac:dyDescent="0.3">
      <c r="A31" s="34">
        <v>23</v>
      </c>
      <c r="B31" s="34" t="s">
        <v>208</v>
      </c>
      <c r="C31" t="s">
        <v>141</v>
      </c>
      <c r="D31" s="76">
        <v>77972349.305999994</v>
      </c>
      <c r="E31" s="76">
        <v>80281056.736999989</v>
      </c>
      <c r="F31" s="76">
        <v>-2308707.4310000008</v>
      </c>
      <c r="G31" s="76">
        <v>0</v>
      </c>
      <c r="H31" s="76">
        <v>0</v>
      </c>
      <c r="I31" s="76">
        <v>0</v>
      </c>
      <c r="K31" s="77">
        <v>17167097</v>
      </c>
      <c r="L31" s="77">
        <v>17675403</v>
      </c>
      <c r="M31" s="77">
        <v>-508306</v>
      </c>
      <c r="N31" s="77">
        <v>0</v>
      </c>
      <c r="O31" s="77">
        <v>0</v>
      </c>
      <c r="P31" s="77">
        <v>0</v>
      </c>
    </row>
    <row r="32" spans="1:16" x14ac:dyDescent="0.3">
      <c r="A32" s="34">
        <v>24</v>
      </c>
      <c r="D32" s="76"/>
      <c r="E32" s="76"/>
      <c r="F32" s="76"/>
      <c r="G32" s="76"/>
      <c r="H32" s="76"/>
      <c r="I32" s="76"/>
      <c r="K32" s="77"/>
      <c r="L32" s="77"/>
      <c r="M32" s="77"/>
      <c r="N32" s="77"/>
      <c r="O32" s="77"/>
      <c r="P32" s="77"/>
    </row>
    <row r="33" spans="1:16" x14ac:dyDescent="0.3">
      <c r="A33" s="34">
        <v>25</v>
      </c>
      <c r="B33" s="79" t="s">
        <v>209</v>
      </c>
      <c r="C33" t="s">
        <v>210</v>
      </c>
      <c r="D33" s="76">
        <v>2098103636.6259997</v>
      </c>
      <c r="E33" s="76">
        <v>2109984905.4339998</v>
      </c>
      <c r="F33" s="76">
        <v>-11881268.808000008</v>
      </c>
      <c r="G33" s="76">
        <v>0</v>
      </c>
      <c r="H33" s="76">
        <v>0</v>
      </c>
      <c r="I33" s="76">
        <v>0</v>
      </c>
      <c r="K33" s="77">
        <v>7513279</v>
      </c>
      <c r="L33" s="77">
        <v>7555827</v>
      </c>
      <c r="M33" s="77">
        <v>-42548</v>
      </c>
      <c r="N33" s="77">
        <v>0</v>
      </c>
      <c r="O33" s="77">
        <v>0</v>
      </c>
      <c r="P33" s="77">
        <v>0</v>
      </c>
    </row>
    <row r="34" spans="1:16" x14ac:dyDescent="0.3">
      <c r="A34" s="34">
        <v>26</v>
      </c>
      <c r="D34" s="76"/>
      <c r="E34" s="76"/>
      <c r="F34" s="76"/>
      <c r="G34" s="76"/>
      <c r="H34" s="76"/>
      <c r="I34" s="76"/>
      <c r="K34" s="77"/>
      <c r="L34" s="77"/>
      <c r="M34" s="77"/>
      <c r="N34" s="77"/>
      <c r="O34" s="77"/>
      <c r="P34" s="77"/>
    </row>
    <row r="35" spans="1:16" x14ac:dyDescent="0.3">
      <c r="A35" s="34">
        <v>27</v>
      </c>
      <c r="B35" s="549" t="s">
        <v>211</v>
      </c>
      <c r="C35" s="549"/>
      <c r="D35" s="76">
        <v>22814379635.073318</v>
      </c>
      <c r="E35" s="76">
        <v>22561206509.170998</v>
      </c>
      <c r="F35" s="76">
        <v>-11224155.82276056</v>
      </c>
      <c r="G35" s="76">
        <v>0</v>
      </c>
      <c r="H35" s="76">
        <v>-17163889.302000009</v>
      </c>
      <c r="I35" s="76">
        <v>281561171.02708197</v>
      </c>
      <c r="K35" s="77">
        <v>1963187085.8012619</v>
      </c>
      <c r="L35" s="77">
        <v>1936147821</v>
      </c>
      <c r="M35" s="77">
        <v>-286936</v>
      </c>
      <c r="N35" s="77">
        <v>-47994.198737999992</v>
      </c>
      <c r="O35" s="77">
        <v>-933939</v>
      </c>
      <c r="P35" s="77">
        <v>28308134</v>
      </c>
    </row>
    <row r="36" spans="1:16" x14ac:dyDescent="0.3">
      <c r="A36" s="34">
        <v>28</v>
      </c>
      <c r="D36" s="76"/>
      <c r="E36" s="76"/>
      <c r="F36" s="76"/>
      <c r="G36" s="76"/>
      <c r="H36" s="76"/>
      <c r="I36" s="76"/>
      <c r="K36" s="77"/>
      <c r="L36" s="77"/>
      <c r="M36" s="77"/>
      <c r="N36" s="77"/>
      <c r="O36" s="77"/>
      <c r="P36" s="77"/>
    </row>
    <row r="37" spans="1:16" x14ac:dyDescent="0.3">
      <c r="A37" s="34">
        <v>29</v>
      </c>
      <c r="B37" s="55" t="s">
        <v>212</v>
      </c>
      <c r="C37" t="s">
        <v>23</v>
      </c>
      <c r="D37" s="76">
        <v>6929803.4221808286</v>
      </c>
      <c r="E37" s="76">
        <v>6797340</v>
      </c>
      <c r="F37" s="76">
        <v>-13230</v>
      </c>
      <c r="G37" s="76">
        <v>0</v>
      </c>
      <c r="H37" s="76">
        <v>0</v>
      </c>
      <c r="I37" s="76">
        <v>145693.42218082873</v>
      </c>
      <c r="K37" s="77">
        <v>316389</v>
      </c>
      <c r="L37" s="77">
        <v>311875</v>
      </c>
      <c r="M37" s="77">
        <v>-604</v>
      </c>
      <c r="N37" s="77">
        <v>0</v>
      </c>
      <c r="O37" s="77">
        <v>0</v>
      </c>
      <c r="P37" s="77">
        <v>5118</v>
      </c>
    </row>
    <row r="38" spans="1:16" x14ac:dyDescent="0.3">
      <c r="A38" s="34">
        <v>30</v>
      </c>
      <c r="D38" s="76"/>
      <c r="E38" s="76"/>
      <c r="F38" s="76"/>
      <c r="G38" s="76"/>
      <c r="H38" s="76"/>
      <c r="I38" s="76"/>
      <c r="K38" s="77"/>
      <c r="L38" s="77"/>
      <c r="M38" s="77"/>
      <c r="N38" s="77"/>
      <c r="O38" s="77"/>
      <c r="P38" s="77"/>
    </row>
    <row r="39" spans="1:16" x14ac:dyDescent="0.3">
      <c r="A39" s="34">
        <v>31</v>
      </c>
      <c r="B39" s="549" t="s">
        <v>213</v>
      </c>
      <c r="C39" s="549"/>
      <c r="D39" s="76">
        <v>22821309438.495499</v>
      </c>
      <c r="E39" s="76">
        <v>22568003849.170998</v>
      </c>
      <c r="F39" s="76">
        <v>-11237385.82276056</v>
      </c>
      <c r="G39" s="76">
        <v>0</v>
      </c>
      <c r="H39" s="76">
        <v>-17163889.302000009</v>
      </c>
      <c r="I39" s="76">
        <v>281706864.4492628</v>
      </c>
      <c r="K39" s="77">
        <v>1963503474.8012619</v>
      </c>
      <c r="L39" s="77">
        <v>1936459696</v>
      </c>
      <c r="M39" s="77">
        <v>-287540</v>
      </c>
      <c r="N39" s="77">
        <v>-47994.198737999992</v>
      </c>
      <c r="O39" s="77">
        <v>-933939</v>
      </c>
      <c r="P39" s="77">
        <v>28313252</v>
      </c>
    </row>
    <row r="40" spans="1:16" x14ac:dyDescent="0.3">
      <c r="A40" s="34">
        <v>32</v>
      </c>
      <c r="D40" s="76"/>
      <c r="E40" s="76"/>
      <c r="F40" s="76"/>
      <c r="G40" s="76"/>
      <c r="H40" s="76"/>
      <c r="I40" s="76"/>
      <c r="K40" s="77"/>
      <c r="L40" s="77"/>
      <c r="M40" s="77"/>
      <c r="N40" s="77"/>
      <c r="O40" s="77"/>
      <c r="P40" s="77"/>
    </row>
    <row r="41" spans="1:16" x14ac:dyDescent="0.3">
      <c r="A41" s="34">
        <v>33</v>
      </c>
      <c r="B41" t="s">
        <v>214</v>
      </c>
      <c r="C41" t="s">
        <v>215</v>
      </c>
      <c r="D41" s="76">
        <v>20458662826.669003</v>
      </c>
      <c r="E41" s="76">
        <v>22568003847.106003</v>
      </c>
      <c r="F41" s="76">
        <v>-11237385.822760522</v>
      </c>
      <c r="G41" s="76"/>
      <c r="H41" s="76"/>
      <c r="I41" s="76"/>
      <c r="K41" s="77">
        <v>2143068567.5599999</v>
      </c>
      <c r="L41" s="77"/>
      <c r="M41" s="77"/>
      <c r="N41" s="77"/>
      <c r="O41" s="77"/>
      <c r="P41" s="77"/>
    </row>
    <row r="42" spans="1:16" x14ac:dyDescent="0.3">
      <c r="A42" s="34">
        <v>34</v>
      </c>
      <c r="B42" t="s">
        <v>214</v>
      </c>
      <c r="C42" t="s">
        <v>216</v>
      </c>
      <c r="D42" s="76">
        <v>2098103637.2950001</v>
      </c>
      <c r="E42" s="76"/>
      <c r="F42" s="76"/>
      <c r="G42" s="76"/>
      <c r="H42" s="76"/>
      <c r="I42" s="76"/>
      <c r="K42" s="77">
        <v>10750627.709999999</v>
      </c>
      <c r="L42" s="77"/>
      <c r="M42" s="77"/>
      <c r="N42" s="77"/>
      <c r="O42" s="77"/>
      <c r="P42" s="77"/>
    </row>
    <row r="43" spans="1:16" x14ac:dyDescent="0.3">
      <c r="A43" s="34">
        <v>35</v>
      </c>
      <c r="B43" t="s">
        <v>214</v>
      </c>
      <c r="C43" t="s">
        <v>217</v>
      </c>
      <c r="D43" s="76">
        <v>22556766463.964005</v>
      </c>
      <c r="E43" s="76"/>
      <c r="F43" s="76"/>
      <c r="G43" s="76"/>
      <c r="H43" s="76"/>
      <c r="I43" s="76"/>
      <c r="K43" s="77">
        <v>2153819195.27</v>
      </c>
      <c r="L43" s="77"/>
      <c r="M43" s="77"/>
      <c r="N43" s="77"/>
      <c r="O43" s="77"/>
      <c r="P43" s="77"/>
    </row>
    <row r="44" spans="1:16" x14ac:dyDescent="0.3">
      <c r="A44" s="34">
        <v>36</v>
      </c>
      <c r="C44" t="s">
        <v>218</v>
      </c>
      <c r="D44" s="76">
        <v>281706864.87875712</v>
      </c>
      <c r="E44" s="76"/>
      <c r="F44" s="76"/>
      <c r="G44" s="76"/>
      <c r="H44" s="76"/>
      <c r="I44" s="76"/>
      <c r="K44" s="77">
        <v>28313253</v>
      </c>
      <c r="L44" s="77"/>
      <c r="M44" s="77"/>
      <c r="N44" s="77"/>
      <c r="O44" s="77"/>
      <c r="P44" s="77"/>
    </row>
    <row r="45" spans="1:16" x14ac:dyDescent="0.3">
      <c r="A45" s="34">
        <v>37</v>
      </c>
      <c r="C45" t="s">
        <v>219</v>
      </c>
      <c r="D45" s="76">
        <v>-17163889</v>
      </c>
      <c r="E45" s="76"/>
      <c r="F45" s="76"/>
      <c r="G45" s="76"/>
      <c r="H45" s="76"/>
      <c r="I45" s="76"/>
      <c r="K45" s="80">
        <v>-933939</v>
      </c>
      <c r="L45" s="77"/>
      <c r="M45" s="77"/>
      <c r="N45" s="77"/>
      <c r="O45" s="77"/>
      <c r="P45" s="77"/>
    </row>
    <row r="46" spans="1:16" x14ac:dyDescent="0.3">
      <c r="A46" s="34">
        <v>38</v>
      </c>
      <c r="C46" s="37" t="s">
        <v>220</v>
      </c>
      <c r="D46" s="76">
        <v>22821309439.842762</v>
      </c>
      <c r="E46" s="76"/>
      <c r="F46" s="76"/>
      <c r="G46" s="76"/>
      <c r="H46" s="76"/>
      <c r="I46" s="76"/>
      <c r="K46" s="77">
        <v>2181198509.27</v>
      </c>
      <c r="L46" s="77"/>
      <c r="M46" s="77"/>
      <c r="N46" s="77"/>
      <c r="O46" s="77"/>
      <c r="P46" s="77"/>
    </row>
    <row r="47" spans="1:16" x14ac:dyDescent="0.3">
      <c r="A47" s="34">
        <v>39</v>
      </c>
      <c r="D47" s="76"/>
      <c r="K47" s="77"/>
      <c r="L47" s="551"/>
      <c r="M47" s="551"/>
      <c r="N47" s="551"/>
      <c r="O47" s="551"/>
      <c r="P47" s="551"/>
    </row>
    <row r="48" spans="1:16" x14ac:dyDescent="0.3">
      <c r="A48" s="34">
        <v>40</v>
      </c>
      <c r="D48" s="76"/>
      <c r="K48" s="77"/>
      <c r="L48" s="81"/>
      <c r="M48" s="81"/>
      <c r="N48" s="81"/>
      <c r="O48" s="81"/>
      <c r="P48" s="81"/>
    </row>
    <row r="49" spans="1:16" x14ac:dyDescent="0.3">
      <c r="A49" s="34">
        <v>41</v>
      </c>
      <c r="I49" s="82"/>
      <c r="K49" s="77">
        <v>-54955983.910000004</v>
      </c>
      <c r="L49" s="551" t="s">
        <v>221</v>
      </c>
      <c r="M49" s="551"/>
      <c r="N49" s="551"/>
      <c r="O49" s="551"/>
      <c r="P49" s="551"/>
    </row>
    <row r="50" spans="1:16" x14ac:dyDescent="0.3">
      <c r="A50" s="34">
        <v>42</v>
      </c>
      <c r="K50" s="77">
        <v>102287066.92</v>
      </c>
      <c r="L50" s="551" t="s">
        <v>222</v>
      </c>
      <c r="M50" s="551"/>
      <c r="N50" s="551"/>
      <c r="O50" s="551"/>
      <c r="P50" s="551"/>
    </row>
    <row r="51" spans="1:16" x14ac:dyDescent="0.3">
      <c r="A51" s="34">
        <v>43</v>
      </c>
      <c r="K51" s="77">
        <v>17088658.920000002</v>
      </c>
      <c r="L51" s="551" t="s">
        <v>223</v>
      </c>
      <c r="M51" s="551"/>
      <c r="N51" s="551"/>
      <c r="O51" s="551"/>
      <c r="P51" s="551"/>
    </row>
    <row r="52" spans="1:16" x14ac:dyDescent="0.3">
      <c r="A52" s="34">
        <v>44</v>
      </c>
      <c r="K52" s="77">
        <v>-6318302.8499999996</v>
      </c>
      <c r="L52" s="551" t="s">
        <v>224</v>
      </c>
      <c r="M52" s="551"/>
      <c r="N52" s="551"/>
      <c r="O52" s="551"/>
      <c r="P52" s="551"/>
    </row>
    <row r="53" spans="1:16" x14ac:dyDescent="0.3">
      <c r="A53" s="34">
        <v>45</v>
      </c>
      <c r="K53" s="77">
        <v>-257285.07999999996</v>
      </c>
      <c r="L53" s="551" t="s">
        <v>225</v>
      </c>
      <c r="M53" s="551"/>
      <c r="N53" s="551"/>
      <c r="O53" s="551"/>
      <c r="P53" s="551"/>
    </row>
    <row r="54" spans="1:16" x14ac:dyDescent="0.3">
      <c r="A54" s="34">
        <v>46</v>
      </c>
      <c r="K54" s="77">
        <v>4599593.6399999997</v>
      </c>
      <c r="L54" s="551" t="s">
        <v>226</v>
      </c>
      <c r="M54" s="551"/>
      <c r="N54" s="551"/>
      <c r="O54" s="551"/>
      <c r="P54" s="551"/>
    </row>
    <row r="55" spans="1:16" x14ac:dyDescent="0.3">
      <c r="A55" s="34">
        <v>47</v>
      </c>
      <c r="K55" s="77">
        <v>-2081681.16</v>
      </c>
      <c r="L55" s="551" t="s">
        <v>227</v>
      </c>
      <c r="M55" s="551"/>
      <c r="N55" s="551"/>
      <c r="O55" s="551"/>
      <c r="P55" s="551"/>
    </row>
    <row r="56" spans="1:16" x14ac:dyDescent="0.3">
      <c r="A56" s="34">
        <v>48</v>
      </c>
      <c r="K56" s="77">
        <v>-72579362.799999982</v>
      </c>
      <c r="L56" s="551" t="s">
        <v>228</v>
      </c>
      <c r="M56" s="551"/>
      <c r="N56" s="551"/>
      <c r="O56" s="551"/>
      <c r="P56" s="551"/>
    </row>
    <row r="57" spans="1:16" x14ac:dyDescent="0.3">
      <c r="A57" s="34">
        <v>49</v>
      </c>
      <c r="K57" s="77">
        <v>84703827.25</v>
      </c>
      <c r="L57" s="551" t="s">
        <v>229</v>
      </c>
      <c r="M57" s="551"/>
      <c r="N57" s="551"/>
      <c r="O57" s="551"/>
      <c r="P57" s="551"/>
    </row>
    <row r="58" spans="1:16" x14ac:dyDescent="0.3">
      <c r="A58" s="34">
        <v>50</v>
      </c>
      <c r="K58" s="77">
        <v>-29011926</v>
      </c>
      <c r="L58" s="551" t="s">
        <v>230</v>
      </c>
      <c r="M58" s="551"/>
      <c r="N58" s="551"/>
      <c r="O58" s="551"/>
      <c r="P58" s="551"/>
    </row>
    <row r="59" spans="1:16" x14ac:dyDescent="0.3">
      <c r="A59" s="34">
        <v>51</v>
      </c>
      <c r="K59" s="77">
        <v>58785500.5</v>
      </c>
      <c r="L59" s="551" t="s">
        <v>231</v>
      </c>
      <c r="M59" s="551"/>
      <c r="N59" s="551"/>
      <c r="O59" s="551"/>
      <c r="P59" s="551"/>
    </row>
    <row r="60" spans="1:16" x14ac:dyDescent="0.3">
      <c r="A60" s="34">
        <v>52</v>
      </c>
      <c r="K60" s="77">
        <v>29745544</v>
      </c>
      <c r="L60" s="551" t="s">
        <v>232</v>
      </c>
      <c r="M60" s="551"/>
      <c r="N60" s="551"/>
      <c r="O60" s="551"/>
      <c r="P60" s="551"/>
    </row>
    <row r="61" spans="1:16" x14ac:dyDescent="0.3">
      <c r="A61" s="34">
        <v>53</v>
      </c>
      <c r="K61" s="77">
        <v>82720471.5</v>
      </c>
      <c r="L61" s="551" t="s">
        <v>233</v>
      </c>
      <c r="M61" s="551"/>
      <c r="N61" s="551"/>
      <c r="O61" s="551"/>
      <c r="P61" s="551"/>
    </row>
    <row r="62" spans="1:16" x14ac:dyDescent="0.3">
      <c r="A62" s="34">
        <v>54</v>
      </c>
      <c r="K62" s="77">
        <v>1208128.0099999977</v>
      </c>
      <c r="L62" s="551" t="s">
        <v>234</v>
      </c>
      <c r="M62" s="551"/>
      <c r="N62" s="551"/>
      <c r="O62" s="551"/>
      <c r="P62" s="551"/>
    </row>
    <row r="63" spans="1:16" x14ac:dyDescent="0.3">
      <c r="A63" s="34">
        <v>55</v>
      </c>
      <c r="K63" s="83">
        <v>47994</v>
      </c>
      <c r="L63" s="551" t="s">
        <v>235</v>
      </c>
      <c r="M63" s="551"/>
      <c r="N63" s="551"/>
      <c r="O63" s="551"/>
      <c r="P63" s="551"/>
    </row>
    <row r="64" spans="1:16" x14ac:dyDescent="0.3">
      <c r="A64" s="34">
        <v>56</v>
      </c>
      <c r="K64" s="35">
        <v>215982242.94</v>
      </c>
      <c r="L64" s="551" t="s">
        <v>236</v>
      </c>
      <c r="M64" s="551"/>
      <c r="N64" s="551"/>
      <c r="O64" s="551"/>
      <c r="P64" s="551"/>
    </row>
    <row r="65" spans="1:16" x14ac:dyDescent="0.3">
      <c r="A65" s="34">
        <v>57</v>
      </c>
      <c r="D65" s="84"/>
      <c r="K65" s="35">
        <v>1965216266.3299999</v>
      </c>
      <c r="L65" s="551" t="s">
        <v>237</v>
      </c>
      <c r="M65" s="551"/>
      <c r="N65" s="551"/>
      <c r="O65" s="551"/>
      <c r="P65" s="551"/>
    </row>
    <row r="66" spans="1:16" x14ac:dyDescent="0.3">
      <c r="A66" s="34">
        <v>58</v>
      </c>
      <c r="D66" s="84"/>
      <c r="K66" s="35"/>
      <c r="L66" s="551"/>
      <c r="M66" s="551"/>
      <c r="N66" s="551"/>
      <c r="O66" s="551"/>
      <c r="P66" s="551"/>
    </row>
    <row r="67" spans="1:16" x14ac:dyDescent="0.3">
      <c r="A67" s="34">
        <v>59</v>
      </c>
      <c r="D67" s="84"/>
      <c r="K67" s="35">
        <v>-1712791.5287380219</v>
      </c>
      <c r="L67" s="551" t="s">
        <v>238</v>
      </c>
      <c r="M67" s="551"/>
      <c r="N67" s="551"/>
      <c r="O67" s="551"/>
      <c r="P67" s="551"/>
    </row>
    <row r="68" spans="1:16" x14ac:dyDescent="0.3">
      <c r="A68" s="34">
        <v>60</v>
      </c>
      <c r="K68" s="85">
        <v>-7.8525247539769144E-4</v>
      </c>
      <c r="L68" s="552" t="s">
        <v>239</v>
      </c>
      <c r="M68" s="552"/>
      <c r="N68" s="552"/>
      <c r="O68" s="552"/>
      <c r="P68" s="552"/>
    </row>
    <row r="69" spans="1:16" x14ac:dyDescent="0.3">
      <c r="A69" s="553" t="s">
        <v>240</v>
      </c>
      <c r="B69" s="554"/>
      <c r="C69" s="554"/>
      <c r="D69" s="554"/>
      <c r="E69" s="554"/>
      <c r="F69" s="554"/>
      <c r="G69" s="554"/>
      <c r="H69" s="554"/>
      <c r="I69" s="554"/>
      <c r="J69" s="554"/>
      <c r="K69" s="554"/>
      <c r="L69" s="554"/>
      <c r="M69" s="554"/>
      <c r="N69" s="554"/>
      <c r="O69" s="554"/>
      <c r="P69" s="554"/>
    </row>
    <row r="72" spans="1:16" x14ac:dyDescent="0.3">
      <c r="K72" s="80"/>
    </row>
    <row r="73" spans="1:16" x14ac:dyDescent="0.3">
      <c r="K73" s="80"/>
    </row>
    <row r="74" spans="1:16" x14ac:dyDescent="0.3">
      <c r="K74" s="80"/>
    </row>
  </sheetData>
  <mergeCells count="34">
    <mergeCell ref="L66:P66"/>
    <mergeCell ref="L67:P67"/>
    <mergeCell ref="L68:P68"/>
    <mergeCell ref="A69:P69"/>
    <mergeCell ref="L60:P60"/>
    <mergeCell ref="L61:P61"/>
    <mergeCell ref="L62:P62"/>
    <mergeCell ref="L63:P63"/>
    <mergeCell ref="L64:P64"/>
    <mergeCell ref="L65:P65"/>
    <mergeCell ref="L59:P59"/>
    <mergeCell ref="L47:P47"/>
    <mergeCell ref="L49:P49"/>
    <mergeCell ref="L50:P50"/>
    <mergeCell ref="L51:P51"/>
    <mergeCell ref="L52:P52"/>
    <mergeCell ref="L53:P53"/>
    <mergeCell ref="L54:P54"/>
    <mergeCell ref="L55:P55"/>
    <mergeCell ref="L56:P56"/>
    <mergeCell ref="L57:P57"/>
    <mergeCell ref="L58:P58"/>
    <mergeCell ref="B39:C39"/>
    <mergeCell ref="A1:P1"/>
    <mergeCell ref="A2:P2"/>
    <mergeCell ref="A3:P3"/>
    <mergeCell ref="A4:P4"/>
    <mergeCell ref="D6:I6"/>
    <mergeCell ref="K6:P6"/>
    <mergeCell ref="B11:C11"/>
    <mergeCell ref="B18:C18"/>
    <mergeCell ref="B23:C23"/>
    <mergeCell ref="B29:C29"/>
    <mergeCell ref="B35:C35"/>
  </mergeCells>
  <printOptions horizontalCentered="1"/>
  <pageMargins left="0.25" right="0.25" top="0.75" bottom="0.75" header="0.3" footer="0.3"/>
  <pageSetup scale="49" orientation="landscape" r:id="rId1"/>
  <headerFooter>
    <oddFooter>&amp;L&amp;"Times New Roman,Regular"&amp;F
&amp;A&amp;R&amp;"Times New Roman,Regular"Page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41"/>
  <sheetViews>
    <sheetView topLeftCell="A7" zoomScale="90" zoomScaleNormal="90" workbookViewId="0">
      <selection activeCell="M32" sqref="M32"/>
    </sheetView>
  </sheetViews>
  <sheetFormatPr defaultRowHeight="12" x14ac:dyDescent="0.25"/>
  <cols>
    <col min="1" max="1" width="7.6640625" style="434" bestFit="1" customWidth="1"/>
    <col min="2" max="2" width="30" style="434" bestFit="1" customWidth="1"/>
    <col min="3" max="3" width="13.109375" style="434" bestFit="1" customWidth="1"/>
    <col min="4" max="5" width="11.21875" style="434" bestFit="1" customWidth="1"/>
    <col min="6" max="6" width="12.21875" style="434" bestFit="1" customWidth="1"/>
    <col min="7" max="7" width="10.21875" style="434" bestFit="1" customWidth="1"/>
    <col min="8" max="8" width="9" style="434" bestFit="1" customWidth="1"/>
    <col min="9" max="9" width="12" style="434" bestFit="1" customWidth="1"/>
    <col min="10" max="10" width="8.88671875" style="434" bestFit="1" customWidth="1"/>
    <col min="11" max="11" width="11.21875" style="434" bestFit="1" customWidth="1"/>
    <col min="12" max="12" width="3.88671875" style="434" customWidth="1"/>
    <col min="13" max="13" width="11.6640625" style="434" bestFit="1" customWidth="1"/>
    <col min="14" max="14" width="11.109375" style="434" bestFit="1" customWidth="1"/>
    <col min="15" max="15" width="12.21875" style="434" bestFit="1" customWidth="1"/>
    <col min="16" max="16384" width="8.88671875" style="434"/>
  </cols>
  <sheetData>
    <row r="1" spans="1:13" x14ac:dyDescent="0.25">
      <c r="A1" s="557" t="s">
        <v>65</v>
      </c>
      <c r="B1" s="558" t="s">
        <v>729</v>
      </c>
      <c r="C1" s="558"/>
      <c r="D1" s="558"/>
      <c r="E1" s="558"/>
      <c r="F1" s="558"/>
      <c r="G1" s="558"/>
      <c r="H1" s="558"/>
      <c r="I1" s="558"/>
      <c r="J1" s="558"/>
      <c r="K1" s="558"/>
    </row>
    <row r="2" spans="1:13" x14ac:dyDescent="0.25">
      <c r="A2" s="557" t="s">
        <v>163</v>
      </c>
      <c r="B2" s="558" t="s">
        <v>729</v>
      </c>
      <c r="C2" s="558"/>
      <c r="D2" s="558"/>
      <c r="E2" s="558"/>
      <c r="F2" s="558"/>
      <c r="G2" s="558"/>
      <c r="H2" s="558"/>
      <c r="I2" s="558"/>
      <c r="J2" s="558"/>
      <c r="K2" s="558"/>
    </row>
    <row r="3" spans="1:13" x14ac:dyDescent="0.25">
      <c r="A3" s="558" t="s">
        <v>730</v>
      </c>
      <c r="B3" s="558" t="s">
        <v>730</v>
      </c>
      <c r="C3" s="558"/>
      <c r="D3" s="558"/>
      <c r="E3" s="558"/>
      <c r="F3" s="558"/>
      <c r="G3" s="558"/>
      <c r="H3" s="558"/>
      <c r="I3" s="558"/>
      <c r="J3" s="558"/>
      <c r="K3" s="558"/>
    </row>
    <row r="4" spans="1:13" x14ac:dyDescent="0.25">
      <c r="B4" s="435"/>
      <c r="C4" s="435"/>
      <c r="D4" s="435"/>
      <c r="E4" s="435"/>
      <c r="F4" s="435"/>
      <c r="G4" s="435"/>
      <c r="H4" s="435"/>
      <c r="I4" s="435"/>
      <c r="J4" s="435"/>
      <c r="K4" s="435"/>
    </row>
    <row r="5" spans="1:13" ht="60" x14ac:dyDescent="0.25">
      <c r="A5" s="436" t="s">
        <v>166</v>
      </c>
      <c r="B5" s="436" t="s">
        <v>632</v>
      </c>
      <c r="C5" s="436" t="s">
        <v>731</v>
      </c>
      <c r="D5" s="437" t="s">
        <v>732</v>
      </c>
      <c r="E5" s="437" t="s">
        <v>733</v>
      </c>
      <c r="F5" s="437" t="s">
        <v>734</v>
      </c>
      <c r="G5" s="437" t="s">
        <v>735</v>
      </c>
      <c r="H5" s="437" t="s">
        <v>736</v>
      </c>
      <c r="I5" s="437" t="s">
        <v>737</v>
      </c>
      <c r="J5" s="437" t="s">
        <v>738</v>
      </c>
      <c r="K5" s="437" t="s">
        <v>739</v>
      </c>
    </row>
    <row r="6" spans="1:13" x14ac:dyDescent="0.25">
      <c r="A6" s="438"/>
      <c r="B6" s="439"/>
      <c r="C6" s="440"/>
      <c r="D6" s="440" t="s">
        <v>740</v>
      </c>
      <c r="E6" s="440" t="s">
        <v>741</v>
      </c>
      <c r="F6" s="438" t="s">
        <v>742</v>
      </c>
      <c r="G6" s="440" t="s">
        <v>743</v>
      </c>
      <c r="H6" s="438" t="s">
        <v>744</v>
      </c>
      <c r="I6" s="438" t="s">
        <v>745</v>
      </c>
      <c r="J6" s="441" t="s">
        <v>746</v>
      </c>
      <c r="K6" s="441" t="s">
        <v>747</v>
      </c>
    </row>
    <row r="7" spans="1:13" x14ac:dyDescent="0.25">
      <c r="A7" s="438"/>
      <c r="B7" s="439"/>
      <c r="C7" s="440"/>
      <c r="D7" s="440"/>
      <c r="E7" s="440"/>
      <c r="F7" s="438"/>
      <c r="G7" s="440"/>
      <c r="H7" s="438"/>
      <c r="I7" s="438"/>
      <c r="J7" s="438"/>
      <c r="K7" s="438"/>
    </row>
    <row r="8" spans="1:13" x14ac:dyDescent="0.25">
      <c r="A8" s="442">
        <v>1</v>
      </c>
      <c r="B8" s="443" t="s">
        <v>153</v>
      </c>
      <c r="C8" s="444">
        <v>7</v>
      </c>
      <c r="D8" s="445">
        <f>'[3]Exhibit No.__(JAP-Rate Spread)'!D8</f>
        <v>10442426</v>
      </c>
      <c r="E8" s="446">
        <f>'[3]Exhibit No.__(JAP-Rate Spread)'!E8</f>
        <v>1066627</v>
      </c>
      <c r="F8" s="447"/>
      <c r="G8" s="448">
        <f>'[3]Exhibit No.__(JAP-Rate Spread)'!G8</f>
        <v>0.5578244642663629</v>
      </c>
      <c r="H8" s="449">
        <f>'[3]Exhibit No.__(JAP-Rate Spread)'!H8</f>
        <v>1</v>
      </c>
      <c r="I8" s="450">
        <f>'[3]Exhibit No.__(JAP-Rate Spread)'!I8</f>
        <v>1.8815167015235074E-2</v>
      </c>
      <c r="J8" s="451">
        <f>'[3]Exhibit No.__(JAP-Rate Spread)'!J8</f>
        <v>20068.76514795914</v>
      </c>
      <c r="K8" s="451">
        <f>'[3]Exhibit No.__(JAP-Rate Spread)'!K8</f>
        <v>1086695.7651479591</v>
      </c>
      <c r="L8" s="447"/>
      <c r="M8" s="452">
        <f>'[3]Exhibit No.__(JAP-Rate Spread)'!M8</f>
        <v>20068765.147959139</v>
      </c>
    </row>
    <row r="9" spans="1:13" x14ac:dyDescent="0.25">
      <c r="A9" s="442">
        <v>2</v>
      </c>
      <c r="C9" s="444"/>
      <c r="D9" s="453"/>
      <c r="E9" s="454"/>
      <c r="F9" s="447"/>
      <c r="G9" s="455"/>
      <c r="H9" s="447"/>
      <c r="I9" s="447"/>
      <c r="J9" s="456"/>
      <c r="K9" s="456"/>
      <c r="L9" s="447"/>
      <c r="M9" s="452"/>
    </row>
    <row r="10" spans="1:13" x14ac:dyDescent="0.25">
      <c r="A10" s="442">
        <v>3</v>
      </c>
      <c r="B10" s="434" t="s">
        <v>748</v>
      </c>
      <c r="C10" s="444"/>
      <c r="D10" s="453"/>
      <c r="E10" s="454"/>
      <c r="F10" s="447"/>
      <c r="G10" s="455"/>
      <c r="H10" s="447"/>
      <c r="I10" s="447"/>
      <c r="J10" s="456"/>
      <c r="K10" s="456"/>
      <c r="L10" s="447"/>
      <c r="M10" s="452"/>
    </row>
    <row r="11" spans="1:13" x14ac:dyDescent="0.25">
      <c r="A11" s="442">
        <v>4</v>
      </c>
      <c r="B11" s="457" t="s">
        <v>749</v>
      </c>
      <c r="C11" s="458" t="s">
        <v>191</v>
      </c>
      <c r="D11" s="459">
        <f>'[3]Exhibit No.__(JAP-Rate Spread)'!D11</f>
        <v>2787584</v>
      </c>
      <c r="E11" s="454">
        <f>'[3]Exhibit No.__(JAP-Rate Spread)'!E11</f>
        <v>266957</v>
      </c>
      <c r="F11" s="447"/>
      <c r="G11" s="448">
        <f>'[3]Exhibit No.__(JAP-Rate Spread)'!G11</f>
        <v>0.13961314077663084</v>
      </c>
      <c r="H11" s="449">
        <f>'[3]Exhibit No.__(JAP-Rate Spread)'!H11</f>
        <v>0.75</v>
      </c>
      <c r="I11" s="450">
        <f>'[3]Exhibit No.__(JAP-Rate Spread)'!I11</f>
        <v>1.4111375261426307E-2</v>
      </c>
      <c r="J11" s="456">
        <f>'[3]Exhibit No.__(JAP-Rate Spread)'!J11</f>
        <v>3767.1304056645827</v>
      </c>
      <c r="K11" s="456">
        <f>'[3]Exhibit No.__(JAP-Rate Spread)'!K11</f>
        <v>270724.13040566456</v>
      </c>
      <c r="L11" s="447"/>
      <c r="M11" s="452">
        <f>'[3]Exhibit No.__(JAP-Rate Spread)'!M11</f>
        <v>3767130.4056645827</v>
      </c>
    </row>
    <row r="12" spans="1:13" x14ac:dyDescent="0.25">
      <c r="A12" s="442">
        <v>5</v>
      </c>
      <c r="B12" s="457" t="s">
        <v>750</v>
      </c>
      <c r="C12" s="458" t="s">
        <v>751</v>
      </c>
      <c r="D12" s="459">
        <f>'[3]Exhibit No.__(JAP-Rate Spread)'!D12</f>
        <v>2853786</v>
      </c>
      <c r="E12" s="454">
        <f>'[3]Exhibit No.__(JAP-Rate Spread)'!E12</f>
        <v>253666.74600000001</v>
      </c>
      <c r="F12" s="447"/>
      <c r="G12" s="448">
        <f>'[3]Exhibit No.__(JAP-Rate Spread)'!G12</f>
        <v>0.13266260528717308</v>
      </c>
      <c r="H12" s="449">
        <f>'[3]Exhibit No.__(JAP-Rate Spread)'!H12</f>
        <v>0.65</v>
      </c>
      <c r="I12" s="450">
        <f>'[3]Exhibit No.__(JAP-Rate Spread)'!I12</f>
        <v>1.2229858559902799E-2</v>
      </c>
      <c r="J12" s="456">
        <f>'[3]Exhibit No.__(JAP-Rate Spread)'!J12</f>
        <v>3102.3084249307894</v>
      </c>
      <c r="K12" s="456">
        <f>'[3]Exhibit No.__(JAP-Rate Spread)'!K12</f>
        <v>256769.0544249308</v>
      </c>
      <c r="L12" s="447"/>
      <c r="M12" s="452">
        <f>'[3]Exhibit No.__(JAP-Rate Spread)'!M12</f>
        <v>3102308.4249307895</v>
      </c>
    </row>
    <row r="13" spans="1:13" x14ac:dyDescent="0.25">
      <c r="A13" s="442">
        <v>6</v>
      </c>
      <c r="B13" s="457" t="s">
        <v>752</v>
      </c>
      <c r="C13" s="458" t="s">
        <v>753</v>
      </c>
      <c r="D13" s="459">
        <f>'[3]Exhibit No.__(JAP-Rate Spread)'!D13</f>
        <v>1892054.7443816457</v>
      </c>
      <c r="E13" s="454">
        <f>'[3]Exhibit No.__(JAP-Rate Spread)'!E13</f>
        <v>153864.55600000001</v>
      </c>
      <c r="F13" s="447"/>
      <c r="G13" s="448">
        <f>'[3]Exhibit No.__(JAP-Rate Spread)'!G13</f>
        <v>8.0468067581527372E-2</v>
      </c>
      <c r="H13" s="449">
        <f>'[3]Exhibit No.__(JAP-Rate Spread)'!H13</f>
        <v>0.65</v>
      </c>
      <c r="I13" s="450">
        <f>'[3]Exhibit No.__(JAP-Rate Spread)'!I13</f>
        <v>1.2229858559902799E-2</v>
      </c>
      <c r="J13" s="456">
        <f>'[3]Exhibit No.__(JAP-Rate Spread)'!J13</f>
        <v>1881.7417572622437</v>
      </c>
      <c r="K13" s="456">
        <f>'[3]Exhibit No.__(JAP-Rate Spread)'!K13</f>
        <v>155746.29775726225</v>
      </c>
      <c r="L13" s="447"/>
      <c r="M13" s="452">
        <f>'[3]Exhibit No.__(JAP-Rate Spread)'!M13</f>
        <v>1881741.7572622437</v>
      </c>
    </row>
    <row r="14" spans="1:13" x14ac:dyDescent="0.25">
      <c r="A14" s="442">
        <v>7</v>
      </c>
      <c r="B14" s="460" t="s">
        <v>200</v>
      </c>
      <c r="C14" s="444"/>
      <c r="D14" s="461">
        <f>'[3]Exhibit No.__(JAP-Rate Spread)'!D14</f>
        <v>7533424.7443816457</v>
      </c>
      <c r="E14" s="446">
        <f>'[3]Exhibit No.__(JAP-Rate Spread)'!E14</f>
        <v>674488.30200000003</v>
      </c>
      <c r="F14" s="447"/>
      <c r="G14" s="455"/>
      <c r="H14" s="447"/>
      <c r="I14" s="447"/>
      <c r="J14" s="451">
        <f>'[3]Exhibit No.__(JAP-Rate Spread)'!J14</f>
        <v>8751.180587857616</v>
      </c>
      <c r="K14" s="451">
        <f>'[3]Exhibit No.__(JAP-Rate Spread)'!K14</f>
        <v>683239.48258785764</v>
      </c>
      <c r="L14" s="447"/>
      <c r="M14" s="452">
        <f>'[3]Exhibit No.__(JAP-Rate Spread)'!M14</f>
        <v>8751180.5878576152</v>
      </c>
    </row>
    <row r="15" spans="1:13" x14ac:dyDescent="0.25">
      <c r="A15" s="442">
        <v>8</v>
      </c>
      <c r="C15" s="444"/>
      <c r="D15" s="462"/>
      <c r="E15" s="454"/>
      <c r="F15" s="447"/>
      <c r="G15" s="455"/>
      <c r="H15" s="447"/>
      <c r="I15" s="447"/>
      <c r="J15" s="456"/>
      <c r="K15" s="456"/>
      <c r="L15" s="447"/>
      <c r="M15" s="452"/>
    </row>
    <row r="16" spans="1:13" x14ac:dyDescent="0.25">
      <c r="A16" s="442">
        <v>9</v>
      </c>
      <c r="B16" s="434" t="s">
        <v>754</v>
      </c>
      <c r="C16" s="444"/>
      <c r="D16" s="462"/>
      <c r="E16" s="454"/>
      <c r="F16" s="447"/>
      <c r="G16" s="455"/>
      <c r="H16" s="447"/>
      <c r="I16" s="447"/>
      <c r="J16" s="456"/>
      <c r="K16" s="456"/>
      <c r="L16" s="447"/>
      <c r="M16" s="452"/>
    </row>
    <row r="17" spans="1:15" x14ac:dyDescent="0.25">
      <c r="A17" s="442">
        <v>10</v>
      </c>
      <c r="B17" s="457" t="s">
        <v>202</v>
      </c>
      <c r="C17" s="458" t="s">
        <v>201</v>
      </c>
      <c r="D17" s="459">
        <f>'[3]Exhibit No.__(JAP-Rate Spread)'!D17</f>
        <v>1284401.5744586966</v>
      </c>
      <c r="E17" s="454">
        <f>'[3]Exhibit No.__(JAP-Rate Spread)'!E17</f>
        <v>102890.712</v>
      </c>
      <c r="F17" s="447"/>
      <c r="G17" s="448">
        <f>'[3]Exhibit No.__(JAP-Rate Spread)'!G17</f>
        <v>5.3809772581590969E-2</v>
      </c>
      <c r="H17" s="449">
        <f>'[3]Exhibit No.__(JAP-Rate Spread)'!H17</f>
        <v>0.65</v>
      </c>
      <c r="I17" s="450">
        <f>'[3]Exhibit No.__(JAP-Rate Spread)'!I17</f>
        <v>1.2229858559902799E-2</v>
      </c>
      <c r="J17" s="456">
        <f>'[3]Exhibit No.__(JAP-Rate Spread)'!J17</f>
        <v>1258.3388548876937</v>
      </c>
      <c r="K17" s="456">
        <f>'[3]Exhibit No.__(JAP-Rate Spread)'!K17</f>
        <v>104149.0508548877</v>
      </c>
      <c r="L17" s="447"/>
      <c r="M17" s="452">
        <f>'[3]Exhibit No.__(JAP-Rate Spread)'!M17</f>
        <v>1258338.8548876937</v>
      </c>
      <c r="N17" s="463"/>
    </row>
    <row r="18" spans="1:15" x14ac:dyDescent="0.25">
      <c r="A18" s="442">
        <v>11</v>
      </c>
      <c r="B18" s="457" t="s">
        <v>771</v>
      </c>
      <c r="C18" s="458">
        <v>35</v>
      </c>
      <c r="D18" s="459">
        <f>'[3]Exhibit No.__(JAP-Rate Spread)'!D18</f>
        <v>4452.6000000000004</v>
      </c>
      <c r="E18" s="454">
        <f>'[3]Exhibit No.__(JAP-Rate Spread)'!E18</f>
        <v>248.215</v>
      </c>
      <c r="F18" s="447"/>
      <c r="G18" s="448">
        <f>'[3]Exhibit No.__(JAP-Rate Spread)'!G18</f>
        <v>1.2981145179887183E-4</v>
      </c>
      <c r="H18" s="449">
        <f>'[3]Exhibit No.__(JAP-Rate Spread)'!H18</f>
        <v>1.5</v>
      </c>
      <c r="I18" s="450">
        <f>'[3]Exhibit No.__(JAP-Rate Spread)'!I18</f>
        <v>2.8222750522852613E-2</v>
      </c>
      <c r="J18" s="456">
        <f>'[3]Exhibit No.__(JAP-Rate Spread)'!J18</f>
        <v>7.0053100210298611</v>
      </c>
      <c r="K18" s="456">
        <f>'[3]Exhibit No.__(JAP-Rate Spread)'!K18</f>
        <v>255.22031002102986</v>
      </c>
      <c r="L18" s="447"/>
      <c r="M18" s="452">
        <f>'[3]Exhibit No.__(JAP-Rate Spread)'!M18</f>
        <v>7005.3100210298608</v>
      </c>
      <c r="N18" s="463"/>
    </row>
    <row r="19" spans="1:15" x14ac:dyDescent="0.25">
      <c r="A19" s="442">
        <v>11</v>
      </c>
      <c r="B19" s="464" t="s">
        <v>755</v>
      </c>
      <c r="C19" s="444">
        <v>43</v>
      </c>
      <c r="D19" s="459">
        <f>'[3]Exhibit No.__(JAP-Rate Spread)'!D19</f>
        <v>119660.40146477679</v>
      </c>
      <c r="E19" s="454">
        <f>'[3]Exhibit No.__(JAP-Rate Spread)'!E19</f>
        <v>10337.824000000001</v>
      </c>
      <c r="F19" s="447"/>
      <c r="G19" s="448">
        <f>'[3]Exhibit No.__(JAP-Rate Spread)'!G19</f>
        <v>5.406473991826523E-3</v>
      </c>
      <c r="H19" s="449">
        <f>'[3]Exhibit No.__(JAP-Rate Spread)'!H19</f>
        <v>1</v>
      </c>
      <c r="I19" s="450">
        <f>'[3]Exhibit No.__(JAP-Rate Spread)'!I19</f>
        <v>1.8815167015235074E-2</v>
      </c>
      <c r="J19" s="456">
        <f>'[3]Exhibit No.__(JAP-Rate Spread)'!J19</f>
        <v>194.50788513410552</v>
      </c>
      <c r="K19" s="456">
        <f>'[3]Exhibit No.__(JAP-Rate Spread)'!K19</f>
        <v>10532.331885134106</v>
      </c>
      <c r="L19" s="447"/>
      <c r="M19" s="452">
        <f>'[3]Exhibit No.__(JAP-Rate Spread)'!M19</f>
        <v>194507.88513410551</v>
      </c>
    </row>
    <row r="20" spans="1:15" x14ac:dyDescent="0.25">
      <c r="A20" s="442">
        <v>12</v>
      </c>
      <c r="B20" s="443" t="s">
        <v>204</v>
      </c>
      <c r="C20" s="444"/>
      <c r="D20" s="461">
        <f>'[3]Exhibit No.__(JAP-Rate Spread)'!D20</f>
        <v>1408514.5759234736</v>
      </c>
      <c r="E20" s="446">
        <f>'[3]Exhibit No.__(JAP-Rate Spread)'!E20</f>
        <v>113476.75099999999</v>
      </c>
      <c r="F20" s="447"/>
      <c r="G20" s="455"/>
      <c r="H20" s="447"/>
      <c r="I20" s="447"/>
      <c r="J20" s="451">
        <f>'[3]Exhibit No.__(JAP-Rate Spread)'!J20</f>
        <v>1459.852050042829</v>
      </c>
      <c r="K20" s="451">
        <f>'[3]Exhibit No.__(JAP-Rate Spread)'!K20</f>
        <v>114936.60305004283</v>
      </c>
      <c r="L20" s="447"/>
      <c r="M20" s="452">
        <f>'[3]Exhibit No.__(JAP-Rate Spread)'!M20</f>
        <v>1459852.050042829</v>
      </c>
    </row>
    <row r="21" spans="1:15" x14ac:dyDescent="0.25">
      <c r="A21" s="442">
        <v>13</v>
      </c>
      <c r="C21" s="444"/>
      <c r="D21" s="465"/>
      <c r="E21" s="466"/>
      <c r="F21" s="447"/>
      <c r="G21" s="467"/>
      <c r="H21" s="447"/>
      <c r="I21" s="447"/>
      <c r="J21" s="447"/>
      <c r="K21" s="447"/>
      <c r="L21" s="447"/>
      <c r="M21" s="452"/>
    </row>
    <row r="22" spans="1:15" x14ac:dyDescent="0.25">
      <c r="A22" s="442">
        <v>14</v>
      </c>
      <c r="B22" s="443" t="s">
        <v>756</v>
      </c>
      <c r="C22" s="444">
        <v>40</v>
      </c>
      <c r="D22" s="468">
        <f>'[3]Exhibit No.__(JAP-Rate Spread)'!D22</f>
        <v>621678.72633913101</v>
      </c>
      <c r="E22" s="446">
        <f>'[3]Exhibit No.__(JAP-Rate Spread)'!E22</f>
        <v>43551.319801261998</v>
      </c>
      <c r="F22" s="447"/>
      <c r="G22" s="455"/>
      <c r="H22" s="447"/>
      <c r="I22" s="450">
        <f>'[3]Exhibit No.__(JAP-Rate Spread)'!I22</f>
        <v>3.5862649075357869E-2</v>
      </c>
      <c r="J22" s="451">
        <f>'[3]Exhibit No.__(JAP-Rate Spread)'!J22</f>
        <v>1561.8656988013433</v>
      </c>
      <c r="K22" s="451">
        <f>'[3]Exhibit No.__(JAP-Rate Spread)'!K22</f>
        <v>45113.185500063344</v>
      </c>
      <c r="L22" s="447"/>
      <c r="M22" s="452">
        <f>'[3]Exhibit No.__(JAP-Rate Spread)'!M22</f>
        <v>1561865.6988013433</v>
      </c>
    </row>
    <row r="23" spans="1:15" x14ac:dyDescent="0.25">
      <c r="A23" s="442">
        <v>15</v>
      </c>
      <c r="C23" s="444"/>
      <c r="D23" s="465"/>
      <c r="E23" s="466"/>
      <c r="F23" s="447"/>
      <c r="G23" s="467"/>
      <c r="H23" s="447"/>
      <c r="I23" s="447"/>
      <c r="J23" s="447"/>
      <c r="K23" s="447"/>
      <c r="L23" s="447"/>
      <c r="M23" s="452"/>
    </row>
    <row r="24" spans="1:15" x14ac:dyDescent="0.25">
      <c r="A24" s="442">
        <v>16</v>
      </c>
      <c r="B24" s="460" t="s">
        <v>207</v>
      </c>
      <c r="C24" s="444" t="s">
        <v>429</v>
      </c>
      <c r="D24" s="468">
        <f>'[3]Exhibit No.__(JAP-Rate Spread)'!D24</f>
        <v>632259.21669800009</v>
      </c>
      <c r="E24" s="446">
        <f>'[3]Exhibit No.__(JAP-Rate Spread)'!E24</f>
        <v>40360.090000000004</v>
      </c>
      <c r="F24" s="447"/>
      <c r="G24" s="448">
        <f>'[3]Exhibit No.__(JAP-Rate Spread)'!G24</f>
        <v>2.110751516883802E-2</v>
      </c>
      <c r="H24" s="449">
        <f>'[3]Exhibit No.__(JAP-Rate Spread)'!H24</f>
        <v>0.65</v>
      </c>
      <c r="I24" s="450">
        <f>'[3]Exhibit No.__(JAP-Rate Spread)'!I24</f>
        <v>1.2229858559902799E-2</v>
      </c>
      <c r="J24" s="451">
        <f>'[3]Exhibit No.__(JAP-Rate Spread)'!J24</f>
        <v>493.59819216494742</v>
      </c>
      <c r="K24" s="451">
        <f>'[3]Exhibit No.__(JAP-Rate Spread)'!K24</f>
        <v>40853.688192164955</v>
      </c>
      <c r="L24" s="447"/>
      <c r="M24" s="452">
        <f>'[3]Exhibit No.__(JAP-Rate Spread)'!M24</f>
        <v>493598.1921649474</v>
      </c>
    </row>
    <row r="25" spans="1:15" x14ac:dyDescent="0.25">
      <c r="A25" s="442">
        <v>17</v>
      </c>
      <c r="C25" s="444"/>
      <c r="D25" s="465"/>
      <c r="E25" s="466"/>
      <c r="F25" s="447"/>
      <c r="G25" s="467"/>
      <c r="H25" s="447"/>
      <c r="I25" s="447"/>
      <c r="J25" s="469"/>
      <c r="K25" s="469"/>
      <c r="L25" s="447"/>
      <c r="M25" s="452"/>
    </row>
    <row r="26" spans="1:15" x14ac:dyDescent="0.25">
      <c r="A26" s="442">
        <v>18</v>
      </c>
      <c r="B26" s="443" t="s">
        <v>757</v>
      </c>
      <c r="C26" s="458" t="s">
        <v>209</v>
      </c>
      <c r="D26" s="468">
        <f>'[3]Exhibit No.__(JAP-Rate Spread)'!D26</f>
        <v>2098103.6366259996</v>
      </c>
      <c r="E26" s="446">
        <f>'[3]Exhibit No.__(JAP-Rate Spread)'!E26</f>
        <v>7513.2849999999999</v>
      </c>
      <c r="F26" s="447"/>
      <c r="G26" s="448"/>
      <c r="H26" s="449"/>
      <c r="I26" s="450">
        <f>'[3]Exhibit No.__(JAP-Rate Spread)'!I26</f>
        <v>5.922509261927373E-2</v>
      </c>
      <c r="J26" s="451">
        <f>'[3]Exhibit No.__(JAP-Rate Spread)'!J26</f>
        <v>444.97500000000002</v>
      </c>
      <c r="K26" s="451">
        <f>'[3]Exhibit No.__(JAP-Rate Spread)'!K26</f>
        <v>7958.26</v>
      </c>
      <c r="L26" s="447"/>
      <c r="M26" s="452">
        <f>'[3]Exhibit No.__(JAP-Rate Spread)'!M26</f>
        <v>444975</v>
      </c>
    </row>
    <row r="27" spans="1:15" x14ac:dyDescent="0.25">
      <c r="A27" s="442">
        <v>19</v>
      </c>
      <c r="C27" s="444"/>
      <c r="D27" s="465"/>
      <c r="E27" s="466"/>
      <c r="F27" s="447"/>
      <c r="G27" s="467"/>
      <c r="H27" s="447"/>
      <c r="I27" s="447"/>
      <c r="J27" s="447"/>
      <c r="K27" s="447"/>
      <c r="L27" s="447"/>
      <c r="M27" s="452"/>
    </row>
    <row r="28" spans="1:15" x14ac:dyDescent="0.25">
      <c r="A28" s="442">
        <v>20</v>
      </c>
      <c r="B28" s="434" t="s">
        <v>432</v>
      </c>
      <c r="C28" s="444" t="s">
        <v>208</v>
      </c>
      <c r="D28" s="468">
        <f>'[3]Exhibit No.__(JAP-Rate Spread)'!D28</f>
        <v>77972349.305999994</v>
      </c>
      <c r="E28" s="446">
        <f>'[3]Exhibit No.__(JAP-Rate Spread)'!E28</f>
        <v>17167.293000000001</v>
      </c>
      <c r="F28" s="447"/>
      <c r="G28" s="448">
        <f>'[3]Exhibit No.__(JAP-Rate Spread)'!G28</f>
        <v>8.9781488942513935E-3</v>
      </c>
      <c r="H28" s="449">
        <f>'[3]Exhibit No.__(JAP-Rate Spread)'!H28</f>
        <v>1</v>
      </c>
      <c r="I28" s="450">
        <f>'[3]Exhibit No.__(JAP-Rate Spread)'!I28</f>
        <v>1.8815167015235074E-2</v>
      </c>
      <c r="J28" s="451">
        <f>'[3]Exhibit No.__(JAP-Rate Spread)'!J28</f>
        <v>323.00548499447603</v>
      </c>
      <c r="K28" s="451">
        <f>'[3]Exhibit No.__(JAP-Rate Spread)'!K28</f>
        <v>17490.298484994477</v>
      </c>
      <c r="L28" s="447"/>
      <c r="M28" s="452">
        <f>'[3]Exhibit No.__(JAP-Rate Spread)'!M28</f>
        <v>323005.48499447602</v>
      </c>
      <c r="N28" s="466"/>
      <c r="O28" s="466"/>
    </row>
    <row r="29" spans="1:15" x14ac:dyDescent="0.25">
      <c r="A29" s="442">
        <v>21</v>
      </c>
      <c r="C29" s="444"/>
      <c r="D29" s="470"/>
      <c r="E29" s="466"/>
      <c r="F29" s="447"/>
      <c r="G29" s="452"/>
      <c r="H29" s="447"/>
      <c r="I29" s="447"/>
      <c r="J29" s="447"/>
      <c r="K29" s="447"/>
      <c r="L29" s="447"/>
      <c r="M29" s="452"/>
    </row>
    <row r="30" spans="1:15" ht="12.6" thickBot="1" x14ac:dyDescent="0.3">
      <c r="A30" s="442">
        <v>22</v>
      </c>
      <c r="B30" s="460" t="s">
        <v>758</v>
      </c>
      <c r="C30" s="444"/>
      <c r="D30" s="471">
        <f>'[3]Exhibit No.__(JAP-Rate Spread)'!D30</f>
        <v>100708756.20596826</v>
      </c>
      <c r="E30" s="472">
        <f>'[3]Exhibit No.__(JAP-Rate Spread)'!E30</f>
        <v>1963184.040801262</v>
      </c>
      <c r="F30" s="447"/>
      <c r="G30" s="447"/>
      <c r="H30" s="447"/>
      <c r="I30" s="450">
        <f>'[3]Exhibit No.__(JAP-Rate Spread)'!I30</f>
        <v>1.6862016741084274E-2</v>
      </c>
      <c r="J30" s="473">
        <f>'[3]Exhibit No.__(JAP-Rate Spread)'!J30</f>
        <v>33103.242161820352</v>
      </c>
      <c r="K30" s="473">
        <f>'[3]Exhibit No.__(JAP-Rate Spread)'!K30</f>
        <v>1996287.2829630824</v>
      </c>
      <c r="L30" s="447"/>
      <c r="M30" s="452">
        <f>'[3]Exhibit No.__(JAP-Rate Spread)'!M30</f>
        <v>33103242.161820352</v>
      </c>
    </row>
    <row r="31" spans="1:15" ht="12.6" thickTop="1" x14ac:dyDescent="0.25">
      <c r="A31" s="442">
        <v>23</v>
      </c>
      <c r="C31" s="444"/>
      <c r="D31" s="465"/>
      <c r="E31" s="466"/>
      <c r="F31" s="447"/>
      <c r="G31" s="467"/>
      <c r="H31" s="447"/>
      <c r="I31" s="447"/>
      <c r="J31" s="469"/>
      <c r="K31" s="469"/>
      <c r="L31" s="447"/>
      <c r="M31" s="452"/>
    </row>
    <row r="32" spans="1:15" x14ac:dyDescent="0.25">
      <c r="A32" s="442">
        <v>24</v>
      </c>
      <c r="B32" s="460" t="s">
        <v>23</v>
      </c>
      <c r="C32" s="458"/>
      <c r="D32" s="468">
        <f>'[3]Exhibit No.__(JAP-Rate Spread)'!D32</f>
        <v>6929.8034221808284</v>
      </c>
      <c r="E32" s="446">
        <f>'[3]Exhibit No.__(JAP-Rate Spread)'!E32</f>
        <v>316.39299999999997</v>
      </c>
      <c r="F32" s="447"/>
      <c r="G32" s="448"/>
      <c r="H32" s="450"/>
      <c r="I32" s="450">
        <f>'[3]Exhibit No.__(JAP-Rate Spread)'!I32</f>
        <v>1.1632553127902472</v>
      </c>
      <c r="J32" s="451">
        <f>'[3]Exhibit No.__(JAP-Rate Spread)'!J32</f>
        <v>368.04583817964465</v>
      </c>
      <c r="K32" s="451">
        <f>'[3]Exhibit No.__(JAP-Rate Spread)'!K32</f>
        <v>684.43883817964456</v>
      </c>
      <c r="L32" s="447"/>
      <c r="M32" s="452">
        <f>'[3]Exhibit No.__(JAP-Rate Spread)'!M32</f>
        <v>368045.83817964466</v>
      </c>
    </row>
    <row r="33" spans="1:13" x14ac:dyDescent="0.25">
      <c r="A33" s="442">
        <v>25</v>
      </c>
      <c r="C33" s="444"/>
      <c r="D33" s="470"/>
      <c r="E33" s="466"/>
      <c r="F33" s="447"/>
      <c r="G33" s="452"/>
      <c r="H33" s="447"/>
      <c r="I33" s="447"/>
      <c r="J33" s="447"/>
      <c r="K33" s="447"/>
      <c r="L33" s="447"/>
      <c r="M33" s="452"/>
    </row>
    <row r="34" spans="1:13" ht="12.6" thickBot="1" x14ac:dyDescent="0.3">
      <c r="A34" s="442">
        <v>26</v>
      </c>
      <c r="B34" s="434" t="s">
        <v>759</v>
      </c>
      <c r="C34" s="444"/>
      <c r="D34" s="471">
        <f>'[3]Exhibit No.__(JAP-Rate Spread)'!D34</f>
        <v>100715686.00939044</v>
      </c>
      <c r="E34" s="472">
        <f>'[3]Exhibit No.__(JAP-Rate Spread)'!E34</f>
        <v>1963500.4338012619</v>
      </c>
      <c r="F34" s="473">
        <f>'[3]Exhibit No.__(JAP-Rate Spread)'!F34</f>
        <v>33471288</v>
      </c>
      <c r="G34" s="474">
        <f>'[3]Exhibit No.__(JAP-Rate Spread)'!G34</f>
        <v>1</v>
      </c>
      <c r="H34" s="447"/>
      <c r="I34" s="474">
        <f>'[3]Exhibit No.__(JAP-Rate Spread)'!I34</f>
        <v>1.7046743369035507E-2</v>
      </c>
      <c r="J34" s="473">
        <f>'[3]Exhibit No.__(JAP-Rate Spread)'!J34</f>
        <v>33471.287999999993</v>
      </c>
      <c r="K34" s="473">
        <f>'[3]Exhibit No.__(JAP-Rate Spread)'!K34</f>
        <v>1996971.7218012621</v>
      </c>
      <c r="L34" s="447"/>
      <c r="M34" s="452">
        <f>'[3]Exhibit No.__(JAP-Rate Spread)'!M34</f>
        <v>33471287.999999993</v>
      </c>
    </row>
    <row r="35" spans="1:13" ht="12.6" thickTop="1" x14ac:dyDescent="0.25">
      <c r="A35" s="442">
        <f t="shared" ref="A35:A40" si="0">+A34+1</f>
        <v>27</v>
      </c>
      <c r="C35" s="444"/>
      <c r="D35" s="453"/>
      <c r="E35" s="454"/>
      <c r="F35" s="454"/>
      <c r="G35" s="475"/>
      <c r="H35" s="454"/>
      <c r="I35" s="475"/>
      <c r="J35" s="476"/>
      <c r="K35" s="454"/>
    </row>
    <row r="36" spans="1:13" ht="12.6" thickBot="1" x14ac:dyDescent="0.3">
      <c r="A36" s="442">
        <f t="shared" si="0"/>
        <v>28</v>
      </c>
      <c r="C36" s="444"/>
      <c r="D36" s="444"/>
      <c r="J36" s="477"/>
      <c r="K36" s="477"/>
    </row>
    <row r="37" spans="1:13" x14ac:dyDescent="0.25">
      <c r="A37" s="442">
        <f t="shared" si="0"/>
        <v>29</v>
      </c>
      <c r="B37" s="559" t="s">
        <v>760</v>
      </c>
      <c r="C37" s="560"/>
      <c r="D37" s="560"/>
      <c r="E37" s="560"/>
      <c r="F37" s="478">
        <f>'[3]Exhibit No.__(JAP-Rate Spread)'!F37</f>
        <v>1</v>
      </c>
      <c r="G37" s="531"/>
      <c r="H37" s="478"/>
      <c r="I37" s="479">
        <f>'[3]Exhibit No.__(JAP-Rate Spread)'!I37</f>
        <v>1.7046743369035507E-2</v>
      </c>
    </row>
    <row r="38" spans="1:13" x14ac:dyDescent="0.25">
      <c r="A38" s="442">
        <f t="shared" si="0"/>
        <v>30</v>
      </c>
      <c r="B38" s="561" t="s">
        <v>761</v>
      </c>
      <c r="C38" s="562"/>
      <c r="D38" s="562"/>
      <c r="E38" s="562"/>
      <c r="F38" s="532"/>
      <c r="G38" s="532"/>
      <c r="H38" s="532"/>
      <c r="I38" s="480">
        <f>'[3]Exhibit No.__(JAP-Rate Spread)'!I38</f>
        <v>1.6262792416393286E-2</v>
      </c>
      <c r="K38" s="477"/>
    </row>
    <row r="39" spans="1:13" x14ac:dyDescent="0.25">
      <c r="A39" s="442">
        <f t="shared" si="0"/>
        <v>31</v>
      </c>
      <c r="B39" s="563" t="s">
        <v>762</v>
      </c>
      <c r="C39" s="564"/>
      <c r="D39" s="564"/>
      <c r="E39" s="564"/>
      <c r="F39" s="532"/>
      <c r="G39" s="532"/>
      <c r="H39" s="532"/>
      <c r="I39" s="533">
        <f>'[3]Exhibit No.__(JAP-Rate Spread)'!I39</f>
        <v>1.1569456544417878</v>
      </c>
      <c r="K39" s="477"/>
    </row>
    <row r="40" spans="1:13" ht="12.6" thickBot="1" x14ac:dyDescent="0.3">
      <c r="A40" s="442">
        <f t="shared" si="0"/>
        <v>32</v>
      </c>
      <c r="B40" s="555" t="s">
        <v>763</v>
      </c>
      <c r="C40" s="556"/>
      <c r="D40" s="556"/>
      <c r="E40" s="556"/>
      <c r="F40" s="534"/>
      <c r="G40" s="534"/>
      <c r="H40" s="534"/>
      <c r="I40" s="481">
        <f>'[3]Exhibit No.__(JAP-Rate Spread)'!I40</f>
        <v>1.8815167015235074E-2</v>
      </c>
      <c r="K40" s="477"/>
    </row>
    <row r="41" spans="1:13" x14ac:dyDescent="0.25">
      <c r="B41" s="482"/>
      <c r="C41" s="482"/>
      <c r="D41" s="482"/>
      <c r="E41" s="482"/>
      <c r="F41" s="482"/>
      <c r="G41" s="482"/>
    </row>
  </sheetData>
  <mergeCells count="7">
    <mergeCell ref="B40:E40"/>
    <mergeCell ref="A1:K1"/>
    <mergeCell ref="A2:K2"/>
    <mergeCell ref="A3:K3"/>
    <mergeCell ref="B37:E37"/>
    <mergeCell ref="B38:E38"/>
    <mergeCell ref="B39:E39"/>
  </mergeCells>
  <printOptions horizontalCentered="1"/>
  <pageMargins left="0.25" right="0.25" top="0.75" bottom="0.75" header="0.3" footer="0.3"/>
  <pageSetup scale="52" orientation="landscape" r:id="rId1"/>
  <headerFooter>
    <oddFooter>&amp;L&amp;"Times New Roman,Regular"&amp;F
&amp;A&amp;R&amp;"Times New Roman,Regular"Page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workbookViewId="0">
      <selection activeCell="J21" sqref="J21"/>
    </sheetView>
  </sheetViews>
  <sheetFormatPr defaultRowHeight="14.4" x14ac:dyDescent="0.3"/>
  <cols>
    <col min="1" max="1" width="19.5546875" style="1" bestFit="1" customWidth="1"/>
    <col min="2" max="2" width="2.77734375" style="1" customWidth="1"/>
    <col min="3" max="3" width="12" style="1" bestFit="1" customWidth="1"/>
    <col min="4" max="4" width="13.5546875" style="1" bestFit="1" customWidth="1"/>
    <col min="5" max="5" width="12" style="1" bestFit="1" customWidth="1"/>
    <col min="6" max="6" width="13.5546875" style="1" bestFit="1" customWidth="1"/>
    <col min="7" max="7" width="2.77734375" style="1" customWidth="1"/>
    <col min="8" max="8" width="12" style="1" bestFit="1" customWidth="1"/>
    <col min="9" max="9" width="13.5546875" style="1" bestFit="1" customWidth="1"/>
    <col min="10" max="11" width="10.6640625" style="1" bestFit="1" customWidth="1"/>
    <col min="12" max="12" width="10.109375" style="1" bestFit="1" customWidth="1"/>
    <col min="13" max="13" width="11.5546875" style="1" bestFit="1" customWidth="1"/>
    <col min="14" max="14" width="11" style="1" bestFit="1" customWidth="1"/>
    <col min="15" max="16384" width="8.88671875" style="1"/>
  </cols>
  <sheetData>
    <row r="1" spans="1:14" x14ac:dyDescent="0.3">
      <c r="A1" s="565" t="s">
        <v>65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65"/>
      <c r="M1" s="565"/>
      <c r="N1" s="565"/>
    </row>
    <row r="2" spans="1:14" x14ac:dyDescent="0.3">
      <c r="A2" s="565" t="s">
        <v>163</v>
      </c>
      <c r="B2" s="565"/>
      <c r="C2" s="565"/>
      <c r="D2" s="565"/>
      <c r="E2" s="565"/>
      <c r="F2" s="565"/>
      <c r="G2" s="565"/>
      <c r="H2" s="565"/>
      <c r="I2" s="565"/>
      <c r="J2" s="565"/>
      <c r="K2" s="565"/>
      <c r="L2" s="565"/>
      <c r="M2" s="565"/>
      <c r="N2" s="565"/>
    </row>
    <row r="3" spans="1:14" x14ac:dyDescent="0.3">
      <c r="A3" s="566" t="s">
        <v>719</v>
      </c>
      <c r="B3" s="565"/>
      <c r="C3" s="565"/>
      <c r="D3" s="565"/>
      <c r="E3" s="565"/>
      <c r="F3" s="565"/>
      <c r="G3" s="565"/>
      <c r="H3" s="565"/>
      <c r="I3" s="565"/>
      <c r="J3" s="565"/>
      <c r="K3" s="565"/>
      <c r="L3" s="565"/>
      <c r="M3" s="565"/>
      <c r="N3" s="565"/>
    </row>
    <row r="4" spans="1:14" x14ac:dyDescent="0.3">
      <c r="A4" s="565"/>
      <c r="B4" s="565"/>
      <c r="C4" s="565"/>
      <c r="D4" s="565"/>
      <c r="E4" s="565"/>
      <c r="F4" s="565"/>
      <c r="G4" s="565"/>
      <c r="H4" s="565"/>
      <c r="I4" s="565"/>
      <c r="J4" s="565"/>
      <c r="K4" s="565"/>
      <c r="L4" s="565"/>
      <c r="M4" s="565"/>
      <c r="N4" s="565"/>
    </row>
    <row r="5" spans="1:14" x14ac:dyDescent="0.3">
      <c r="A5" s="413"/>
      <c r="B5" s="413"/>
      <c r="C5" s="413"/>
      <c r="D5" s="413"/>
      <c r="E5" s="413"/>
      <c r="F5" s="413"/>
      <c r="G5" s="413"/>
      <c r="H5" s="413"/>
      <c r="I5" s="413"/>
      <c r="J5" s="413"/>
      <c r="K5" s="413"/>
      <c r="L5" s="413"/>
      <c r="M5" s="413"/>
      <c r="N5" s="413"/>
    </row>
    <row r="6" spans="1:14" ht="43.2" x14ac:dyDescent="0.3">
      <c r="A6" s="416"/>
      <c r="B6" s="416"/>
      <c r="C6" s="392" t="s">
        <v>451</v>
      </c>
      <c r="D6" s="392" t="s">
        <v>452</v>
      </c>
      <c r="E6" s="392" t="s">
        <v>453</v>
      </c>
      <c r="F6" s="392" t="s">
        <v>25</v>
      </c>
      <c r="G6" s="392"/>
      <c r="H6" s="392" t="s">
        <v>454</v>
      </c>
      <c r="I6" s="392" t="s">
        <v>455</v>
      </c>
      <c r="J6" s="392" t="s">
        <v>456</v>
      </c>
      <c r="K6" s="392" t="s">
        <v>457</v>
      </c>
      <c r="L6" s="392" t="s">
        <v>458</v>
      </c>
      <c r="M6" s="392" t="s">
        <v>459</v>
      </c>
      <c r="N6" s="392" t="s">
        <v>20</v>
      </c>
    </row>
    <row r="7" spans="1:14" x14ac:dyDescent="0.3">
      <c r="A7" s="1" t="s">
        <v>460</v>
      </c>
      <c r="C7" s="417">
        <v>24</v>
      </c>
      <c r="D7" s="417">
        <v>168</v>
      </c>
      <c r="E7" s="417">
        <v>48</v>
      </c>
      <c r="F7" s="417">
        <v>240</v>
      </c>
      <c r="G7" s="417"/>
      <c r="H7" s="417">
        <v>24</v>
      </c>
      <c r="I7" s="417">
        <v>216</v>
      </c>
      <c r="J7" s="418">
        <v>995</v>
      </c>
      <c r="K7" s="418">
        <v>995</v>
      </c>
      <c r="L7" s="77">
        <v>23880</v>
      </c>
      <c r="M7" s="77">
        <v>214920</v>
      </c>
      <c r="N7" s="390">
        <v>238800</v>
      </c>
    </row>
    <row r="8" spans="1:14" x14ac:dyDescent="0.3">
      <c r="A8" s="117" t="s">
        <v>461</v>
      </c>
      <c r="C8" s="417">
        <v>104796913</v>
      </c>
      <c r="D8" s="417">
        <v>1727478281</v>
      </c>
      <c r="E8" s="417">
        <v>277709750</v>
      </c>
      <c r="F8" s="417">
        <v>2109984944</v>
      </c>
      <c r="G8" s="417"/>
      <c r="H8" s="417">
        <v>104796913</v>
      </c>
      <c r="I8" s="417">
        <v>2005188031</v>
      </c>
      <c r="L8" s="77">
        <v>0</v>
      </c>
      <c r="M8" s="77">
        <v>0</v>
      </c>
      <c r="N8" s="390">
        <v>0</v>
      </c>
    </row>
    <row r="9" spans="1:14" x14ac:dyDescent="0.3">
      <c r="A9" s="117" t="s">
        <v>462</v>
      </c>
      <c r="C9" s="417">
        <v>-590109</v>
      </c>
      <c r="D9" s="417">
        <v>-9727384</v>
      </c>
      <c r="E9" s="417">
        <v>-1563776</v>
      </c>
      <c r="F9" s="417">
        <v>-11881269</v>
      </c>
      <c r="G9" s="417"/>
      <c r="H9" s="417">
        <v>-590109</v>
      </c>
      <c r="I9" s="417">
        <v>-11291160</v>
      </c>
      <c r="J9" s="419">
        <v>3.581E-3</v>
      </c>
      <c r="K9" s="420">
        <v>3.581E-3</v>
      </c>
      <c r="L9" s="77">
        <v>-2113</v>
      </c>
      <c r="M9" s="77">
        <v>-40434</v>
      </c>
      <c r="N9" s="390">
        <v>-42547</v>
      </c>
    </row>
    <row r="10" spans="1:14" x14ac:dyDescent="0.3">
      <c r="A10" s="117" t="s">
        <v>463</v>
      </c>
      <c r="C10" s="417">
        <v>104206804</v>
      </c>
      <c r="D10" s="417">
        <v>1717750897</v>
      </c>
      <c r="E10" s="417">
        <v>276145974</v>
      </c>
      <c r="F10" s="417">
        <v>2098103675</v>
      </c>
      <c r="G10" s="417"/>
      <c r="H10" s="417">
        <v>104206804</v>
      </c>
      <c r="I10" s="417">
        <v>1993896871</v>
      </c>
      <c r="L10" s="77">
        <v>0</v>
      </c>
      <c r="M10" s="77">
        <v>0</v>
      </c>
      <c r="N10" s="390">
        <v>0</v>
      </c>
    </row>
    <row r="11" spans="1:14" x14ac:dyDescent="0.3">
      <c r="A11" s="1" t="s">
        <v>464</v>
      </c>
      <c r="C11" s="417">
        <v>183378</v>
      </c>
      <c r="D11" s="417">
        <v>2964999</v>
      </c>
      <c r="E11" s="417">
        <v>497663</v>
      </c>
      <c r="F11" s="417">
        <v>3646040</v>
      </c>
      <c r="G11" s="417"/>
      <c r="H11" s="417">
        <v>183378</v>
      </c>
      <c r="I11" s="417">
        <v>3462662</v>
      </c>
      <c r="J11" s="421">
        <v>1.298</v>
      </c>
      <c r="K11" s="421">
        <v>-0.12</v>
      </c>
      <c r="L11" s="77">
        <v>238025</v>
      </c>
      <c r="M11" s="77">
        <v>-415526</v>
      </c>
      <c r="N11" s="390">
        <v>-177501</v>
      </c>
    </row>
    <row r="12" spans="1:14" x14ac:dyDescent="0.3">
      <c r="A12" s="1" t="s">
        <v>465</v>
      </c>
      <c r="C12" s="77">
        <v>339573</v>
      </c>
      <c r="D12" s="77">
        <v>6476265</v>
      </c>
      <c r="E12" s="77">
        <v>678689</v>
      </c>
      <c r="F12" s="77">
        <v>7494526.879999999</v>
      </c>
      <c r="G12" s="417"/>
      <c r="H12" s="77">
        <v>339573</v>
      </c>
      <c r="I12" s="77">
        <v>7154954</v>
      </c>
      <c r="J12" s="390"/>
      <c r="K12" s="390"/>
      <c r="L12" s="77">
        <v>339573</v>
      </c>
      <c r="M12" s="77">
        <v>7154954</v>
      </c>
      <c r="N12" s="390">
        <v>7494527</v>
      </c>
    </row>
    <row r="13" spans="1:14" x14ac:dyDescent="0.3">
      <c r="A13" s="378" t="s">
        <v>466</v>
      </c>
      <c r="C13" s="77"/>
      <c r="D13" s="77"/>
      <c r="E13" s="77"/>
      <c r="F13" s="77"/>
      <c r="G13" s="417"/>
      <c r="H13" s="77"/>
      <c r="I13" s="77"/>
      <c r="J13" s="390"/>
      <c r="L13" s="390">
        <v>599365</v>
      </c>
      <c r="M13" s="390">
        <v>6913914</v>
      </c>
      <c r="N13" s="390">
        <v>7513279</v>
      </c>
    </row>
    <row r="14" spans="1:14" x14ac:dyDescent="0.3">
      <c r="C14" s="77"/>
      <c r="D14" s="77"/>
      <c r="E14" s="77"/>
      <c r="F14" s="77"/>
      <c r="G14" s="417"/>
      <c r="H14" s="77"/>
      <c r="I14" s="77"/>
      <c r="J14" s="390"/>
    </row>
    <row r="15" spans="1:14" x14ac:dyDescent="0.3">
      <c r="C15" s="77"/>
      <c r="D15" s="77"/>
      <c r="E15" s="77"/>
      <c r="F15" s="77"/>
      <c r="G15" s="417"/>
      <c r="H15" s="77"/>
      <c r="I15" s="77"/>
      <c r="J15" s="390"/>
      <c r="K15" s="1" t="s">
        <v>467</v>
      </c>
      <c r="L15" s="390">
        <v>259792</v>
      </c>
      <c r="M15" s="390">
        <v>-241040</v>
      </c>
      <c r="N15" s="390">
        <v>18752</v>
      </c>
    </row>
    <row r="16" spans="1:14" x14ac:dyDescent="0.3">
      <c r="C16" s="77"/>
      <c r="D16" s="77"/>
      <c r="E16" s="77"/>
      <c r="F16" s="77"/>
      <c r="G16" s="417"/>
      <c r="H16" s="77"/>
      <c r="I16" s="77"/>
      <c r="J16" s="390"/>
      <c r="K16" s="1" t="s">
        <v>468</v>
      </c>
      <c r="L16" s="390">
        <v>339573</v>
      </c>
      <c r="M16" s="390">
        <v>7154954</v>
      </c>
      <c r="N16" s="390">
        <v>7494527</v>
      </c>
    </row>
    <row r="17" spans="1:14" x14ac:dyDescent="0.3">
      <c r="C17" s="77"/>
      <c r="D17" s="77"/>
      <c r="E17" s="77"/>
      <c r="F17" s="77"/>
      <c r="G17" s="417"/>
      <c r="H17" s="77"/>
      <c r="I17" s="77"/>
      <c r="J17" s="390"/>
      <c r="K17" s="117"/>
      <c r="L17" s="422">
        <v>599365</v>
      </c>
      <c r="M17" s="422">
        <v>6913914</v>
      </c>
      <c r="N17" s="422">
        <v>7513279</v>
      </c>
    </row>
    <row r="20" spans="1:14" x14ac:dyDescent="0.3">
      <c r="A20" s="1" t="s">
        <v>764</v>
      </c>
    </row>
    <row r="21" spans="1:14" x14ac:dyDescent="0.3">
      <c r="A21" s="1" t="str">
        <f>+A7</f>
        <v>Basic Charge</v>
      </c>
      <c r="C21" s="389">
        <f>+C7</f>
        <v>24</v>
      </c>
      <c r="D21" s="389">
        <f t="shared" ref="D21:E21" si="0">+D7</f>
        <v>168</v>
      </c>
      <c r="E21" s="389">
        <f t="shared" si="0"/>
        <v>48</v>
      </c>
      <c r="F21" s="417">
        <v>240</v>
      </c>
      <c r="J21" s="418">
        <f>+'[3]Exhibit No.__(JAP-TRANSP RD)'!$G$14</f>
        <v>2120</v>
      </c>
      <c r="K21" s="418">
        <f>+J21</f>
        <v>2120</v>
      </c>
      <c r="L21" s="77">
        <f>+J21*C21</f>
        <v>50880</v>
      </c>
      <c r="M21" s="77">
        <f>SUM(D21:E21)*K21-7</f>
        <v>457913</v>
      </c>
      <c r="N21" s="390">
        <f>SUM(L21:M21)</f>
        <v>508793</v>
      </c>
    </row>
    <row r="22" spans="1:14" x14ac:dyDescent="0.3">
      <c r="A22" s="1" t="str">
        <f t="shared" ref="A22:A24" si="1">+A8</f>
        <v>kWh - Billed</v>
      </c>
      <c r="C22" s="389">
        <f>+C8</f>
        <v>104796913</v>
      </c>
      <c r="D22" s="389">
        <f t="shared" ref="D22:F22" si="2">+D8</f>
        <v>1727478281</v>
      </c>
      <c r="E22" s="389">
        <f t="shared" si="2"/>
        <v>277709750</v>
      </c>
      <c r="F22" s="389">
        <f t="shared" si="2"/>
        <v>2109984944</v>
      </c>
    </row>
    <row r="23" spans="1:14" x14ac:dyDescent="0.3">
      <c r="A23" s="1" t="str">
        <f t="shared" si="1"/>
        <v>kWh - Unbilled Change</v>
      </c>
      <c r="C23" s="389">
        <f t="shared" ref="C23:F23" si="3">+C9</f>
        <v>-590109</v>
      </c>
      <c r="D23" s="389">
        <f t="shared" si="3"/>
        <v>-9727384</v>
      </c>
      <c r="E23" s="389">
        <f t="shared" si="3"/>
        <v>-1563776</v>
      </c>
      <c r="F23" s="389">
        <f t="shared" si="3"/>
        <v>-11881269</v>
      </c>
      <c r="J23" s="1">
        <f>+'[3]Exhibit No.__(JAP-TRANSP RD)'!$G$18</f>
        <v>3.7929999999999999E-3</v>
      </c>
      <c r="K23" s="1">
        <f>+J23</f>
        <v>3.7929999999999999E-3</v>
      </c>
      <c r="L23" s="77">
        <f>+J23*C23</f>
        <v>-2238.283437</v>
      </c>
      <c r="M23" s="77">
        <f>SUM(D23:E23)*K23</f>
        <v>-42827.369879999998</v>
      </c>
      <c r="N23" s="390">
        <f>SUM(L23:M23)</f>
        <v>-45065.653316999997</v>
      </c>
    </row>
    <row r="24" spans="1:14" x14ac:dyDescent="0.3">
      <c r="A24" s="1" t="str">
        <f t="shared" si="1"/>
        <v>Delivered kwh</v>
      </c>
      <c r="C24" s="389">
        <f t="shared" ref="C24:F24" si="4">+C10</f>
        <v>104206804</v>
      </c>
      <c r="D24" s="389">
        <f t="shared" si="4"/>
        <v>1717750897</v>
      </c>
      <c r="E24" s="389">
        <f t="shared" si="4"/>
        <v>276145974</v>
      </c>
      <c r="F24" s="389">
        <f t="shared" si="4"/>
        <v>2098103675</v>
      </c>
      <c r="L24" s="77"/>
      <c r="M24" s="77"/>
      <c r="N24" s="390"/>
    </row>
    <row r="25" spans="1:14" x14ac:dyDescent="0.3">
      <c r="A25" s="1" t="s">
        <v>464</v>
      </c>
      <c r="C25" s="417">
        <v>183378</v>
      </c>
      <c r="D25" s="417">
        <v>2964999</v>
      </c>
      <c r="E25" s="417">
        <v>497663</v>
      </c>
      <c r="F25" s="417">
        <v>3646040</v>
      </c>
      <c r="J25" s="390"/>
      <c r="K25" s="390"/>
    </row>
    <row r="26" spans="1:14" x14ac:dyDescent="0.3">
      <c r="A26" s="1" t="s">
        <v>465</v>
      </c>
      <c r="C26" s="77">
        <v>339573</v>
      </c>
      <c r="D26" s="77">
        <v>6476265</v>
      </c>
      <c r="E26" s="77">
        <v>678689</v>
      </c>
      <c r="F26" s="77">
        <v>7494526.879999999</v>
      </c>
      <c r="L26" s="77">
        <v>339573</v>
      </c>
      <c r="M26" s="77">
        <v>7154954</v>
      </c>
      <c r="N26" s="390">
        <v>7494527</v>
      </c>
    </row>
    <row r="27" spans="1:14" x14ac:dyDescent="0.3">
      <c r="A27" s="378" t="s">
        <v>466</v>
      </c>
      <c r="C27" s="77"/>
      <c r="D27" s="77"/>
      <c r="E27" s="77"/>
      <c r="F27" s="77"/>
      <c r="L27" s="390">
        <f>SUM(L21:L26)</f>
        <v>388214.71656299999</v>
      </c>
      <c r="M27" s="390">
        <f t="shared" ref="M27:N27" si="5">SUM(M21:M26)</f>
        <v>7570039.6301199999</v>
      </c>
      <c r="N27" s="390">
        <f t="shared" si="5"/>
        <v>7958254.3466830002</v>
      </c>
    </row>
    <row r="28" spans="1:14" x14ac:dyDescent="0.3">
      <c r="L28" s="390">
        <f>+L27-L17</f>
        <v>-211150.28343700001</v>
      </c>
      <c r="M28" s="390">
        <f t="shared" ref="M28:N28" si="6">+M27-M17</f>
        <v>656125.63011999987</v>
      </c>
      <c r="N28" s="390">
        <f t="shared" si="6"/>
        <v>444975.34668300021</v>
      </c>
    </row>
    <row r="29" spans="1:14" x14ac:dyDescent="0.3">
      <c r="A29" s="1" t="s">
        <v>765</v>
      </c>
      <c r="N29" s="390">
        <f>+'Proposed Rev'!M26</f>
        <v>444975</v>
      </c>
    </row>
    <row r="30" spans="1:14" x14ac:dyDescent="0.3">
      <c r="N30" s="390">
        <f>+N29-N28</f>
        <v>-0.34668300021439791</v>
      </c>
    </row>
  </sheetData>
  <mergeCells count="4">
    <mergeCell ref="A1:N1"/>
    <mergeCell ref="A2:N2"/>
    <mergeCell ref="A3:N3"/>
    <mergeCell ref="A4:N4"/>
  </mergeCells>
  <printOptions horizontalCentered="1"/>
  <pageMargins left="0.25" right="0.25" top="0.75" bottom="0.75" header="0.3" footer="0.3"/>
  <pageSetup scale="85" orientation="landscape" r:id="rId1"/>
  <headerFooter>
    <oddFooter>&amp;L&amp;"Times New Roman,Regular"&amp;F
&amp;A&amp;R&amp;"Times New Roman,Regular"Page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workbookViewId="0">
      <selection sqref="A1:N1"/>
    </sheetView>
  </sheetViews>
  <sheetFormatPr defaultRowHeight="14.4" x14ac:dyDescent="0.3"/>
  <cols>
    <col min="1" max="1" width="8.33203125" style="1" bestFit="1" customWidth="1"/>
    <col min="2" max="2" width="27" style="1" bestFit="1" customWidth="1"/>
    <col min="3" max="3" width="12" style="1" bestFit="1" customWidth="1"/>
    <col min="4" max="5" width="10.109375" style="1" bestFit="1" customWidth="1"/>
    <col min="6" max="6" width="9.109375" style="1" bestFit="1" customWidth="1"/>
    <col min="7" max="7" width="11" style="1" bestFit="1" customWidth="1"/>
    <col min="8" max="8" width="7.5546875" style="1" bestFit="1" customWidth="1"/>
    <col min="9" max="9" width="11.5546875" style="1" bestFit="1" customWidth="1"/>
    <col min="10" max="10" width="9.5546875" style="1" bestFit="1" customWidth="1"/>
    <col min="11" max="11" width="6.109375" style="1" bestFit="1" customWidth="1"/>
    <col min="12" max="12" width="10.44140625" style="1" bestFit="1" customWidth="1"/>
    <col min="13" max="13" width="9.5546875" style="1" bestFit="1" customWidth="1"/>
    <col min="14" max="14" width="12" style="1" bestFit="1" customWidth="1"/>
    <col min="15" max="16384" width="8.88671875" style="1"/>
  </cols>
  <sheetData>
    <row r="1" spans="1:14" x14ac:dyDescent="0.3">
      <c r="A1" s="536" t="s">
        <v>65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  <c r="N1" s="536"/>
    </row>
    <row r="2" spans="1:14" x14ac:dyDescent="0.3">
      <c r="A2" s="536" t="s">
        <v>415</v>
      </c>
      <c r="B2" s="536"/>
      <c r="C2" s="536"/>
      <c r="D2" s="536"/>
      <c r="E2" s="536"/>
      <c r="F2" s="536"/>
      <c r="G2" s="536"/>
      <c r="H2" s="536"/>
      <c r="I2" s="536"/>
      <c r="J2" s="536"/>
      <c r="K2" s="536"/>
      <c r="L2" s="536"/>
      <c r="M2" s="536"/>
      <c r="N2" s="536"/>
    </row>
    <row r="3" spans="1:14" x14ac:dyDescent="0.3">
      <c r="A3" s="536" t="s">
        <v>29</v>
      </c>
      <c r="B3" s="536"/>
      <c r="C3" s="536"/>
      <c r="D3" s="536"/>
      <c r="E3" s="536"/>
      <c r="F3" s="536"/>
      <c r="G3" s="536"/>
      <c r="H3" s="536"/>
      <c r="I3" s="536"/>
      <c r="J3" s="536"/>
      <c r="K3" s="536"/>
      <c r="L3" s="536"/>
      <c r="M3" s="536"/>
      <c r="N3" s="536"/>
    </row>
    <row r="4" spans="1:14" x14ac:dyDescent="0.3">
      <c r="A4" s="536" t="s">
        <v>30</v>
      </c>
      <c r="B4" s="536"/>
      <c r="C4" s="536"/>
      <c r="D4" s="536"/>
      <c r="E4" s="536"/>
      <c r="F4" s="536"/>
      <c r="G4" s="536"/>
      <c r="H4" s="536"/>
      <c r="I4" s="536"/>
      <c r="J4" s="536"/>
      <c r="K4" s="536"/>
      <c r="L4" s="536"/>
      <c r="M4" s="536"/>
      <c r="N4" s="536"/>
    </row>
    <row r="5" spans="1:14" x14ac:dyDescent="0.3">
      <c r="A5"/>
      <c r="B5"/>
      <c r="C5"/>
      <c r="D5"/>
      <c r="E5"/>
      <c r="F5"/>
      <c r="G5"/>
      <c r="H5"/>
      <c r="I5"/>
      <c r="J5"/>
      <c r="K5"/>
      <c r="L5"/>
      <c r="M5"/>
      <c r="N5"/>
    </row>
    <row r="6" spans="1:14" x14ac:dyDescent="0.3">
      <c r="A6" t="s">
        <v>404</v>
      </c>
      <c r="B6"/>
      <c r="C6" s="38">
        <v>7</v>
      </c>
      <c r="D6" s="38">
        <v>24</v>
      </c>
      <c r="E6" s="38">
        <v>25</v>
      </c>
      <c r="F6" s="38">
        <v>26</v>
      </c>
      <c r="G6" s="38">
        <v>31</v>
      </c>
      <c r="H6" s="38">
        <v>43</v>
      </c>
      <c r="I6" s="38">
        <v>40</v>
      </c>
      <c r="J6" s="38" t="s">
        <v>405</v>
      </c>
      <c r="K6" s="38">
        <v>449</v>
      </c>
      <c r="L6" s="38" t="s">
        <v>22</v>
      </c>
      <c r="M6" s="38" t="s">
        <v>23</v>
      </c>
      <c r="N6" s="38" t="s">
        <v>25</v>
      </c>
    </row>
    <row r="7" spans="1:14" x14ac:dyDescent="0.3">
      <c r="A7" t="s">
        <v>413</v>
      </c>
      <c r="B7" s="1" t="s">
        <v>414</v>
      </c>
      <c r="C7" s="31">
        <v>2235979.81</v>
      </c>
      <c r="D7" s="31">
        <v>365876.75000000017</v>
      </c>
      <c r="E7" s="31">
        <v>86999.130000000019</v>
      </c>
      <c r="F7" s="31">
        <v>29142.55</v>
      </c>
      <c r="G7" s="31">
        <v>39987.639999999992</v>
      </c>
      <c r="H7" s="31">
        <v>7387.39</v>
      </c>
      <c r="I7" s="31">
        <v>-475.21999999999991</v>
      </c>
      <c r="J7" s="31">
        <v>9912.07</v>
      </c>
      <c r="K7" s="31">
        <v>-16.84</v>
      </c>
      <c r="L7" s="31">
        <v>73933.81</v>
      </c>
      <c r="M7" s="31">
        <v>59.89</v>
      </c>
      <c r="N7" s="31">
        <v>2848786.98</v>
      </c>
    </row>
    <row r="8" spans="1:14" x14ac:dyDescent="0.3">
      <c r="A8" s="115" t="s">
        <v>410</v>
      </c>
      <c r="B8" s="1" t="s">
        <v>411</v>
      </c>
      <c r="C8" s="31">
        <v>291301.34999999998</v>
      </c>
      <c r="D8" s="31">
        <v>10080.040000000001</v>
      </c>
      <c r="E8" s="31">
        <v>40.159999999999997</v>
      </c>
      <c r="F8" s="31">
        <v>0</v>
      </c>
      <c r="G8" s="31">
        <v>0</v>
      </c>
      <c r="H8" s="31">
        <v>0</v>
      </c>
      <c r="I8" s="31">
        <v>0</v>
      </c>
      <c r="J8" s="31">
        <v>0</v>
      </c>
      <c r="K8" s="31">
        <v>0</v>
      </c>
      <c r="L8" s="31">
        <v>78.86</v>
      </c>
      <c r="M8" s="31">
        <v>0</v>
      </c>
      <c r="N8" s="31">
        <v>301500.40999999992</v>
      </c>
    </row>
    <row r="9" spans="1:14" x14ac:dyDescent="0.3">
      <c r="A9" s="115" t="s">
        <v>408</v>
      </c>
      <c r="B9" s="117" t="s">
        <v>409</v>
      </c>
      <c r="C9" s="31">
        <v>1342833.9800000002</v>
      </c>
      <c r="D9" s="31">
        <v>32624.380000000005</v>
      </c>
      <c r="E9" s="31">
        <v>578.33000000000004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  <c r="N9" s="31">
        <v>1376036.6900000004</v>
      </c>
    </row>
    <row r="10" spans="1:14" x14ac:dyDescent="0.3">
      <c r="A10" s="115" t="s">
        <v>406</v>
      </c>
      <c r="B10" s="1" t="s">
        <v>407</v>
      </c>
      <c r="C10" s="31">
        <v>1403494.0699999996</v>
      </c>
      <c r="D10" s="31">
        <v>125187.51000000001</v>
      </c>
      <c r="E10" s="31">
        <v>3056.099999999999</v>
      </c>
      <c r="F10" s="31">
        <v>398.09999999999997</v>
      </c>
      <c r="G10" s="31">
        <v>87.2</v>
      </c>
      <c r="H10" s="31">
        <v>6.51</v>
      </c>
      <c r="I10" s="31">
        <v>148.72999999999999</v>
      </c>
      <c r="J10" s="31">
        <v>6.1</v>
      </c>
      <c r="K10" s="31">
        <v>0</v>
      </c>
      <c r="L10" s="31">
        <v>0</v>
      </c>
      <c r="M10" s="31">
        <v>0</v>
      </c>
      <c r="N10" s="31">
        <v>1532384.3199999998</v>
      </c>
    </row>
    <row r="11" spans="1:14" x14ac:dyDescent="0.3">
      <c r="A11" s="115" t="s">
        <v>412</v>
      </c>
      <c r="B11" s="1" t="s">
        <v>416</v>
      </c>
      <c r="C11" s="31">
        <v>-871.72000000000025</v>
      </c>
      <c r="D11" s="31">
        <v>1922.38</v>
      </c>
      <c r="E11" s="31">
        <v>-52.959999999999994</v>
      </c>
      <c r="F11" s="31">
        <v>-17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980.69999999999982</v>
      </c>
    </row>
    <row r="12" spans="1:14" x14ac:dyDescent="0.3">
      <c r="A12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</row>
    <row r="13" spans="1:14" x14ac:dyDescent="0.3">
      <c r="A13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</row>
    <row r="14" spans="1:14" x14ac:dyDescent="0.3">
      <c r="A14"/>
      <c r="B14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</row>
    <row r="15" spans="1:14" x14ac:dyDescent="0.3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</sheetData>
  <mergeCells count="4">
    <mergeCell ref="A1:N1"/>
    <mergeCell ref="A2:N2"/>
    <mergeCell ref="A3:N3"/>
    <mergeCell ref="A4:N4"/>
  </mergeCells>
  <printOptions horizontalCentered="1"/>
  <pageMargins left="0.25" right="0.25" top="0.75" bottom="0.75" header="0.3" footer="0.3"/>
  <pageSetup scale="86" orientation="landscape" r:id="rId1"/>
  <headerFooter>
    <oddFooter>&amp;L&amp;"Times New Roman,Regular"&amp;F
&amp;A&amp;R&amp;"Times New Roman,Regular"Page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4"/>
  <sheetViews>
    <sheetView workbookViewId="0">
      <selection sqref="A1:B1"/>
    </sheetView>
  </sheetViews>
  <sheetFormatPr defaultRowHeight="14.4" x14ac:dyDescent="0.3"/>
  <cols>
    <col min="1" max="1" width="12.5546875" bestFit="1" customWidth="1"/>
    <col min="2" max="2" width="20.109375" bestFit="1" customWidth="1"/>
  </cols>
  <sheetData>
    <row r="1" spans="1:2" x14ac:dyDescent="0.3">
      <c r="A1" s="537" t="s">
        <v>65</v>
      </c>
      <c r="B1" s="536"/>
    </row>
    <row r="2" spans="1:2" x14ac:dyDescent="0.3">
      <c r="A2" s="537" t="s">
        <v>48</v>
      </c>
      <c r="B2" s="536"/>
    </row>
    <row r="3" spans="1:2" x14ac:dyDescent="0.3">
      <c r="A3" s="537" t="s">
        <v>49</v>
      </c>
      <c r="B3" s="536"/>
    </row>
    <row r="4" spans="1:2" x14ac:dyDescent="0.3">
      <c r="A4" s="536" t="s">
        <v>50</v>
      </c>
      <c r="B4" s="536"/>
    </row>
    <row r="7" spans="1:2" x14ac:dyDescent="0.3">
      <c r="A7" s="116" t="s">
        <v>5</v>
      </c>
      <c r="B7" t="s">
        <v>449</v>
      </c>
    </row>
    <row r="8" spans="1:2" x14ac:dyDescent="0.3">
      <c r="A8" s="27">
        <v>31</v>
      </c>
      <c r="B8" s="80">
        <v>683364.28</v>
      </c>
    </row>
    <row r="9" spans="1:2" x14ac:dyDescent="0.3">
      <c r="A9" s="27">
        <v>43</v>
      </c>
      <c r="B9" s="80">
        <v>12855.629999999997</v>
      </c>
    </row>
    <row r="10" spans="1:2" x14ac:dyDescent="0.3">
      <c r="A10" s="27" t="s">
        <v>450</v>
      </c>
      <c r="B10" s="80">
        <v>81187.12</v>
      </c>
    </row>
    <row r="11" spans="1:2" x14ac:dyDescent="0.3">
      <c r="A11" s="27" t="s">
        <v>429</v>
      </c>
      <c r="B11" s="80">
        <v>2852603.1200000006</v>
      </c>
    </row>
    <row r="12" spans="1:2" x14ac:dyDescent="0.3">
      <c r="A12" s="27" t="s">
        <v>431</v>
      </c>
      <c r="B12" s="80">
        <v>846988.8899999999</v>
      </c>
    </row>
    <row r="13" spans="1:2" x14ac:dyDescent="0.3">
      <c r="A13" s="27" t="s">
        <v>23</v>
      </c>
      <c r="B13" s="80">
        <v>3476.76</v>
      </c>
    </row>
    <row r="14" spans="1:2" x14ac:dyDescent="0.3">
      <c r="A14" s="27" t="s">
        <v>25</v>
      </c>
      <c r="B14" s="80">
        <f>SUM(B8:B13)</f>
        <v>4480475.8</v>
      </c>
    </row>
  </sheetData>
  <mergeCells count="4">
    <mergeCell ref="A4:B4"/>
    <mergeCell ref="A1:B1"/>
    <mergeCell ref="A3:B3"/>
    <mergeCell ref="A2:B2"/>
  </mergeCells>
  <printOptions horizontalCentered="1"/>
  <pageMargins left="0.25" right="0.25" top="0.75" bottom="0.75" header="0.3" footer="0.3"/>
  <pageSetup orientation="landscape" r:id="rId1"/>
  <headerFooter>
    <oddFooter>&amp;L&amp;"Times New Roman,Regular"&amp;F
&amp;A&amp;R&amp;"Times New Roman,Regular"Page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workbookViewId="0">
      <selection sqref="A1:G1"/>
    </sheetView>
  </sheetViews>
  <sheetFormatPr defaultColWidth="9.5546875" defaultRowHeight="13.2" customHeight="1" x14ac:dyDescent="0.3"/>
  <cols>
    <col min="1" max="1" width="10.5546875" style="1" bestFit="1" customWidth="1"/>
    <col min="2" max="2" width="10" style="1" bestFit="1" customWidth="1"/>
    <col min="3" max="3" width="9.21875" style="1" bestFit="1" customWidth="1"/>
    <col min="4" max="4" width="10" style="1" bestFit="1" customWidth="1"/>
    <col min="5" max="5" width="13.109375" style="1" bestFit="1" customWidth="1"/>
    <col min="6" max="6" width="9.21875" style="1" bestFit="1" customWidth="1"/>
    <col min="7" max="7" width="13.109375" style="1" bestFit="1" customWidth="1"/>
    <col min="8" max="16384" width="9.5546875" style="1"/>
  </cols>
  <sheetData>
    <row r="1" spans="1:7" ht="13.2" customHeight="1" x14ac:dyDescent="0.3">
      <c r="A1" s="565" t="s">
        <v>65</v>
      </c>
      <c r="B1" s="565"/>
      <c r="C1" s="565"/>
      <c r="D1" s="565"/>
      <c r="E1" s="565"/>
      <c r="F1" s="565"/>
      <c r="G1" s="565"/>
    </row>
    <row r="2" spans="1:7" ht="13.2" customHeight="1" x14ac:dyDescent="0.3">
      <c r="A2" s="566" t="s">
        <v>773</v>
      </c>
      <c r="B2" s="565"/>
      <c r="C2" s="565"/>
      <c r="D2" s="565"/>
      <c r="E2" s="565"/>
      <c r="F2" s="565"/>
      <c r="G2" s="565"/>
    </row>
    <row r="3" spans="1:7" ht="13.2" customHeight="1" x14ac:dyDescent="0.3">
      <c r="A3" s="565" t="s">
        <v>720</v>
      </c>
      <c r="B3" s="565"/>
      <c r="C3" s="565"/>
      <c r="D3" s="565"/>
      <c r="E3" s="565"/>
      <c r="F3" s="565"/>
      <c r="G3" s="565"/>
    </row>
    <row r="4" spans="1:7" ht="13.2" customHeight="1" x14ac:dyDescent="0.3">
      <c r="A4" s="565" t="s">
        <v>66</v>
      </c>
      <c r="B4" s="565"/>
      <c r="C4" s="565"/>
      <c r="D4" s="565"/>
      <c r="E4" s="565"/>
      <c r="F4" s="565"/>
      <c r="G4" s="565"/>
    </row>
    <row r="7" spans="1:7" ht="43.2" x14ac:dyDescent="0.3">
      <c r="A7" s="392" t="s">
        <v>5</v>
      </c>
      <c r="B7" s="392" t="s">
        <v>390</v>
      </c>
      <c r="C7" s="392" t="s">
        <v>395</v>
      </c>
      <c r="D7" s="392" t="s">
        <v>396</v>
      </c>
      <c r="E7" s="392" t="s">
        <v>391</v>
      </c>
      <c r="F7" s="392" t="s">
        <v>395</v>
      </c>
      <c r="G7" s="392" t="s">
        <v>396</v>
      </c>
    </row>
    <row r="8" spans="1:7" ht="13.2" customHeight="1" x14ac:dyDescent="0.3">
      <c r="A8" s="378">
        <v>7</v>
      </c>
      <c r="B8" s="393">
        <v>999962</v>
      </c>
      <c r="C8" s="393"/>
      <c r="D8" s="393">
        <f>SUM(B8:C8)</f>
        <v>999962</v>
      </c>
      <c r="E8" s="377">
        <v>112832556</v>
      </c>
      <c r="F8" s="77"/>
      <c r="G8" s="77">
        <f>SUM(E8:F8)</f>
        <v>112832556</v>
      </c>
    </row>
    <row r="9" spans="1:7" ht="13.2" customHeight="1" x14ac:dyDescent="0.3">
      <c r="A9" s="378">
        <v>24</v>
      </c>
      <c r="B9" s="393">
        <v>128242</v>
      </c>
      <c r="C9" s="424"/>
      <c r="D9" s="393">
        <f t="shared" ref="D9:D23" si="0">SUM(B9:C9)</f>
        <v>128242</v>
      </c>
      <c r="E9" s="377">
        <v>31980178</v>
      </c>
      <c r="F9" s="77">
        <f>C9*E18/B18</f>
        <v>0</v>
      </c>
      <c r="G9" s="77">
        <f t="shared" ref="G9:G23" si="1">SUM(E9:F9)</f>
        <v>31980178</v>
      </c>
    </row>
    <row r="10" spans="1:7" ht="13.2" customHeight="1" x14ac:dyDescent="0.3">
      <c r="A10" s="378">
        <v>25</v>
      </c>
      <c r="B10" s="393">
        <v>7266</v>
      </c>
      <c r="C10" s="424"/>
      <c r="D10" s="393">
        <f t="shared" si="0"/>
        <v>7266</v>
      </c>
      <c r="E10" s="377">
        <v>8497979</v>
      </c>
      <c r="F10" s="77">
        <f>C10*E18/B18</f>
        <v>0</v>
      </c>
      <c r="G10" s="77">
        <f t="shared" si="1"/>
        <v>8497979</v>
      </c>
    </row>
    <row r="11" spans="1:7" ht="13.2" customHeight="1" x14ac:dyDescent="0.3">
      <c r="A11" s="378">
        <v>26</v>
      </c>
      <c r="B11" s="393">
        <v>822</v>
      </c>
      <c r="C11" s="424"/>
      <c r="D11" s="393">
        <f t="shared" si="0"/>
        <v>822</v>
      </c>
      <c r="E11" s="377">
        <v>991964</v>
      </c>
      <c r="F11" s="77">
        <f>C11*E19/B19</f>
        <v>0</v>
      </c>
      <c r="G11" s="77">
        <f t="shared" si="1"/>
        <v>991964</v>
      </c>
    </row>
    <row r="12" spans="1:7" ht="13.2" customHeight="1" x14ac:dyDescent="0.3">
      <c r="A12" s="378">
        <v>29</v>
      </c>
      <c r="B12" s="393">
        <v>738</v>
      </c>
      <c r="C12" s="424"/>
      <c r="D12" s="393">
        <f t="shared" si="0"/>
        <v>738</v>
      </c>
      <c r="E12" s="377">
        <v>197150</v>
      </c>
      <c r="F12" s="77"/>
      <c r="G12" s="77">
        <f t="shared" si="1"/>
        <v>197150</v>
      </c>
    </row>
    <row r="13" spans="1:7" ht="13.2" customHeight="1" x14ac:dyDescent="0.3">
      <c r="A13" s="378">
        <v>31</v>
      </c>
      <c r="B13" s="393">
        <v>495</v>
      </c>
      <c r="C13" s="424"/>
      <c r="D13" s="393">
        <f t="shared" si="0"/>
        <v>495</v>
      </c>
      <c r="E13" s="377">
        <v>12233436</v>
      </c>
      <c r="F13" s="77">
        <f>C13*E20/B20</f>
        <v>0</v>
      </c>
      <c r="G13" s="77">
        <f t="shared" si="1"/>
        <v>12233436</v>
      </c>
    </row>
    <row r="14" spans="1:7" ht="13.2" customHeight="1" x14ac:dyDescent="0.3">
      <c r="A14" s="378">
        <v>35</v>
      </c>
      <c r="B14" s="393">
        <v>1</v>
      </c>
      <c r="C14" s="424"/>
      <c r="D14" s="393">
        <f t="shared" si="0"/>
        <v>1</v>
      </c>
      <c r="E14" s="377">
        <v>28682</v>
      </c>
      <c r="F14" s="77"/>
      <c r="G14" s="77">
        <f t="shared" si="1"/>
        <v>28682</v>
      </c>
    </row>
    <row r="15" spans="1:7" ht="13.2" customHeight="1" x14ac:dyDescent="0.3">
      <c r="A15" s="378">
        <v>43</v>
      </c>
      <c r="B15" s="393">
        <v>164</v>
      </c>
      <c r="C15" s="424"/>
      <c r="D15" s="393">
        <f t="shared" si="0"/>
        <v>164</v>
      </c>
      <c r="E15" s="377">
        <v>4265921</v>
      </c>
      <c r="F15" s="77"/>
      <c r="G15" s="77">
        <f t="shared" si="1"/>
        <v>4265921</v>
      </c>
    </row>
    <row r="16" spans="1:7" ht="13.2" customHeight="1" x14ac:dyDescent="0.3">
      <c r="A16" s="378">
        <v>46</v>
      </c>
      <c r="B16" s="393">
        <v>8</v>
      </c>
      <c r="C16" s="424"/>
      <c r="D16" s="393">
        <f t="shared" si="0"/>
        <v>8</v>
      </c>
      <c r="E16" s="377">
        <v>115504</v>
      </c>
      <c r="F16" s="77"/>
      <c r="G16" s="77">
        <f t="shared" si="1"/>
        <v>115504</v>
      </c>
    </row>
    <row r="17" spans="1:7" ht="13.2" customHeight="1" x14ac:dyDescent="0.3">
      <c r="A17" s="378">
        <v>49</v>
      </c>
      <c r="B17" s="393">
        <v>29</v>
      </c>
      <c r="C17" s="424"/>
      <c r="D17" s="393">
        <f t="shared" si="0"/>
        <v>29</v>
      </c>
      <c r="E17" s="377">
        <v>418702</v>
      </c>
      <c r="F17" s="77"/>
      <c r="G17" s="77">
        <f t="shared" si="1"/>
        <v>418702</v>
      </c>
    </row>
    <row r="18" spans="1:7" ht="13.2" customHeight="1" x14ac:dyDescent="0.3">
      <c r="A18" s="378">
        <v>4025</v>
      </c>
      <c r="B18" s="393">
        <v>66</v>
      </c>
      <c r="C18" s="424"/>
      <c r="D18" s="393">
        <f t="shared" si="0"/>
        <v>66</v>
      </c>
      <c r="E18" s="377">
        <v>62479</v>
      </c>
      <c r="F18" s="77">
        <f>SUM(F9:F10)*-1</f>
        <v>0</v>
      </c>
      <c r="G18" s="77">
        <f t="shared" si="1"/>
        <v>62479</v>
      </c>
    </row>
    <row r="19" spans="1:7" ht="13.2" customHeight="1" x14ac:dyDescent="0.3">
      <c r="A19" s="378">
        <v>4026</v>
      </c>
      <c r="B19" s="393">
        <v>68</v>
      </c>
      <c r="C19" s="424"/>
      <c r="D19" s="393">
        <f t="shared" si="0"/>
        <v>68</v>
      </c>
      <c r="E19" s="377">
        <v>82892</v>
      </c>
      <c r="F19" s="77">
        <f>-F11</f>
        <v>0</v>
      </c>
      <c r="G19" s="77">
        <f t="shared" si="1"/>
        <v>82892</v>
      </c>
    </row>
    <row r="20" spans="1:7" ht="13.2" customHeight="1" x14ac:dyDescent="0.3">
      <c r="A20" s="378">
        <v>4031</v>
      </c>
      <c r="B20" s="393">
        <v>29</v>
      </c>
      <c r="C20" s="424"/>
      <c r="D20" s="393">
        <f t="shared" si="0"/>
        <v>29</v>
      </c>
      <c r="E20" s="377">
        <v>831778</v>
      </c>
      <c r="F20" s="77">
        <f>-F13</f>
        <v>0</v>
      </c>
      <c r="G20" s="77">
        <f t="shared" si="1"/>
        <v>831778</v>
      </c>
    </row>
    <row r="21" spans="1:7" ht="13.2" customHeight="1" x14ac:dyDescent="0.3">
      <c r="A21" s="378" t="s">
        <v>392</v>
      </c>
      <c r="B21" s="393">
        <v>7</v>
      </c>
      <c r="C21" s="393"/>
      <c r="D21" s="393">
        <f t="shared" si="0"/>
        <v>7</v>
      </c>
      <c r="E21" s="377">
        <v>101066</v>
      </c>
      <c r="F21" s="77"/>
      <c r="G21" s="77">
        <f t="shared" si="1"/>
        <v>101066</v>
      </c>
    </row>
    <row r="22" spans="1:7" ht="13.2" customHeight="1" x14ac:dyDescent="0.3">
      <c r="A22" s="378" t="s">
        <v>393</v>
      </c>
      <c r="B22" s="393">
        <v>3</v>
      </c>
      <c r="C22" s="393"/>
      <c r="D22" s="393">
        <f t="shared" si="0"/>
        <v>3</v>
      </c>
      <c r="E22" s="377">
        <v>86046</v>
      </c>
      <c r="F22" s="77"/>
      <c r="G22" s="77">
        <f t="shared" si="1"/>
        <v>86046</v>
      </c>
    </row>
    <row r="23" spans="1:7" ht="13.2" customHeight="1" x14ac:dyDescent="0.3">
      <c r="A23" s="378" t="s">
        <v>394</v>
      </c>
      <c r="B23" s="393">
        <v>39</v>
      </c>
      <c r="C23" s="393"/>
      <c r="D23" s="393">
        <f t="shared" si="0"/>
        <v>39</v>
      </c>
      <c r="E23" s="377">
        <v>563082</v>
      </c>
      <c r="F23" s="77"/>
      <c r="G23" s="77">
        <f t="shared" si="1"/>
        <v>563082</v>
      </c>
    </row>
    <row r="24" spans="1:7" ht="13.2" customHeight="1" x14ac:dyDescent="0.3">
      <c r="A24" s="378" t="s">
        <v>25</v>
      </c>
      <c r="B24" s="393">
        <f t="shared" ref="B24:C24" si="2">SUM(B8:B23)</f>
        <v>1137939</v>
      </c>
      <c r="C24" s="393">
        <f t="shared" si="2"/>
        <v>0</v>
      </c>
      <c r="D24" s="393">
        <f>SUM(D8:D23)</f>
        <v>1137939</v>
      </c>
      <c r="E24" s="377">
        <v>173289415</v>
      </c>
      <c r="F24" s="77">
        <f t="shared" ref="F24" si="3">SUM(F8:F23)</f>
        <v>0</v>
      </c>
      <c r="G24" s="77">
        <f>SUM(G8:G23)</f>
        <v>173289415</v>
      </c>
    </row>
    <row r="25" spans="1:7" ht="13.2" customHeight="1" x14ac:dyDescent="0.3">
      <c r="F25" s="77"/>
      <c r="G25" s="77"/>
    </row>
    <row r="26" spans="1:7" ht="13.2" customHeight="1" x14ac:dyDescent="0.3">
      <c r="A26" s="378" t="s">
        <v>23</v>
      </c>
      <c r="B26" s="393">
        <v>9</v>
      </c>
      <c r="C26" s="393"/>
      <c r="D26" s="393">
        <f t="shared" ref="D26" si="4">SUM(B26:C26)</f>
        <v>9</v>
      </c>
      <c r="E26" s="394">
        <v>253521</v>
      </c>
      <c r="F26" s="77"/>
      <c r="G26" s="77">
        <f t="shared" ref="G26" si="5">SUM(E26:F26)</f>
        <v>253521</v>
      </c>
    </row>
    <row r="27" spans="1:7" ht="13.2" customHeight="1" x14ac:dyDescent="0.3">
      <c r="A27" s="117" t="s">
        <v>25</v>
      </c>
      <c r="B27" s="393">
        <f>+B26+B24</f>
        <v>1137948</v>
      </c>
      <c r="C27" s="393">
        <f>+C26+C24</f>
        <v>0</v>
      </c>
      <c r="D27" s="393">
        <f>+D26+D24</f>
        <v>1137948</v>
      </c>
      <c r="E27" s="377">
        <v>173542936</v>
      </c>
      <c r="F27" s="77">
        <f>+F26+F24</f>
        <v>0</v>
      </c>
      <c r="G27" s="77">
        <f>+G26+G24</f>
        <v>173542936</v>
      </c>
    </row>
  </sheetData>
  <mergeCells count="4">
    <mergeCell ref="A4:G4"/>
    <mergeCell ref="A3:G3"/>
    <mergeCell ref="A2:G2"/>
    <mergeCell ref="A1:G1"/>
  </mergeCells>
  <printOptions horizontalCentered="1"/>
  <pageMargins left="0.25" right="0.25" top="0.75" bottom="0.75" header="0.3" footer="0.3"/>
  <pageSetup orientation="landscape" r:id="rId1"/>
  <headerFooter>
    <oddFooter>&amp;L&amp;"Times New Roman,Regular"&amp;F
&amp;A&amp;R&amp;"Times New Roman,Regular"Page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workbookViewId="0">
      <selection sqref="A1:L1"/>
    </sheetView>
  </sheetViews>
  <sheetFormatPr defaultRowHeight="14.4" x14ac:dyDescent="0.3"/>
  <cols>
    <col min="1" max="1" width="7.77734375" style="1" bestFit="1" customWidth="1"/>
    <col min="2" max="2" width="10" style="1" bestFit="1" customWidth="1"/>
    <col min="3" max="4" width="11" style="1" bestFit="1" customWidth="1"/>
    <col min="5" max="5" width="8.88671875" style="1"/>
    <col min="6" max="6" width="10" style="1" bestFit="1" customWidth="1"/>
    <col min="7" max="8" width="12" style="1" bestFit="1" customWidth="1"/>
    <col min="9" max="9" width="11" style="1" bestFit="1" customWidth="1"/>
    <col min="10" max="10" width="12" style="1" bestFit="1" customWidth="1"/>
    <col min="11" max="11" width="8.88671875" style="1"/>
    <col min="12" max="12" width="12" style="1" bestFit="1" customWidth="1"/>
    <col min="13" max="16384" width="8.88671875" style="1"/>
  </cols>
  <sheetData>
    <row r="1" spans="1:12" x14ac:dyDescent="0.3">
      <c r="A1" s="565" t="s">
        <v>65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65"/>
    </row>
    <row r="2" spans="1:12" x14ac:dyDescent="0.3">
      <c r="A2" s="566" t="s">
        <v>772</v>
      </c>
      <c r="B2" s="565"/>
      <c r="C2" s="565"/>
      <c r="D2" s="565"/>
      <c r="E2" s="565"/>
      <c r="F2" s="565"/>
      <c r="G2" s="565"/>
      <c r="H2" s="565"/>
      <c r="I2" s="565"/>
      <c r="J2" s="565"/>
      <c r="K2" s="565"/>
      <c r="L2" s="565"/>
    </row>
    <row r="3" spans="1:12" x14ac:dyDescent="0.3">
      <c r="A3" s="565" t="s">
        <v>418</v>
      </c>
      <c r="B3" s="565"/>
      <c r="C3" s="565"/>
      <c r="D3" s="565"/>
      <c r="E3" s="565"/>
      <c r="F3" s="565"/>
      <c r="G3" s="565"/>
      <c r="H3" s="565"/>
      <c r="I3" s="565"/>
      <c r="J3" s="565"/>
      <c r="K3" s="565"/>
      <c r="L3" s="565"/>
    </row>
    <row r="4" spans="1:12" x14ac:dyDescent="0.3">
      <c r="A4" s="565" t="s">
        <v>163</v>
      </c>
      <c r="B4" s="565"/>
      <c r="C4" s="565"/>
      <c r="D4" s="565"/>
      <c r="E4" s="565"/>
      <c r="F4" s="565"/>
      <c r="G4" s="565"/>
      <c r="H4" s="565"/>
      <c r="I4" s="565"/>
      <c r="J4" s="565"/>
      <c r="K4" s="565"/>
      <c r="L4" s="565"/>
    </row>
    <row r="5" spans="1:12" x14ac:dyDescent="0.3">
      <c r="A5" s="565"/>
      <c r="B5" s="565"/>
      <c r="C5" s="565"/>
      <c r="D5" s="565"/>
      <c r="E5" s="565"/>
      <c r="F5" s="565"/>
      <c r="G5" s="565"/>
      <c r="H5" s="565"/>
      <c r="I5" s="565"/>
      <c r="J5" s="565"/>
      <c r="K5" s="565"/>
      <c r="L5" s="565"/>
    </row>
    <row r="6" spans="1:12" ht="15" thickBot="1" x14ac:dyDescent="0.35">
      <c r="B6" s="567" t="s">
        <v>419</v>
      </c>
      <c r="C6" s="568"/>
      <c r="D6" s="569"/>
      <c r="F6" s="570" t="s">
        <v>420</v>
      </c>
      <c r="G6" s="571"/>
      <c r="H6" s="571"/>
      <c r="I6" s="571"/>
      <c r="J6" s="572"/>
    </row>
    <row r="7" spans="1:12" ht="87" thickBot="1" x14ac:dyDescent="0.35">
      <c r="A7" s="119" t="s">
        <v>403</v>
      </c>
      <c r="B7" s="120" t="s">
        <v>421</v>
      </c>
      <c r="C7" s="121" t="s">
        <v>422</v>
      </c>
      <c r="D7" s="122" t="s">
        <v>423</v>
      </c>
      <c r="E7" s="123"/>
      <c r="F7" s="124" t="s">
        <v>424</v>
      </c>
      <c r="G7" s="125" t="s">
        <v>422</v>
      </c>
      <c r="H7" s="125" t="s">
        <v>423</v>
      </c>
      <c r="I7" s="126" t="s">
        <v>425</v>
      </c>
      <c r="J7" s="119" t="s">
        <v>20</v>
      </c>
      <c r="K7" s="123"/>
      <c r="L7" s="127" t="s">
        <v>426</v>
      </c>
    </row>
    <row r="8" spans="1:12" x14ac:dyDescent="0.3">
      <c r="A8" s="118">
        <v>7</v>
      </c>
      <c r="B8" s="128">
        <v>999962</v>
      </c>
      <c r="C8" s="129"/>
      <c r="D8" s="130">
        <v>2755082.1503465045</v>
      </c>
      <c r="F8" s="128">
        <v>980659.91666666663</v>
      </c>
      <c r="G8" s="129"/>
      <c r="H8" s="131">
        <v>13729089.595011851</v>
      </c>
      <c r="I8" s="131">
        <v>5291178.7554398281</v>
      </c>
      <c r="J8" s="132">
        <v>19020268.350451678</v>
      </c>
      <c r="L8" s="133">
        <v>21775350.500798181</v>
      </c>
    </row>
    <row r="9" spans="1:12" x14ac:dyDescent="0.3">
      <c r="A9" s="118">
        <v>24</v>
      </c>
      <c r="B9" s="128">
        <v>128234</v>
      </c>
      <c r="C9" s="129"/>
      <c r="D9" s="130">
        <v>353308.63019548106</v>
      </c>
      <c r="F9" s="128">
        <v>117926.16666666667</v>
      </c>
      <c r="G9" s="129"/>
      <c r="H9" s="131">
        <v>1650948.3871494699</v>
      </c>
      <c r="I9" s="131">
        <v>602399.7796831287</v>
      </c>
      <c r="J9" s="132">
        <v>2253348.1668325989</v>
      </c>
      <c r="L9" s="133">
        <v>2606656.7970280801</v>
      </c>
    </row>
    <row r="10" spans="1:12" x14ac:dyDescent="0.3">
      <c r="A10" s="118" t="s">
        <v>427</v>
      </c>
      <c r="B10" s="128">
        <v>7993</v>
      </c>
      <c r="C10" s="129"/>
      <c r="D10" s="130">
        <v>22022.20847164153</v>
      </c>
      <c r="F10" s="128">
        <v>7627.5</v>
      </c>
      <c r="G10" s="129"/>
      <c r="H10" s="131">
        <v>106783.83923541917</v>
      </c>
      <c r="I10" s="131">
        <v>88221.777973060016</v>
      </c>
      <c r="J10" s="132">
        <v>195005.61720847921</v>
      </c>
      <c r="L10" s="133">
        <v>217027.82568012073</v>
      </c>
    </row>
    <row r="11" spans="1:12" x14ac:dyDescent="0.3">
      <c r="A11" s="118">
        <v>26</v>
      </c>
      <c r="B11" s="128">
        <v>815</v>
      </c>
      <c r="C11" s="129"/>
      <c r="D11" s="130">
        <v>2245.4772806690662</v>
      </c>
      <c r="F11" s="128">
        <v>785</v>
      </c>
      <c r="G11" s="129"/>
      <c r="H11" s="131">
        <v>10989.88053750299</v>
      </c>
      <c r="I11" s="131">
        <v>108326.654254825</v>
      </c>
      <c r="J11" s="132">
        <v>119316.53479232799</v>
      </c>
      <c r="L11" s="133">
        <v>121562.01207299705</v>
      </c>
    </row>
    <row r="12" spans="1:12" x14ac:dyDescent="0.3">
      <c r="A12" s="118">
        <v>31</v>
      </c>
      <c r="B12" s="128">
        <v>494</v>
      </c>
      <c r="C12" s="129"/>
      <c r="D12" s="130">
        <v>1361.0623026386734</v>
      </c>
      <c r="F12" s="128">
        <v>476.41666666666669</v>
      </c>
      <c r="G12" s="129"/>
      <c r="H12" s="131">
        <v>6669.7608315185344</v>
      </c>
      <c r="I12" s="131">
        <v>34388.265054002797</v>
      </c>
      <c r="J12" s="132">
        <v>41058.025885521332</v>
      </c>
      <c r="L12" s="133">
        <v>42419.088188160007</v>
      </c>
    </row>
    <row r="13" spans="1:12" x14ac:dyDescent="0.3">
      <c r="A13" s="118">
        <v>35</v>
      </c>
      <c r="B13" s="128">
        <v>1</v>
      </c>
      <c r="C13" s="129"/>
      <c r="D13" s="130">
        <v>2.7551868474467072</v>
      </c>
      <c r="F13" s="128">
        <v>1</v>
      </c>
      <c r="G13" s="129"/>
      <c r="H13" s="131">
        <v>13.999847818475146</v>
      </c>
      <c r="I13" s="131">
        <v>0</v>
      </c>
      <c r="J13" s="132">
        <v>13.999847818475146</v>
      </c>
      <c r="L13" s="133">
        <v>16.755034665921855</v>
      </c>
    </row>
    <row r="14" spans="1:12" x14ac:dyDescent="0.3">
      <c r="A14" s="118">
        <v>43</v>
      </c>
      <c r="B14" s="128">
        <v>164</v>
      </c>
      <c r="C14" s="129"/>
      <c r="D14" s="130">
        <v>451.85064298125997</v>
      </c>
      <c r="F14" s="128">
        <v>157.75</v>
      </c>
      <c r="G14" s="129"/>
      <c r="H14" s="131">
        <v>2208.4759933644546</v>
      </c>
      <c r="I14" s="131">
        <v>2907.5817070966682</v>
      </c>
      <c r="J14" s="132">
        <v>5116.0577004611223</v>
      </c>
      <c r="L14" s="133">
        <v>5567.9083434423819</v>
      </c>
    </row>
    <row r="15" spans="1:12" x14ac:dyDescent="0.3">
      <c r="A15" s="134" t="s">
        <v>428</v>
      </c>
      <c r="B15" s="128">
        <v>190</v>
      </c>
      <c r="C15" s="129"/>
      <c r="D15" s="130">
        <v>523.48550101487433</v>
      </c>
      <c r="F15" s="128">
        <v>0</v>
      </c>
      <c r="G15" s="129"/>
      <c r="H15" s="131">
        <v>0</v>
      </c>
      <c r="I15" s="131">
        <v>78045.243556702146</v>
      </c>
      <c r="J15" s="132">
        <v>78045.243556702146</v>
      </c>
      <c r="L15" s="133">
        <v>78568.729057717021</v>
      </c>
    </row>
    <row r="16" spans="1:12" x14ac:dyDescent="0.3">
      <c r="A16" s="118" t="s">
        <v>429</v>
      </c>
      <c r="B16" s="128">
        <v>37</v>
      </c>
      <c r="C16" s="129"/>
      <c r="D16" s="130">
        <v>101.94191335552816</v>
      </c>
      <c r="F16" s="128">
        <v>0</v>
      </c>
      <c r="G16" s="129"/>
      <c r="H16" s="131">
        <v>0</v>
      </c>
      <c r="I16" s="131">
        <v>47751.458992279237</v>
      </c>
      <c r="J16" s="132">
        <v>47751.458992279237</v>
      </c>
      <c r="L16" s="133">
        <v>47853.400905634764</v>
      </c>
    </row>
    <row r="17" spans="1:12" x14ac:dyDescent="0.3">
      <c r="A17" s="134" t="s">
        <v>430</v>
      </c>
      <c r="B17" s="128">
        <v>6</v>
      </c>
      <c r="C17" s="129"/>
      <c r="D17" s="130">
        <v>16.531121084680244</v>
      </c>
      <c r="F17" s="128">
        <v>0</v>
      </c>
      <c r="G17" s="129"/>
      <c r="H17" s="131">
        <v>0</v>
      </c>
      <c r="I17" s="131">
        <v>15041.769686675474</v>
      </c>
      <c r="J17" s="132">
        <v>15041.769686675474</v>
      </c>
      <c r="L17" s="133">
        <v>15058.300807760153</v>
      </c>
    </row>
    <row r="18" spans="1:12" x14ac:dyDescent="0.3">
      <c r="A18" s="118" t="s">
        <v>431</v>
      </c>
      <c r="B18" s="128">
        <v>43</v>
      </c>
      <c r="C18" s="129"/>
      <c r="D18" s="130">
        <v>118.47303444020841</v>
      </c>
      <c r="F18" s="128">
        <v>0</v>
      </c>
      <c r="G18" s="129"/>
      <c r="H18" s="131">
        <v>0</v>
      </c>
      <c r="I18" s="131">
        <v>287809.75562970282</v>
      </c>
      <c r="J18" s="132">
        <v>287809.75562970282</v>
      </c>
      <c r="L18" s="133">
        <v>287928.22866414301</v>
      </c>
    </row>
    <row r="19" spans="1:12" x14ac:dyDescent="0.3">
      <c r="A19" s="118" t="s">
        <v>432</v>
      </c>
      <c r="B19" s="128">
        <v>0</v>
      </c>
      <c r="C19" s="129"/>
      <c r="D19" s="130">
        <v>0</v>
      </c>
      <c r="F19" s="128">
        <v>7226.5</v>
      </c>
      <c r="G19" s="129"/>
      <c r="H19" s="131">
        <v>101169.90026021065</v>
      </c>
      <c r="I19" s="131">
        <v>3732.7838039702483</v>
      </c>
      <c r="J19" s="132">
        <v>104902.6840641809</v>
      </c>
      <c r="L19" s="133">
        <v>104902.6840641809</v>
      </c>
    </row>
    <row r="20" spans="1:12" x14ac:dyDescent="0.3">
      <c r="A20" s="118" t="s">
        <v>433</v>
      </c>
      <c r="B20" s="128">
        <v>9</v>
      </c>
      <c r="C20" s="129"/>
      <c r="D20" s="130">
        <v>24.796681627020366</v>
      </c>
      <c r="F20" s="128">
        <v>0</v>
      </c>
      <c r="G20" s="129"/>
      <c r="H20" s="131">
        <v>0</v>
      </c>
      <c r="I20" s="131">
        <v>0</v>
      </c>
      <c r="J20" s="132">
        <v>0</v>
      </c>
      <c r="L20" s="133">
        <v>24.796681627020366</v>
      </c>
    </row>
    <row r="21" spans="1:12" x14ac:dyDescent="0.3">
      <c r="A21" s="117"/>
      <c r="B21" s="128"/>
      <c r="C21" s="129"/>
      <c r="D21" s="130"/>
      <c r="F21" s="128"/>
      <c r="G21" s="129"/>
      <c r="H21" s="131"/>
      <c r="I21" s="131"/>
      <c r="J21" s="135"/>
      <c r="L21" s="136"/>
    </row>
    <row r="22" spans="1:12" x14ac:dyDescent="0.3">
      <c r="B22" s="128">
        <v>1137948</v>
      </c>
      <c r="C22" s="137">
        <v>3135259.3626782857</v>
      </c>
      <c r="D22" s="130">
        <v>3135259.3626782862</v>
      </c>
      <c r="F22" s="128">
        <v>1114860.25</v>
      </c>
      <c r="G22" s="137">
        <v>15607873.838867156</v>
      </c>
      <c r="H22" s="131">
        <v>15607873.838867154</v>
      </c>
      <c r="I22" s="131">
        <v>6559803.8257812709</v>
      </c>
      <c r="J22" s="138">
        <v>22167677.664648429</v>
      </c>
      <c r="L22" s="133">
        <v>25302937.027326711</v>
      </c>
    </row>
    <row r="23" spans="1:12" ht="15" thickBot="1" x14ac:dyDescent="0.35">
      <c r="B23" s="139"/>
      <c r="C23" s="140"/>
      <c r="D23" s="141"/>
      <c r="F23" s="139"/>
      <c r="G23" s="140"/>
      <c r="H23" s="140"/>
      <c r="I23" s="140"/>
      <c r="J23" s="141"/>
      <c r="L23" s="142"/>
    </row>
  </sheetData>
  <mergeCells count="7">
    <mergeCell ref="B6:D6"/>
    <mergeCell ref="F6:J6"/>
    <mergeCell ref="A1:L1"/>
    <mergeCell ref="A2:L2"/>
    <mergeCell ref="A3:L3"/>
    <mergeCell ref="A4:L4"/>
    <mergeCell ref="A5:L5"/>
  </mergeCells>
  <printOptions horizontalCentered="1"/>
  <pageMargins left="0.25" right="0.25" top="0.75" bottom="0.75" header="0.3" footer="0.3"/>
  <pageSetup orientation="landscape" r:id="rId1"/>
  <headerFooter>
    <oddFooter>&amp;L&amp;"Times New Roman,Regular"&amp;F
&amp;A&amp;R&amp;"Times New Roman,Regular"Page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zoomScale="90" zoomScaleNormal="90" workbookViewId="0">
      <selection sqref="A1:Q1"/>
    </sheetView>
  </sheetViews>
  <sheetFormatPr defaultRowHeight="14.4" x14ac:dyDescent="0.3"/>
  <cols>
    <col min="1" max="1" width="11.21875" style="1" bestFit="1" customWidth="1"/>
    <col min="2" max="3" width="12.21875" style="1" bestFit="1" customWidth="1"/>
    <col min="4" max="4" width="8.77734375" style="1" bestFit="1" customWidth="1"/>
    <col min="5" max="5" width="13.44140625" style="1" bestFit="1" customWidth="1"/>
    <col min="6" max="6" width="12.21875" style="1" bestFit="1" customWidth="1"/>
    <col min="7" max="7" width="10.5546875" style="1" bestFit="1" customWidth="1"/>
    <col min="8" max="8" width="12.21875" style="1" bestFit="1" customWidth="1"/>
    <col min="9" max="9" width="10.5546875" style="1" bestFit="1" customWidth="1"/>
    <col min="10" max="11" width="12.21875" style="1" bestFit="1" customWidth="1"/>
    <col min="12" max="13" width="10.5546875" style="1" bestFit="1" customWidth="1"/>
    <col min="14" max="17" width="12.21875" style="1" bestFit="1" customWidth="1"/>
    <col min="18" max="16384" width="8.88671875" style="1"/>
  </cols>
  <sheetData>
    <row r="1" spans="1:17" x14ac:dyDescent="0.3">
      <c r="A1" s="565" t="s">
        <v>65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65"/>
      <c r="M1" s="565"/>
      <c r="N1" s="565"/>
      <c r="O1" s="565"/>
      <c r="P1" s="565"/>
      <c r="Q1" s="565"/>
    </row>
    <row r="2" spans="1:17" x14ac:dyDescent="0.3">
      <c r="A2" s="565" t="s">
        <v>721</v>
      </c>
      <c r="B2" s="565"/>
      <c r="C2" s="565"/>
      <c r="D2" s="565"/>
      <c r="E2" s="565"/>
      <c r="F2" s="565"/>
      <c r="G2" s="565"/>
      <c r="H2" s="565"/>
      <c r="I2" s="565"/>
      <c r="J2" s="565"/>
      <c r="K2" s="565"/>
      <c r="L2" s="565"/>
      <c r="M2" s="565"/>
      <c r="N2" s="565"/>
      <c r="O2" s="565"/>
      <c r="P2" s="565"/>
      <c r="Q2" s="565"/>
    </row>
    <row r="3" spans="1:17" x14ac:dyDescent="0.3">
      <c r="A3" s="565" t="s">
        <v>722</v>
      </c>
      <c r="B3" s="565"/>
      <c r="C3" s="565"/>
      <c r="D3" s="565"/>
      <c r="E3" s="565"/>
      <c r="F3" s="565"/>
      <c r="G3" s="565"/>
      <c r="H3" s="565"/>
      <c r="I3" s="565"/>
      <c r="J3" s="565"/>
      <c r="K3" s="565"/>
      <c r="L3" s="565"/>
      <c r="M3" s="565"/>
      <c r="N3" s="565"/>
      <c r="O3" s="565"/>
      <c r="P3" s="565"/>
      <c r="Q3" s="565"/>
    </row>
    <row r="4" spans="1:17" x14ac:dyDescent="0.3">
      <c r="A4" s="565" t="s">
        <v>163</v>
      </c>
      <c r="B4" s="565"/>
      <c r="C4" s="565"/>
      <c r="D4" s="565"/>
      <c r="E4" s="565"/>
      <c r="F4" s="565"/>
      <c r="G4" s="565"/>
      <c r="H4" s="565"/>
      <c r="I4" s="565"/>
      <c r="J4" s="565"/>
      <c r="K4" s="565"/>
      <c r="L4" s="565"/>
      <c r="M4" s="565"/>
      <c r="N4" s="565"/>
      <c r="O4" s="565"/>
      <c r="P4" s="565"/>
      <c r="Q4" s="565"/>
    </row>
    <row r="5" spans="1:17" x14ac:dyDescent="0.3">
      <c r="A5" s="402"/>
      <c r="B5" s="402"/>
      <c r="C5" s="402"/>
      <c r="D5" s="402"/>
      <c r="E5" s="402"/>
      <c r="F5" s="402"/>
      <c r="G5" s="402"/>
      <c r="H5" s="402"/>
      <c r="I5" s="402"/>
      <c r="J5" s="402"/>
      <c r="K5" s="402"/>
      <c r="L5" s="402"/>
    </row>
    <row r="6" spans="1:17" ht="43.2" x14ac:dyDescent="0.3">
      <c r="A6" s="376" t="s">
        <v>42</v>
      </c>
      <c r="B6" s="376" t="s">
        <v>43</v>
      </c>
    </row>
    <row r="7" spans="1:17" x14ac:dyDescent="0.3">
      <c r="A7" s="395" t="s">
        <v>44</v>
      </c>
    </row>
    <row r="8" spans="1:17" ht="28.8" x14ac:dyDescent="0.3">
      <c r="A8" s="396" t="s">
        <v>5</v>
      </c>
      <c r="B8" s="397" t="s">
        <v>45</v>
      </c>
      <c r="C8" s="397" t="s">
        <v>45</v>
      </c>
      <c r="D8" s="397" t="s">
        <v>46</v>
      </c>
      <c r="E8" s="396" t="s">
        <v>26</v>
      </c>
      <c r="F8" s="396" t="s">
        <v>6</v>
      </c>
      <c r="G8" s="396" t="s">
        <v>7</v>
      </c>
      <c r="H8" s="396" t="s">
        <v>8</v>
      </c>
      <c r="I8" s="396" t="s">
        <v>9</v>
      </c>
      <c r="J8" s="396" t="s">
        <v>10</v>
      </c>
      <c r="K8" s="396" t="s">
        <v>11</v>
      </c>
      <c r="L8" s="396" t="s">
        <v>12</v>
      </c>
      <c r="M8" s="396" t="s">
        <v>13</v>
      </c>
      <c r="N8" s="396" t="s">
        <v>14</v>
      </c>
      <c r="O8" s="396" t="s">
        <v>15</v>
      </c>
      <c r="P8" s="396" t="s">
        <v>16</v>
      </c>
      <c r="Q8" s="396" t="s">
        <v>17</v>
      </c>
    </row>
    <row r="9" spans="1:17" x14ac:dyDescent="0.3">
      <c r="A9" s="378">
        <v>7</v>
      </c>
      <c r="B9" s="77">
        <v>1109044.7117056099</v>
      </c>
      <c r="D9" s="398">
        <v>0.88915055801923071</v>
      </c>
      <c r="E9" s="377">
        <v>15130810.09</v>
      </c>
      <c r="F9" s="377">
        <v>1520467.36</v>
      </c>
      <c r="G9" s="377">
        <v>215301.11</v>
      </c>
      <c r="H9" s="377">
        <v>1474076.43</v>
      </c>
      <c r="I9" s="377">
        <v>504102.95</v>
      </c>
      <c r="J9" s="377">
        <v>2036230.89</v>
      </c>
      <c r="K9" s="377">
        <v>1986428.12</v>
      </c>
      <c r="L9" s="377">
        <v>502123.67</v>
      </c>
      <c r="M9" s="377">
        <v>699987.89</v>
      </c>
      <c r="N9" s="377">
        <v>1685998.2</v>
      </c>
      <c r="O9" s="377">
        <v>1307714.1399999999</v>
      </c>
      <c r="P9" s="377">
        <v>1549638.28</v>
      </c>
      <c r="Q9" s="377">
        <v>1648741.05</v>
      </c>
    </row>
    <row r="10" spans="1:17" x14ac:dyDescent="0.3">
      <c r="A10" s="378">
        <v>24</v>
      </c>
      <c r="B10" s="77">
        <v>88251.373678375225</v>
      </c>
      <c r="D10" s="398">
        <v>7.0753466766378753E-2</v>
      </c>
      <c r="E10" s="377">
        <v>1204022.4899999998</v>
      </c>
      <c r="F10" s="377">
        <v>59024.02</v>
      </c>
      <c r="G10" s="377">
        <v>9422.39</v>
      </c>
      <c r="H10" s="377">
        <v>92336.09</v>
      </c>
      <c r="I10" s="377">
        <v>73650.310000000012</v>
      </c>
      <c r="J10" s="377">
        <v>216878.17</v>
      </c>
      <c r="K10" s="377">
        <v>243068.93</v>
      </c>
      <c r="L10" s="377">
        <v>45600.219999999994</v>
      </c>
      <c r="M10" s="377">
        <v>52394.94000000001</v>
      </c>
      <c r="N10" s="377">
        <v>101550.77000000002</v>
      </c>
      <c r="O10" s="377">
        <v>89862.86</v>
      </c>
      <c r="P10" s="377">
        <v>91973.66</v>
      </c>
      <c r="Q10" s="377">
        <v>128260.13</v>
      </c>
    </row>
    <row r="11" spans="1:17" x14ac:dyDescent="0.3">
      <c r="A11" s="378" t="s">
        <v>47</v>
      </c>
      <c r="B11" s="77">
        <v>27420.671695450379</v>
      </c>
      <c r="D11" s="398">
        <v>2.1983879713718579E-2</v>
      </c>
      <c r="E11" s="377">
        <v>374103.01999999996</v>
      </c>
      <c r="F11" s="377">
        <v>81326.13</v>
      </c>
      <c r="G11" s="377">
        <v>74658.850000000006</v>
      </c>
      <c r="H11" s="377">
        <v>37554.120000000003</v>
      </c>
      <c r="I11" s="377">
        <v>-9933.4000000000015</v>
      </c>
      <c r="J11" s="377">
        <v>7606.8</v>
      </c>
      <c r="K11" s="377">
        <v>75359.010000000009</v>
      </c>
      <c r="L11" s="377">
        <v>52625.51</v>
      </c>
      <c r="M11" s="377">
        <v>14799.17</v>
      </c>
      <c r="N11" s="377">
        <v>23879.11</v>
      </c>
      <c r="O11" s="377">
        <v>4512.82</v>
      </c>
      <c r="P11" s="377">
        <v>9992.17</v>
      </c>
      <c r="Q11" s="377">
        <v>1722.73</v>
      </c>
    </row>
    <row r="12" spans="1:17" x14ac:dyDescent="0.3">
      <c r="A12" s="378">
        <v>26</v>
      </c>
      <c r="B12" s="77">
        <v>19431.316323957533</v>
      </c>
      <c r="D12" s="398">
        <v>1.55786016290759E-2</v>
      </c>
      <c r="E12" s="377">
        <v>265103.43</v>
      </c>
      <c r="F12" s="377">
        <v>50935.519999999997</v>
      </c>
      <c r="G12" s="377">
        <v>99652.93</v>
      </c>
      <c r="H12" s="377">
        <v>96051.5</v>
      </c>
      <c r="I12" s="377">
        <v>18463.41</v>
      </c>
      <c r="J12" s="377">
        <v>0</v>
      </c>
      <c r="K12" s="377">
        <v>15000.6</v>
      </c>
      <c r="L12" s="377">
        <v>-15000.6</v>
      </c>
      <c r="M12" s="377">
        <v>0</v>
      </c>
      <c r="N12" s="377">
        <v>7.0000000000000007E-2</v>
      </c>
      <c r="O12" s="377">
        <v>0</v>
      </c>
      <c r="P12" s="377">
        <v>0</v>
      </c>
      <c r="Q12" s="377">
        <v>0</v>
      </c>
    </row>
    <row r="13" spans="1:17" x14ac:dyDescent="0.3">
      <c r="A13" s="378">
        <v>31</v>
      </c>
      <c r="B13" s="77">
        <v>128.35130925331777</v>
      </c>
      <c r="D13" s="398">
        <v>1.0290264859527128E-4</v>
      </c>
      <c r="E13" s="377">
        <v>1751.11</v>
      </c>
      <c r="F13" s="377">
        <v>0</v>
      </c>
      <c r="G13" s="377">
        <v>0</v>
      </c>
      <c r="H13" s="377">
        <v>0</v>
      </c>
      <c r="I13" s="377">
        <v>0</v>
      </c>
      <c r="J13" s="377">
        <v>0</v>
      </c>
      <c r="K13" s="377">
        <v>0</v>
      </c>
      <c r="L13" s="377">
        <v>0</v>
      </c>
      <c r="M13" s="377">
        <v>0</v>
      </c>
      <c r="N13" s="377">
        <v>0</v>
      </c>
      <c r="O13" s="377">
        <v>0</v>
      </c>
      <c r="P13" s="377">
        <v>1751.11</v>
      </c>
      <c r="Q13" s="377">
        <v>0</v>
      </c>
    </row>
    <row r="14" spans="1:17" x14ac:dyDescent="0.3">
      <c r="A14" s="378" t="s">
        <v>22</v>
      </c>
      <c r="B14" s="77">
        <v>3031.6961709974385</v>
      </c>
      <c r="D14" s="398">
        <v>2.4305912230008263E-3</v>
      </c>
      <c r="E14" s="377">
        <v>41361.740000000005</v>
      </c>
      <c r="F14" s="377">
        <v>935.69</v>
      </c>
      <c r="G14" s="377">
        <v>-150.85</v>
      </c>
      <c r="H14" s="377">
        <v>2990.55</v>
      </c>
      <c r="I14" s="377">
        <v>2666.2400000000002</v>
      </c>
      <c r="J14" s="377">
        <v>3188.8700000000003</v>
      </c>
      <c r="K14" s="377">
        <v>1308.4000000000001</v>
      </c>
      <c r="L14" s="377">
        <v>1847.4700000000003</v>
      </c>
      <c r="M14" s="377">
        <v>1149.45</v>
      </c>
      <c r="N14" s="377">
        <v>309.14</v>
      </c>
      <c r="O14" s="377">
        <v>9170.739999999998</v>
      </c>
      <c r="P14" s="377">
        <v>1100.54</v>
      </c>
      <c r="Q14" s="377">
        <v>16845.5</v>
      </c>
    </row>
    <row r="15" spans="1:17" x14ac:dyDescent="0.3">
      <c r="A15" s="399" t="s">
        <v>25</v>
      </c>
      <c r="B15" s="400">
        <v>1247308.1208836439</v>
      </c>
      <c r="C15" s="400">
        <v>1247308.1208836439</v>
      </c>
      <c r="D15" s="401">
        <v>1</v>
      </c>
      <c r="E15" s="400">
        <v>17017151.879999999</v>
      </c>
      <c r="F15" s="400">
        <v>1712688.7200000002</v>
      </c>
      <c r="G15" s="400">
        <v>398884.43</v>
      </c>
      <c r="H15" s="400">
        <v>1703008.6900000002</v>
      </c>
      <c r="I15" s="400">
        <v>588949.51</v>
      </c>
      <c r="J15" s="400">
        <v>2263904.73</v>
      </c>
      <c r="K15" s="400">
        <v>2321165.0600000005</v>
      </c>
      <c r="L15" s="400">
        <v>587196.27</v>
      </c>
      <c r="M15" s="400">
        <v>768331.45000000007</v>
      </c>
      <c r="N15" s="400">
        <v>1811737.29</v>
      </c>
      <c r="O15" s="400">
        <v>1411260.56</v>
      </c>
      <c r="P15" s="400">
        <v>1654455.76</v>
      </c>
      <c r="Q15" s="400">
        <v>1795569.4100000001</v>
      </c>
    </row>
  </sheetData>
  <mergeCells count="4">
    <mergeCell ref="A1:Q1"/>
    <mergeCell ref="A2:Q2"/>
    <mergeCell ref="A3:Q3"/>
    <mergeCell ref="A4:Q4"/>
  </mergeCells>
  <printOptions horizontalCentered="1"/>
  <pageMargins left="0.25" right="0.25" top="0.75" bottom="0.75" header="0.3" footer="0.3"/>
  <pageSetup scale="67" orientation="landscape" r:id="rId1"/>
  <headerFooter>
    <oddFooter>&amp;L&amp;"Times New Roman,Regular"&amp;F
&amp;A&amp;R&amp;"Times New Roman,Regular"Page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zoomScaleNormal="100" workbookViewId="0">
      <selection sqref="A1:I1"/>
    </sheetView>
  </sheetViews>
  <sheetFormatPr defaultRowHeight="14.4" x14ac:dyDescent="0.3"/>
  <cols>
    <col min="1" max="1" width="4.33203125" style="1" bestFit="1" customWidth="1"/>
    <col min="2" max="2" width="7.6640625" style="1" bestFit="1" customWidth="1"/>
    <col min="3" max="3" width="13.109375" style="1" bestFit="1" customWidth="1"/>
    <col min="4" max="4" width="11" style="1" bestFit="1" customWidth="1"/>
    <col min="5" max="6" width="8.5546875" style="1" bestFit="1" customWidth="1"/>
    <col min="7" max="8" width="12" style="1" bestFit="1" customWidth="1"/>
    <col min="9" max="9" width="11" style="1" bestFit="1" customWidth="1"/>
    <col min="10" max="16384" width="8.88671875" style="1"/>
  </cols>
  <sheetData>
    <row r="1" spans="1:9" x14ac:dyDescent="0.3">
      <c r="A1" s="536" t="s">
        <v>65</v>
      </c>
      <c r="B1" s="536"/>
      <c r="C1" s="536"/>
      <c r="D1" s="536"/>
      <c r="E1" s="536"/>
      <c r="F1" s="536"/>
      <c r="G1" s="536"/>
      <c r="H1" s="536"/>
      <c r="I1" s="536"/>
    </row>
    <row r="2" spans="1:9" x14ac:dyDescent="0.3">
      <c r="A2" s="575" t="s">
        <v>774</v>
      </c>
      <c r="B2" s="576"/>
      <c r="C2" s="576"/>
      <c r="D2" s="576"/>
      <c r="E2" s="576"/>
      <c r="F2" s="576"/>
      <c r="G2" s="576"/>
      <c r="H2" s="576"/>
      <c r="I2" s="576"/>
    </row>
    <row r="3" spans="1:9" x14ac:dyDescent="0.3">
      <c r="A3" s="537" t="s">
        <v>434</v>
      </c>
      <c r="B3" s="536"/>
      <c r="C3" s="536"/>
      <c r="D3" s="536"/>
      <c r="E3" s="536"/>
      <c r="F3" s="536"/>
      <c r="G3" s="536"/>
      <c r="H3" s="536"/>
      <c r="I3" s="536"/>
    </row>
    <row r="4" spans="1:9" x14ac:dyDescent="0.3">
      <c r="A4"/>
      <c r="B4"/>
      <c r="C4"/>
      <c r="D4"/>
      <c r="E4"/>
      <c r="F4"/>
      <c r="G4"/>
      <c r="H4"/>
      <c r="I4"/>
    </row>
    <row r="5" spans="1:9" x14ac:dyDescent="0.3">
      <c r="A5"/>
      <c r="B5"/>
      <c r="C5"/>
      <c r="D5"/>
      <c r="E5"/>
      <c r="F5"/>
      <c r="G5"/>
      <c r="H5"/>
      <c r="I5"/>
    </row>
    <row r="6" spans="1:9" ht="28.8" x14ac:dyDescent="0.3">
      <c r="A6" s="143" t="s">
        <v>435</v>
      </c>
      <c r="B6" s="143" t="s">
        <v>436</v>
      </c>
      <c r="C6" s="143" t="s">
        <v>20</v>
      </c>
      <c r="D6" s="144" t="s">
        <v>437</v>
      </c>
      <c r="E6" s="144" t="s">
        <v>448</v>
      </c>
      <c r="F6" s="144" t="s">
        <v>23</v>
      </c>
      <c r="G6" s="143" t="s">
        <v>171</v>
      </c>
      <c r="H6" s="143" t="s">
        <v>438</v>
      </c>
      <c r="I6" s="143" t="s">
        <v>439</v>
      </c>
    </row>
    <row r="7" spans="1:9" x14ac:dyDescent="0.3">
      <c r="A7" s="577" t="s">
        <v>440</v>
      </c>
      <c r="B7" s="574"/>
      <c r="C7" s="574"/>
      <c r="D7" s="574"/>
      <c r="E7" s="574"/>
      <c r="F7" s="574"/>
      <c r="G7" s="574"/>
      <c r="H7" s="574"/>
      <c r="I7" s="574"/>
    </row>
    <row r="8" spans="1:9" x14ac:dyDescent="0.3">
      <c r="A8" s="145"/>
      <c r="B8" s="145"/>
      <c r="C8" s="145"/>
      <c r="D8" s="145"/>
      <c r="E8" s="145"/>
      <c r="F8" s="145"/>
      <c r="G8" s="145"/>
      <c r="H8" s="145"/>
      <c r="I8" s="145"/>
    </row>
    <row r="9" spans="1:9" x14ac:dyDescent="0.3">
      <c r="A9">
        <v>9</v>
      </c>
      <c r="B9" s="146">
        <v>353.8</v>
      </c>
      <c r="C9" s="147">
        <v>405246.36</v>
      </c>
      <c r="D9" s="147">
        <v>0</v>
      </c>
      <c r="E9" s="147">
        <v>0</v>
      </c>
      <c r="F9" s="147">
        <v>0</v>
      </c>
      <c r="G9" s="147">
        <v>0</v>
      </c>
      <c r="H9" s="147">
        <v>0</v>
      </c>
      <c r="I9" s="147">
        <v>405246.36</v>
      </c>
    </row>
    <row r="10" spans="1:9" x14ac:dyDescent="0.3">
      <c r="A10">
        <v>10</v>
      </c>
      <c r="B10" s="146">
        <v>360</v>
      </c>
      <c r="C10" s="147">
        <v>5368160.9644597787</v>
      </c>
      <c r="D10" s="147">
        <v>0</v>
      </c>
      <c r="E10" s="147">
        <v>0</v>
      </c>
      <c r="F10" s="147">
        <v>0</v>
      </c>
      <c r="G10" s="147">
        <v>4625429.5874469783</v>
      </c>
      <c r="H10" s="147">
        <v>742731.37701280008</v>
      </c>
      <c r="I10" s="147">
        <v>0</v>
      </c>
    </row>
    <row r="11" spans="1:9" x14ac:dyDescent="0.3">
      <c r="A11">
        <v>11</v>
      </c>
      <c r="B11" s="146">
        <v>361</v>
      </c>
      <c r="C11" s="147">
        <v>696660.6761493294</v>
      </c>
      <c r="D11" s="147">
        <v>0</v>
      </c>
      <c r="E11" s="147">
        <v>0</v>
      </c>
      <c r="F11" s="147">
        <v>0</v>
      </c>
      <c r="G11" s="147">
        <v>340751.24407252943</v>
      </c>
      <c r="H11" s="147">
        <v>162866.1520768</v>
      </c>
      <c r="I11" s="147">
        <v>193043.28</v>
      </c>
    </row>
    <row r="12" spans="1:9" x14ac:dyDescent="0.3">
      <c r="A12">
        <v>12</v>
      </c>
      <c r="B12" s="146">
        <v>362</v>
      </c>
      <c r="C12" s="147">
        <v>35278387.251315653</v>
      </c>
      <c r="D12" s="147">
        <v>774254.26600000006</v>
      </c>
      <c r="E12" s="147">
        <v>0</v>
      </c>
      <c r="F12" s="147">
        <v>0</v>
      </c>
      <c r="G12" s="147">
        <v>13786772.082260853</v>
      </c>
      <c r="H12" s="147">
        <v>14438848.538054798</v>
      </c>
      <c r="I12" s="147">
        <v>6278512.3649999993</v>
      </c>
    </row>
    <row r="13" spans="1:9" x14ac:dyDescent="0.3">
      <c r="A13">
        <v>13</v>
      </c>
      <c r="B13" s="146" t="s">
        <v>441</v>
      </c>
      <c r="C13" s="147">
        <v>1570594.1159978251</v>
      </c>
      <c r="D13" s="147">
        <v>0</v>
      </c>
      <c r="E13" s="147">
        <v>0</v>
      </c>
      <c r="F13" s="147">
        <v>0</v>
      </c>
      <c r="G13" s="147">
        <v>1570594.1159978251</v>
      </c>
      <c r="H13" s="147">
        <v>0</v>
      </c>
      <c r="I13" s="147">
        <v>0</v>
      </c>
    </row>
    <row r="14" spans="1:9" x14ac:dyDescent="0.3">
      <c r="A14">
        <v>14</v>
      </c>
      <c r="B14" s="146" t="s">
        <v>442</v>
      </c>
      <c r="C14" s="147">
        <v>32721604.036191806</v>
      </c>
      <c r="D14" s="147">
        <v>0</v>
      </c>
      <c r="E14" s="147">
        <v>0</v>
      </c>
      <c r="F14" s="147">
        <v>0</v>
      </c>
      <c r="G14" s="147">
        <v>26065398.946191806</v>
      </c>
      <c r="H14" s="147">
        <v>6656205.0899999999</v>
      </c>
      <c r="I14" s="147">
        <v>0</v>
      </c>
    </row>
    <row r="15" spans="1:9" x14ac:dyDescent="0.3">
      <c r="A15">
        <v>15</v>
      </c>
      <c r="B15" s="146" t="s">
        <v>443</v>
      </c>
      <c r="C15" s="147">
        <v>126016.34000000001</v>
      </c>
      <c r="D15" s="147">
        <v>98692.11</v>
      </c>
      <c r="E15" s="147">
        <v>5238.93</v>
      </c>
      <c r="F15" s="147">
        <v>0</v>
      </c>
      <c r="G15" s="147">
        <v>22085.3</v>
      </c>
      <c r="H15" s="147">
        <v>0</v>
      </c>
      <c r="I15" s="147">
        <v>0</v>
      </c>
    </row>
    <row r="16" spans="1:9" x14ac:dyDescent="0.3">
      <c r="A16">
        <v>16</v>
      </c>
      <c r="B16" s="148" t="s">
        <v>444</v>
      </c>
      <c r="C16" s="147">
        <v>2833593.71</v>
      </c>
      <c r="D16" s="147">
        <v>714916.42999999993</v>
      </c>
      <c r="E16" s="147">
        <v>42010.700000000004</v>
      </c>
      <c r="F16" s="147">
        <v>19397.189999999999</v>
      </c>
      <c r="G16" s="147">
        <v>2057269.3900000001</v>
      </c>
      <c r="H16" s="147">
        <v>0</v>
      </c>
      <c r="I16" s="147">
        <v>0</v>
      </c>
    </row>
    <row r="17" spans="1:9" x14ac:dyDescent="0.3">
      <c r="A17">
        <v>17</v>
      </c>
      <c r="B17" s="148"/>
      <c r="C17" s="147"/>
      <c r="D17" s="147"/>
      <c r="E17" s="147"/>
      <c r="F17" s="147"/>
      <c r="G17" s="147"/>
      <c r="H17" s="147"/>
      <c r="I17" s="147"/>
    </row>
    <row r="18" spans="1:9" x14ac:dyDescent="0.3">
      <c r="A18">
        <v>18</v>
      </c>
      <c r="B18" s="148" t="s">
        <v>20</v>
      </c>
      <c r="C18" s="147">
        <v>79000263.454114392</v>
      </c>
      <c r="D18" s="147">
        <v>1587862.8059999999</v>
      </c>
      <c r="E18" s="147">
        <v>47249.630000000005</v>
      </c>
      <c r="F18" s="147">
        <v>19397.189999999999</v>
      </c>
      <c r="G18" s="147">
        <v>48468300.66596999</v>
      </c>
      <c r="H18" s="147">
        <v>22000651.157144397</v>
      </c>
      <c r="I18" s="147">
        <v>6876802.004999999</v>
      </c>
    </row>
    <row r="19" spans="1:9" x14ac:dyDescent="0.3">
      <c r="A19">
        <v>19</v>
      </c>
      <c r="B19"/>
      <c r="C19"/>
      <c r="D19"/>
      <c r="E19"/>
      <c r="F19"/>
      <c r="G19"/>
      <c r="H19"/>
      <c r="I19"/>
    </row>
    <row r="20" spans="1:9" x14ac:dyDescent="0.3">
      <c r="A20" s="577" t="s">
        <v>445</v>
      </c>
      <c r="B20" s="574"/>
      <c r="C20" s="574"/>
      <c r="D20" s="574"/>
      <c r="E20" s="574"/>
      <c r="F20" s="574"/>
      <c r="G20" s="574"/>
      <c r="H20" s="574"/>
      <c r="I20" s="574"/>
    </row>
    <row r="21" spans="1:9" x14ac:dyDescent="0.3">
      <c r="A21">
        <v>21</v>
      </c>
      <c r="B21" s="146">
        <v>353.8</v>
      </c>
      <c r="C21" s="147">
        <v>405246.36</v>
      </c>
      <c r="D21" s="147">
        <v>0</v>
      </c>
      <c r="E21" s="147">
        <v>0</v>
      </c>
      <c r="F21" s="147">
        <v>0</v>
      </c>
      <c r="G21" s="147">
        <v>0</v>
      </c>
      <c r="H21" s="147">
        <v>0</v>
      </c>
      <c r="I21" s="147">
        <v>405246.36</v>
      </c>
    </row>
    <row r="22" spans="1:9" x14ac:dyDescent="0.3">
      <c r="A22">
        <v>22</v>
      </c>
      <c r="B22" s="146">
        <v>360</v>
      </c>
      <c r="C22" s="147">
        <v>742731.37701280008</v>
      </c>
      <c r="D22" s="147">
        <v>0</v>
      </c>
      <c r="E22" s="147">
        <v>0</v>
      </c>
      <c r="F22" s="147">
        <v>0</v>
      </c>
      <c r="G22" s="147">
        <v>0</v>
      </c>
      <c r="H22" s="147">
        <v>742731.37701280008</v>
      </c>
      <c r="I22" s="147">
        <v>0</v>
      </c>
    </row>
    <row r="23" spans="1:9" x14ac:dyDescent="0.3">
      <c r="A23">
        <v>23</v>
      </c>
      <c r="B23" s="146">
        <v>361</v>
      </c>
      <c r="C23" s="147">
        <v>355909.43207680003</v>
      </c>
      <c r="D23" s="147">
        <v>0</v>
      </c>
      <c r="E23" s="147">
        <v>0</v>
      </c>
      <c r="F23" s="147">
        <v>0</v>
      </c>
      <c r="G23" s="147">
        <v>0</v>
      </c>
      <c r="H23" s="147">
        <v>162866.1520768</v>
      </c>
      <c r="I23" s="147">
        <v>193043.28</v>
      </c>
    </row>
    <row r="24" spans="1:9" x14ac:dyDescent="0.3">
      <c r="A24">
        <v>24</v>
      </c>
      <c r="B24" s="146">
        <v>362</v>
      </c>
      <c r="C24" s="147">
        <v>21491615.169054799</v>
      </c>
      <c r="D24" s="147">
        <v>774254.26600000006</v>
      </c>
      <c r="E24" s="147">
        <v>0</v>
      </c>
      <c r="F24" s="147">
        <v>0</v>
      </c>
      <c r="G24" s="147">
        <v>0</v>
      </c>
      <c r="H24" s="147">
        <v>14438848.538054798</v>
      </c>
      <c r="I24" s="147">
        <v>6278512.3649999993</v>
      </c>
    </row>
    <row r="25" spans="1:9" x14ac:dyDescent="0.3">
      <c r="A25">
        <v>25</v>
      </c>
      <c r="B25" s="146" t="s">
        <v>441</v>
      </c>
      <c r="C25" s="147">
        <v>0</v>
      </c>
      <c r="D25" s="147">
        <v>0</v>
      </c>
      <c r="E25" s="147">
        <v>0</v>
      </c>
      <c r="F25" s="147">
        <v>0</v>
      </c>
      <c r="G25" s="147">
        <v>0</v>
      </c>
      <c r="H25" s="147">
        <v>0</v>
      </c>
      <c r="I25" s="147">
        <v>0</v>
      </c>
    </row>
    <row r="26" spans="1:9" x14ac:dyDescent="0.3">
      <c r="A26">
        <v>26</v>
      </c>
      <c r="B26" s="146" t="s">
        <v>442</v>
      </c>
      <c r="C26" s="147">
        <v>6656205.0899999999</v>
      </c>
      <c r="D26" s="147">
        <v>0</v>
      </c>
      <c r="E26" s="147">
        <v>0</v>
      </c>
      <c r="F26" s="147">
        <v>0</v>
      </c>
      <c r="G26" s="147">
        <v>0</v>
      </c>
      <c r="H26" s="147">
        <v>6656205.0899999999</v>
      </c>
      <c r="I26" s="147">
        <v>0</v>
      </c>
    </row>
    <row r="27" spans="1:9" x14ac:dyDescent="0.3">
      <c r="A27">
        <v>27</v>
      </c>
      <c r="B27" s="146" t="s">
        <v>443</v>
      </c>
      <c r="C27" s="147">
        <v>103931.04000000001</v>
      </c>
      <c r="D27" s="147">
        <v>98692.11</v>
      </c>
      <c r="E27" s="147">
        <v>5238.93</v>
      </c>
      <c r="F27" s="147">
        <v>0</v>
      </c>
      <c r="G27" s="147">
        <v>0</v>
      </c>
      <c r="H27" s="147">
        <v>0</v>
      </c>
      <c r="I27" s="147">
        <v>0</v>
      </c>
    </row>
    <row r="28" spans="1:9" x14ac:dyDescent="0.3">
      <c r="A28">
        <v>28</v>
      </c>
      <c r="B28" s="148" t="s">
        <v>444</v>
      </c>
      <c r="C28" s="147">
        <v>984499.81999999983</v>
      </c>
      <c r="D28" s="147">
        <v>714916.42999999993</v>
      </c>
      <c r="E28" s="147">
        <v>42010.700000000004</v>
      </c>
      <c r="F28" s="147">
        <v>19397.189999999999</v>
      </c>
      <c r="G28" s="147">
        <v>208175.5</v>
      </c>
      <c r="H28" s="147">
        <v>0</v>
      </c>
      <c r="I28" s="147">
        <v>0</v>
      </c>
    </row>
    <row r="29" spans="1:9" x14ac:dyDescent="0.3">
      <c r="A29">
        <v>29</v>
      </c>
      <c r="B29" s="146"/>
      <c r="C29" s="147"/>
      <c r="D29" s="147"/>
      <c r="E29" s="147"/>
      <c r="F29" s="147"/>
      <c r="G29" s="147"/>
      <c r="H29" s="147"/>
      <c r="I29" s="147"/>
    </row>
    <row r="30" spans="1:9" x14ac:dyDescent="0.3">
      <c r="A30">
        <v>30</v>
      </c>
      <c r="B30" s="146" t="s">
        <v>20</v>
      </c>
      <c r="C30" s="147">
        <v>30740138.288144398</v>
      </c>
      <c r="D30" s="147">
        <v>1587862.8059999999</v>
      </c>
      <c r="E30" s="147">
        <v>47249.630000000005</v>
      </c>
      <c r="F30" s="147">
        <v>19397.189999999999</v>
      </c>
      <c r="G30" s="147">
        <v>208175.5</v>
      </c>
      <c r="H30" s="147">
        <v>22000651.157144397</v>
      </c>
      <c r="I30" s="147">
        <v>6876802.004999999</v>
      </c>
    </row>
    <row r="31" spans="1:9" x14ac:dyDescent="0.3">
      <c r="A31">
        <v>31</v>
      </c>
      <c r="B31"/>
      <c r="C31"/>
      <c r="D31"/>
      <c r="E31"/>
      <c r="F31"/>
      <c r="G31"/>
      <c r="H31"/>
      <c r="I31"/>
    </row>
    <row r="32" spans="1:9" x14ac:dyDescent="0.3">
      <c r="A32" s="573" t="s">
        <v>446</v>
      </c>
      <c r="B32" s="574"/>
      <c r="C32" s="574"/>
      <c r="D32" s="574"/>
      <c r="E32" s="574"/>
      <c r="F32" s="574"/>
      <c r="G32" s="574"/>
      <c r="H32" s="574"/>
      <c r="I32" s="574"/>
    </row>
    <row r="33" spans="1:9" x14ac:dyDescent="0.3">
      <c r="A33">
        <v>33</v>
      </c>
      <c r="B33" s="146">
        <v>360</v>
      </c>
      <c r="C33" s="147">
        <v>4625429.5874469783</v>
      </c>
      <c r="D33" s="147">
        <v>0</v>
      </c>
      <c r="E33" s="147"/>
      <c r="F33" s="147">
        <v>0</v>
      </c>
      <c r="G33" s="147">
        <v>4625429.5874469783</v>
      </c>
      <c r="H33" s="147">
        <v>0</v>
      </c>
      <c r="I33" s="147">
        <v>0</v>
      </c>
    </row>
    <row r="34" spans="1:9" x14ac:dyDescent="0.3">
      <c r="A34">
        <v>34</v>
      </c>
      <c r="B34" s="146">
        <v>361</v>
      </c>
      <c r="C34" s="147">
        <v>340751.24407252943</v>
      </c>
      <c r="D34" s="147">
        <v>0</v>
      </c>
      <c r="E34" s="147"/>
      <c r="F34" s="147">
        <v>0</v>
      </c>
      <c r="G34" s="147">
        <v>340751.24407252943</v>
      </c>
      <c r="H34" s="147">
        <v>0</v>
      </c>
      <c r="I34" s="147">
        <v>0</v>
      </c>
    </row>
    <row r="35" spans="1:9" x14ac:dyDescent="0.3">
      <c r="A35">
        <v>35</v>
      </c>
      <c r="B35" s="146">
        <v>362</v>
      </c>
      <c r="C35" s="147">
        <v>13786772.082260853</v>
      </c>
      <c r="D35" s="147">
        <v>0</v>
      </c>
      <c r="E35" s="147"/>
      <c r="F35" s="147">
        <v>0</v>
      </c>
      <c r="G35" s="147">
        <v>13786772.082260853</v>
      </c>
      <c r="H35" s="147">
        <v>0</v>
      </c>
      <c r="I35" s="147">
        <v>0</v>
      </c>
    </row>
    <row r="36" spans="1:9" x14ac:dyDescent="0.3">
      <c r="A36">
        <v>36</v>
      </c>
      <c r="B36" s="146" t="s">
        <v>441</v>
      </c>
      <c r="C36" s="147">
        <v>1570594.1159978251</v>
      </c>
      <c r="D36" s="147">
        <v>0</v>
      </c>
      <c r="E36" s="147"/>
      <c r="F36" s="147">
        <v>0</v>
      </c>
      <c r="G36" s="147">
        <v>1570594.1159978251</v>
      </c>
      <c r="H36" s="147">
        <v>0</v>
      </c>
      <c r="I36" s="147">
        <v>0</v>
      </c>
    </row>
    <row r="37" spans="1:9" x14ac:dyDescent="0.3">
      <c r="A37">
        <v>37</v>
      </c>
      <c r="B37" s="146" t="s">
        <v>442</v>
      </c>
      <c r="C37" s="147">
        <v>26065398.946191806</v>
      </c>
      <c r="D37" s="147">
        <v>0</v>
      </c>
      <c r="E37" s="147"/>
      <c r="F37" s="147">
        <v>0</v>
      </c>
      <c r="G37" s="147">
        <v>26065398.946191806</v>
      </c>
      <c r="H37" s="147">
        <v>0</v>
      </c>
      <c r="I37" s="147">
        <v>0</v>
      </c>
    </row>
    <row r="38" spans="1:9" x14ac:dyDescent="0.3">
      <c r="A38">
        <v>38</v>
      </c>
      <c r="B38" s="146" t="s">
        <v>443</v>
      </c>
      <c r="C38" s="147">
        <v>22085.3</v>
      </c>
      <c r="D38" s="147">
        <v>0</v>
      </c>
      <c r="E38" s="147"/>
      <c r="F38" s="147">
        <v>0</v>
      </c>
      <c r="G38" s="147">
        <v>22085.3</v>
      </c>
      <c r="H38" s="147">
        <v>0</v>
      </c>
      <c r="I38" s="147">
        <v>0</v>
      </c>
    </row>
    <row r="39" spans="1:9" x14ac:dyDescent="0.3">
      <c r="A39">
        <v>39</v>
      </c>
      <c r="B39" s="148" t="s">
        <v>444</v>
      </c>
      <c r="C39" s="147">
        <v>2057269.3900000001</v>
      </c>
      <c r="D39" s="147">
        <v>0</v>
      </c>
      <c r="E39" s="147"/>
      <c r="F39" s="147">
        <v>0</v>
      </c>
      <c r="G39" s="147">
        <v>2057269.3900000001</v>
      </c>
      <c r="H39" s="147">
        <v>0</v>
      </c>
      <c r="I39" s="147">
        <v>0</v>
      </c>
    </row>
    <row r="40" spans="1:9" x14ac:dyDescent="0.3">
      <c r="A40">
        <v>40</v>
      </c>
      <c r="B40" s="146"/>
      <c r="C40" s="147"/>
      <c r="D40" s="147"/>
      <c r="E40" s="147"/>
      <c r="F40" s="147"/>
      <c r="G40" s="147"/>
      <c r="H40" s="147"/>
      <c r="I40" s="147"/>
    </row>
    <row r="41" spans="1:9" x14ac:dyDescent="0.3">
      <c r="A41">
        <v>41</v>
      </c>
      <c r="B41" s="146" t="s">
        <v>20</v>
      </c>
      <c r="C41" s="147">
        <v>48468300.66596999</v>
      </c>
      <c r="D41" s="147">
        <v>0</v>
      </c>
      <c r="E41" s="147"/>
      <c r="F41" s="147">
        <v>0</v>
      </c>
      <c r="G41" s="147">
        <v>48468300.66596999</v>
      </c>
      <c r="H41" s="147">
        <v>0</v>
      </c>
      <c r="I41" s="147">
        <v>0</v>
      </c>
    </row>
  </sheetData>
  <mergeCells count="6">
    <mergeCell ref="A32:I32"/>
    <mergeCell ref="A1:I1"/>
    <mergeCell ref="A2:I2"/>
    <mergeCell ref="A3:I3"/>
    <mergeCell ref="A7:I7"/>
    <mergeCell ref="A20:I20"/>
  </mergeCells>
  <printOptions horizontalCentered="1"/>
  <pageMargins left="0.25" right="0.25" top="0.75" bottom="0.75" header="0.3" footer="0.3"/>
  <pageSetup scale="82" orientation="landscape" r:id="rId1"/>
  <headerFooter>
    <oddFooter>&amp;L&amp;"Times New Roman,Regular"&amp;F
&amp;A&amp;R&amp;"Times New Roman,Regular"Page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G74"/>
  <sheetViews>
    <sheetView tabSelected="1" topLeftCell="A60" workbookViewId="0">
      <selection activeCell="F66" sqref="F66"/>
    </sheetView>
  </sheetViews>
  <sheetFormatPr defaultRowHeight="14.4" x14ac:dyDescent="0.3"/>
  <cols>
    <col min="1" max="1" width="5.6640625" customWidth="1"/>
    <col min="2" max="2" width="75.88671875" bestFit="1" customWidth="1"/>
    <col min="3" max="3" width="42.33203125" bestFit="1" customWidth="1"/>
    <col min="4" max="4" width="18.109375" customWidth="1"/>
    <col min="5" max="5" width="18.21875" customWidth="1"/>
    <col min="6" max="6" width="13.109375" bestFit="1" customWidth="1"/>
    <col min="7" max="7" width="9.88671875" bestFit="1" customWidth="1"/>
  </cols>
  <sheetData>
    <row r="1" spans="1:6" ht="15.6" x14ac:dyDescent="0.3">
      <c r="A1" s="57" t="s">
        <v>92</v>
      </c>
      <c r="B1" s="58"/>
      <c r="C1" s="58"/>
      <c r="D1" s="58"/>
      <c r="E1" s="58"/>
      <c r="F1" s="58"/>
    </row>
    <row r="2" spans="1:6" x14ac:dyDescent="0.3">
      <c r="A2" s="58"/>
      <c r="B2" s="58"/>
      <c r="C2" s="58"/>
      <c r="D2" s="58"/>
      <c r="E2" s="58"/>
      <c r="F2" s="58"/>
    </row>
    <row r="3" spans="1:6" ht="15.6" x14ac:dyDescent="0.3">
      <c r="A3" s="58"/>
      <c r="B3" s="59" t="s">
        <v>93</v>
      </c>
      <c r="C3" s="59"/>
      <c r="D3" s="58"/>
      <c r="E3" s="59" t="s">
        <v>94</v>
      </c>
      <c r="F3" s="58"/>
    </row>
    <row r="4" spans="1:6" ht="15.6" x14ac:dyDescent="0.3">
      <c r="A4" s="58"/>
      <c r="B4" s="59"/>
      <c r="C4" s="59"/>
      <c r="D4" s="58"/>
      <c r="E4" s="60"/>
      <c r="F4" s="58"/>
    </row>
    <row r="5" spans="1:6" x14ac:dyDescent="0.3">
      <c r="A5" s="61">
        <v>1</v>
      </c>
      <c r="B5" s="62" t="s">
        <v>95</v>
      </c>
      <c r="C5" s="63"/>
      <c r="D5" s="58"/>
      <c r="E5" s="60"/>
      <c r="F5" s="58"/>
    </row>
    <row r="6" spans="1:6" x14ac:dyDescent="0.3">
      <c r="A6" s="61">
        <v>2</v>
      </c>
      <c r="B6" s="62" t="s">
        <v>96</v>
      </c>
      <c r="C6" s="63"/>
      <c r="D6" s="58"/>
      <c r="E6" s="60"/>
      <c r="F6" s="58"/>
    </row>
    <row r="7" spans="1:6" x14ac:dyDescent="0.3">
      <c r="A7" s="61">
        <v>3</v>
      </c>
      <c r="B7" s="62" t="s">
        <v>97</v>
      </c>
      <c r="C7" s="63"/>
      <c r="D7" s="58"/>
      <c r="E7" s="60"/>
      <c r="F7" s="58"/>
    </row>
    <row r="8" spans="1:6" x14ac:dyDescent="0.3">
      <c r="A8" s="61">
        <v>4</v>
      </c>
      <c r="B8" s="63" t="s">
        <v>98</v>
      </c>
      <c r="C8" s="63"/>
      <c r="D8" s="58"/>
      <c r="E8" s="60"/>
      <c r="F8" s="58"/>
    </row>
    <row r="9" spans="1:6" x14ac:dyDescent="0.3">
      <c r="A9" s="61">
        <v>5</v>
      </c>
      <c r="B9" s="63" t="s">
        <v>99</v>
      </c>
      <c r="C9" s="63"/>
      <c r="D9" s="58"/>
      <c r="E9" s="58"/>
      <c r="F9" s="58"/>
    </row>
    <row r="10" spans="1:6" x14ac:dyDescent="0.3">
      <c r="A10" s="61"/>
      <c r="B10" s="58"/>
      <c r="C10" s="58"/>
      <c r="D10" s="58"/>
      <c r="E10" s="64" t="s">
        <v>100</v>
      </c>
      <c r="F10" s="64" t="s">
        <v>32</v>
      </c>
    </row>
    <row r="11" spans="1:6" x14ac:dyDescent="0.3">
      <c r="A11" s="61"/>
      <c r="B11" s="64" t="s">
        <v>93</v>
      </c>
      <c r="C11" s="63">
        <v>3</v>
      </c>
      <c r="D11" s="58"/>
      <c r="E11" s="63" t="s">
        <v>101</v>
      </c>
      <c r="F11" s="63" t="s">
        <v>102</v>
      </c>
    </row>
    <row r="12" spans="1:6" x14ac:dyDescent="0.3">
      <c r="A12" s="61"/>
      <c r="B12" s="58"/>
      <c r="C12" s="58"/>
      <c r="D12" s="58"/>
      <c r="E12" s="63" t="s">
        <v>103</v>
      </c>
      <c r="F12" s="63" t="s">
        <v>104</v>
      </c>
    </row>
    <row r="13" spans="1:6" x14ac:dyDescent="0.3">
      <c r="A13" s="61"/>
      <c r="B13" s="58"/>
      <c r="C13" s="58"/>
      <c r="D13" s="58"/>
      <c r="E13" s="63" t="s">
        <v>105</v>
      </c>
      <c r="F13" s="63" t="s">
        <v>106</v>
      </c>
    </row>
    <row r="14" spans="1:6" x14ac:dyDescent="0.3">
      <c r="A14" s="61"/>
      <c r="B14" s="58"/>
      <c r="C14" s="58"/>
      <c r="D14" s="58"/>
      <c r="E14" s="63" t="s">
        <v>107</v>
      </c>
      <c r="F14" s="63" t="s">
        <v>107</v>
      </c>
    </row>
    <row r="15" spans="1:6" ht="15.6" x14ac:dyDescent="0.3">
      <c r="A15" s="61"/>
      <c r="B15" s="59" t="s">
        <v>108</v>
      </c>
      <c r="C15" s="58"/>
      <c r="D15" s="58"/>
      <c r="E15" s="63" t="s">
        <v>107</v>
      </c>
      <c r="F15" s="63" t="s">
        <v>107</v>
      </c>
    </row>
    <row r="16" spans="1:6" x14ac:dyDescent="0.3">
      <c r="A16" s="61"/>
      <c r="B16" s="58"/>
      <c r="C16" s="58"/>
      <c r="D16" s="58"/>
      <c r="E16" s="63" t="s">
        <v>107</v>
      </c>
      <c r="F16" s="63" t="s">
        <v>107</v>
      </c>
    </row>
    <row r="17" spans="1:6" x14ac:dyDescent="0.3">
      <c r="A17" s="61"/>
      <c r="B17" s="64" t="s">
        <v>109</v>
      </c>
      <c r="C17" s="64" t="s">
        <v>32</v>
      </c>
      <c r="D17" s="58"/>
      <c r="E17" s="63" t="s">
        <v>107</v>
      </c>
      <c r="F17" s="63" t="s">
        <v>107</v>
      </c>
    </row>
    <row r="18" spans="1:6" x14ac:dyDescent="0.3">
      <c r="A18" s="61">
        <v>1</v>
      </c>
      <c r="B18" s="63" t="s">
        <v>110</v>
      </c>
      <c r="C18" s="63" t="s">
        <v>111</v>
      </c>
      <c r="D18" s="58"/>
      <c r="E18" s="63" t="s">
        <v>107</v>
      </c>
      <c r="F18" s="63" t="s">
        <v>107</v>
      </c>
    </row>
    <row r="19" spans="1:6" x14ac:dyDescent="0.3">
      <c r="A19" s="61">
        <v>2</v>
      </c>
      <c r="B19" s="63" t="s">
        <v>112</v>
      </c>
      <c r="C19" s="63" t="s">
        <v>113</v>
      </c>
      <c r="D19" s="58"/>
      <c r="E19" s="63" t="s">
        <v>107</v>
      </c>
      <c r="F19" s="63" t="s">
        <v>107</v>
      </c>
    </row>
    <row r="20" spans="1:6" x14ac:dyDescent="0.3">
      <c r="A20" s="61">
        <v>3</v>
      </c>
      <c r="B20" s="63" t="s">
        <v>114</v>
      </c>
      <c r="C20" s="63" t="s">
        <v>115</v>
      </c>
      <c r="D20" s="58"/>
      <c r="E20" s="63" t="s">
        <v>107</v>
      </c>
      <c r="F20" s="63" t="s">
        <v>107</v>
      </c>
    </row>
    <row r="21" spans="1:6" x14ac:dyDescent="0.3">
      <c r="A21" s="61">
        <v>4</v>
      </c>
      <c r="B21" s="63" t="s">
        <v>116</v>
      </c>
      <c r="C21" s="63" t="s">
        <v>117</v>
      </c>
      <c r="D21" s="58"/>
      <c r="E21" s="58"/>
      <c r="F21" s="58"/>
    </row>
    <row r="22" spans="1:6" ht="15.6" x14ac:dyDescent="0.3">
      <c r="A22" s="61">
        <v>5</v>
      </c>
      <c r="B22" s="63" t="s">
        <v>118</v>
      </c>
      <c r="C22" s="63" t="s">
        <v>119</v>
      </c>
      <c r="D22" s="58"/>
      <c r="E22" s="59"/>
      <c r="F22" s="64" t="s">
        <v>120</v>
      </c>
    </row>
    <row r="23" spans="1:6" x14ac:dyDescent="0.3">
      <c r="A23" s="61">
        <v>6</v>
      </c>
      <c r="B23" s="63" t="s">
        <v>121</v>
      </c>
      <c r="C23" s="63" t="s">
        <v>122</v>
      </c>
      <c r="D23" s="58"/>
      <c r="E23" s="63" t="s">
        <v>123</v>
      </c>
      <c r="F23" s="63" t="s">
        <v>124</v>
      </c>
    </row>
    <row r="24" spans="1:6" x14ac:dyDescent="0.3">
      <c r="A24" s="61">
        <v>7</v>
      </c>
      <c r="B24" s="63" t="s">
        <v>125</v>
      </c>
      <c r="C24" s="63" t="s">
        <v>126</v>
      </c>
      <c r="D24" s="58"/>
      <c r="E24" s="63"/>
      <c r="F24" s="63" t="s">
        <v>127</v>
      </c>
    </row>
    <row r="25" spans="1:6" x14ac:dyDescent="0.3">
      <c r="A25" s="61">
        <v>8</v>
      </c>
      <c r="B25" s="63" t="s">
        <v>128</v>
      </c>
      <c r="C25" s="63" t="s">
        <v>129</v>
      </c>
      <c r="D25" s="58"/>
      <c r="E25" s="63"/>
      <c r="F25" s="65" t="s">
        <v>130</v>
      </c>
    </row>
    <row r="26" spans="1:6" x14ac:dyDescent="0.3">
      <c r="A26" s="61">
        <v>9</v>
      </c>
      <c r="B26" s="63" t="s">
        <v>131</v>
      </c>
      <c r="C26" s="63" t="s">
        <v>132</v>
      </c>
      <c r="D26" s="58"/>
      <c r="E26" s="63"/>
      <c r="F26" s="62" t="s">
        <v>133</v>
      </c>
    </row>
    <row r="27" spans="1:6" x14ac:dyDescent="0.3">
      <c r="A27" s="61">
        <v>10</v>
      </c>
      <c r="B27" s="63" t="s">
        <v>134</v>
      </c>
      <c r="C27" s="63" t="s">
        <v>135</v>
      </c>
      <c r="D27" s="58"/>
      <c r="E27" s="58" t="s">
        <v>136</v>
      </c>
      <c r="F27" s="58"/>
    </row>
    <row r="28" spans="1:6" ht="15.6" x14ac:dyDescent="0.3">
      <c r="A28" s="61">
        <v>11</v>
      </c>
      <c r="B28" s="63" t="s">
        <v>137</v>
      </c>
      <c r="C28" s="63" t="s">
        <v>138</v>
      </c>
      <c r="D28" s="58"/>
      <c r="E28" s="59"/>
      <c r="F28" s="66" t="s">
        <v>139</v>
      </c>
    </row>
    <row r="29" spans="1:6" x14ac:dyDescent="0.3">
      <c r="A29" s="61">
        <v>12</v>
      </c>
      <c r="B29" s="63" t="s">
        <v>140</v>
      </c>
      <c r="C29" s="63" t="s">
        <v>141</v>
      </c>
      <c r="D29" s="58"/>
      <c r="E29" s="63" t="s">
        <v>142</v>
      </c>
      <c r="F29" s="67">
        <f ca="1">+ROR!F23</f>
        <v>7.6000000000000012E-2</v>
      </c>
    </row>
    <row r="30" spans="1:6" x14ac:dyDescent="0.3">
      <c r="A30" s="61">
        <v>13</v>
      </c>
      <c r="B30" s="63" t="s">
        <v>143</v>
      </c>
      <c r="C30" s="63" t="s">
        <v>144</v>
      </c>
      <c r="D30" s="58"/>
      <c r="E30" s="63" t="s">
        <v>145</v>
      </c>
      <c r="F30" s="67">
        <f ca="1">+ROR!F21</f>
        <v>2.9900000000000003E-2</v>
      </c>
    </row>
    <row r="31" spans="1:6" x14ac:dyDescent="0.3">
      <c r="A31" s="61">
        <v>14</v>
      </c>
      <c r="B31" s="63" t="s">
        <v>107</v>
      </c>
      <c r="C31" s="63" t="s">
        <v>107</v>
      </c>
      <c r="D31" s="58"/>
      <c r="E31" s="63" t="s">
        <v>146</v>
      </c>
      <c r="F31" s="67">
        <f ca="1">+ROR!F22</f>
        <v>4.6100000000000002E-2</v>
      </c>
    </row>
    <row r="32" spans="1:6" x14ac:dyDescent="0.3">
      <c r="A32" s="61">
        <v>15</v>
      </c>
      <c r="B32" s="63" t="s">
        <v>107</v>
      </c>
      <c r="C32" s="63" t="s">
        <v>107</v>
      </c>
      <c r="D32" s="58"/>
      <c r="E32" s="58"/>
      <c r="F32" s="58"/>
    </row>
    <row r="33" spans="1:7" ht="15.6" x14ac:dyDescent="0.3">
      <c r="A33" s="61">
        <v>16</v>
      </c>
      <c r="B33" s="63" t="s">
        <v>107</v>
      </c>
      <c r="C33" s="63" t="s">
        <v>107</v>
      </c>
      <c r="D33" s="58"/>
      <c r="E33" s="59" t="s">
        <v>147</v>
      </c>
      <c r="F33" s="58"/>
    </row>
    <row r="34" spans="1:7" x14ac:dyDescent="0.3">
      <c r="A34" s="61">
        <v>17</v>
      </c>
      <c r="B34" s="63" t="s">
        <v>107</v>
      </c>
      <c r="C34" s="63" t="s">
        <v>107</v>
      </c>
      <c r="D34" s="58"/>
      <c r="E34" s="63" t="s">
        <v>148</v>
      </c>
      <c r="F34" s="67">
        <v>0</v>
      </c>
    </row>
    <row r="35" spans="1:7" x14ac:dyDescent="0.3">
      <c r="A35" s="61">
        <v>18</v>
      </c>
      <c r="B35" s="63" t="s">
        <v>107</v>
      </c>
      <c r="C35" s="63" t="s">
        <v>107</v>
      </c>
      <c r="D35" s="58"/>
      <c r="E35" s="63" t="s">
        <v>149</v>
      </c>
      <c r="F35" s="67">
        <v>0</v>
      </c>
      <c r="G35" s="73">
        <f ca="1">+'Revenue Sensitive Items'!D21</f>
        <v>0.21</v>
      </c>
    </row>
    <row r="36" spans="1:7" x14ac:dyDescent="0.3">
      <c r="A36" s="61">
        <v>19</v>
      </c>
      <c r="B36" s="63" t="s">
        <v>107</v>
      </c>
      <c r="C36" s="63" t="s">
        <v>107</v>
      </c>
      <c r="D36" s="58"/>
      <c r="E36" s="63" t="s">
        <v>150</v>
      </c>
      <c r="F36" s="67">
        <v>0</v>
      </c>
    </row>
    <row r="37" spans="1:7" x14ac:dyDescent="0.3">
      <c r="A37" s="61">
        <v>20</v>
      </c>
      <c r="B37" s="63" t="s">
        <v>107</v>
      </c>
      <c r="C37" s="63" t="s">
        <v>107</v>
      </c>
      <c r="D37" s="58"/>
      <c r="E37" s="58"/>
      <c r="F37" s="58"/>
    </row>
    <row r="38" spans="1:7" ht="15.6" x14ac:dyDescent="0.3">
      <c r="A38" s="61"/>
      <c r="B38" s="68"/>
      <c r="C38" s="68"/>
      <c r="D38" s="58"/>
      <c r="E38" s="59" t="s">
        <v>151</v>
      </c>
      <c r="F38" s="58"/>
    </row>
    <row r="39" spans="1:7" ht="15.6" x14ac:dyDescent="0.3">
      <c r="A39" s="61"/>
      <c r="B39" s="59" t="s">
        <v>152</v>
      </c>
      <c r="C39" s="58"/>
      <c r="D39" s="58"/>
      <c r="E39" s="63" t="s">
        <v>153</v>
      </c>
      <c r="F39" s="67">
        <v>0</v>
      </c>
    </row>
    <row r="40" spans="1:7" x14ac:dyDescent="0.3">
      <c r="A40" s="61"/>
      <c r="B40" s="58"/>
      <c r="C40" s="58"/>
      <c r="D40" s="58"/>
      <c r="E40" s="63" t="s">
        <v>60</v>
      </c>
      <c r="F40" s="67">
        <v>0</v>
      </c>
    </row>
    <row r="41" spans="1:7" x14ac:dyDescent="0.3">
      <c r="A41" s="61"/>
      <c r="B41" s="64" t="s">
        <v>100</v>
      </c>
      <c r="C41" s="64" t="s">
        <v>32</v>
      </c>
      <c r="D41" s="58"/>
      <c r="E41" s="63" t="s">
        <v>60</v>
      </c>
      <c r="F41" s="67">
        <v>0</v>
      </c>
    </row>
    <row r="42" spans="1:7" x14ac:dyDescent="0.3">
      <c r="A42" s="61"/>
      <c r="B42" s="63" t="s">
        <v>154</v>
      </c>
      <c r="C42" s="63" t="s">
        <v>155</v>
      </c>
      <c r="D42" s="58"/>
      <c r="E42" s="58"/>
      <c r="F42" s="58"/>
    </row>
    <row r="43" spans="1:7" ht="15.6" x14ac:dyDescent="0.3">
      <c r="A43" s="61"/>
      <c r="B43" s="63" t="s">
        <v>156</v>
      </c>
      <c r="C43" s="63" t="s">
        <v>157</v>
      </c>
      <c r="D43" s="58"/>
      <c r="E43" s="57" t="s">
        <v>158</v>
      </c>
      <c r="F43" s="58"/>
    </row>
    <row r="44" spans="1:7" x14ac:dyDescent="0.3">
      <c r="A44" s="61"/>
      <c r="B44" s="63" t="s">
        <v>159</v>
      </c>
      <c r="C44" s="63" t="s">
        <v>160</v>
      </c>
      <c r="D44" s="58"/>
      <c r="E44" s="63" t="s">
        <v>153</v>
      </c>
      <c r="F44" s="69">
        <f ca="1">ROUND(+'Revenue Sensitive Items'!E22,6)</f>
        <v>0.75238499999999997</v>
      </c>
      <c r="G44" s="69">
        <f>ROUND(+'Revenue Sensitive Items'!F22,6)</f>
        <v>0</v>
      </c>
    </row>
    <row r="45" spans="1:7" x14ac:dyDescent="0.3">
      <c r="A45" s="61"/>
      <c r="B45" s="63" t="s">
        <v>107</v>
      </c>
      <c r="C45" s="63" t="s">
        <v>107</v>
      </c>
      <c r="D45" s="58"/>
      <c r="E45" s="63" t="s">
        <v>60</v>
      </c>
      <c r="F45" s="69">
        <v>0</v>
      </c>
    </row>
    <row r="46" spans="1:7" x14ac:dyDescent="0.3">
      <c r="A46" s="61"/>
      <c r="B46" s="63" t="s">
        <v>107</v>
      </c>
      <c r="C46" s="63" t="s">
        <v>107</v>
      </c>
      <c r="D46" s="58"/>
      <c r="E46" s="63" t="s">
        <v>60</v>
      </c>
      <c r="F46" s="69">
        <v>0</v>
      </c>
    </row>
    <row r="47" spans="1:7" x14ac:dyDescent="0.3">
      <c r="A47" s="61"/>
      <c r="B47" s="63" t="s">
        <v>107</v>
      </c>
      <c r="C47" s="63" t="s">
        <v>107</v>
      </c>
      <c r="D47" s="58"/>
      <c r="E47" s="58"/>
      <c r="F47" s="58"/>
    </row>
    <row r="48" spans="1:7" x14ac:dyDescent="0.3">
      <c r="A48" s="61"/>
      <c r="B48" s="58"/>
      <c r="C48" s="58"/>
      <c r="D48" s="58"/>
      <c r="E48" s="58"/>
      <c r="F48" s="58"/>
    </row>
    <row r="49" spans="1:6" x14ac:dyDescent="0.3">
      <c r="A49" s="61"/>
      <c r="B49" s="58" t="s">
        <v>161</v>
      </c>
      <c r="C49" s="58"/>
      <c r="D49" s="58"/>
      <c r="E49" s="58"/>
      <c r="F49" s="58"/>
    </row>
    <row r="50" spans="1:6" x14ac:dyDescent="0.3">
      <c r="A50" s="61"/>
      <c r="B50" s="58"/>
      <c r="C50" s="58"/>
      <c r="D50" s="58"/>
      <c r="E50" s="58"/>
      <c r="F50" s="58"/>
    </row>
    <row r="51" spans="1:6" ht="15.6" x14ac:dyDescent="0.3">
      <c r="A51" s="61"/>
      <c r="B51" s="70"/>
      <c r="C51" s="71"/>
      <c r="D51" s="72">
        <v>1</v>
      </c>
      <c r="E51" s="72">
        <v>2</v>
      </c>
      <c r="F51" s="72">
        <v>3</v>
      </c>
    </row>
    <row r="52" spans="1:6" ht="106.2" x14ac:dyDescent="0.3">
      <c r="A52" s="61"/>
      <c r="B52" s="58"/>
      <c r="C52" s="71"/>
      <c r="D52" s="66" t="s">
        <v>95</v>
      </c>
      <c r="E52" s="66" t="s">
        <v>96</v>
      </c>
      <c r="F52" s="66" t="s">
        <v>97</v>
      </c>
    </row>
    <row r="53" spans="1:6" x14ac:dyDescent="0.3">
      <c r="A53" s="61"/>
      <c r="B53" s="64" t="s">
        <v>109</v>
      </c>
      <c r="C53" s="71"/>
      <c r="D53" s="71"/>
      <c r="E53" s="71"/>
      <c r="F53" s="71"/>
    </row>
    <row r="54" spans="1:6" x14ac:dyDescent="0.3">
      <c r="A54" s="61">
        <v>1</v>
      </c>
      <c r="B54" s="63" t="s">
        <v>110</v>
      </c>
      <c r="C54" s="65"/>
      <c r="D54" s="65"/>
      <c r="E54" s="65">
        <f>SUM('Proforma Revenue'!K9)</f>
        <v>1066627454</v>
      </c>
      <c r="F54" s="65">
        <f>+'Proposed Rev'!M8</f>
        <v>20068765.147959139</v>
      </c>
    </row>
    <row r="55" spans="1:6" x14ac:dyDescent="0.3">
      <c r="A55" s="61">
        <v>2</v>
      </c>
      <c r="B55" s="63" t="s">
        <v>112</v>
      </c>
      <c r="C55" s="65"/>
      <c r="D55" s="65"/>
      <c r="E55" s="65">
        <f>SUM('Proforma Revenue'!K13)</f>
        <v>266956973</v>
      </c>
      <c r="F55" s="65">
        <f>+'Proposed Rev'!M11</f>
        <v>3767130.4056645827</v>
      </c>
    </row>
    <row r="56" spans="1:6" x14ac:dyDescent="0.3">
      <c r="A56" s="61">
        <v>3</v>
      </c>
      <c r="B56" s="63" t="s">
        <v>114</v>
      </c>
      <c r="C56" s="65"/>
      <c r="D56" s="65"/>
      <c r="E56" s="65">
        <f>SUM('Proforma Revenue'!K10,'Proforma Revenue'!K14,'Proforma Revenue'!K17)</f>
        <v>253667749</v>
      </c>
      <c r="F56" s="65">
        <f>+'Proposed Rev'!M12</f>
        <v>3102308.4249307895</v>
      </c>
    </row>
    <row r="57" spans="1:6" x14ac:dyDescent="0.3">
      <c r="A57" s="61">
        <v>4</v>
      </c>
      <c r="B57" s="63" t="s">
        <v>116</v>
      </c>
      <c r="C57" s="65"/>
      <c r="D57" s="65"/>
      <c r="E57" s="65">
        <f>SUM('Proforma Revenue'!K15:K16)</f>
        <v>153864556</v>
      </c>
      <c r="F57" s="65">
        <f>+'Proposed Rev'!M13</f>
        <v>1881741.7572622437</v>
      </c>
    </row>
    <row r="58" spans="1:6" x14ac:dyDescent="0.3">
      <c r="A58" s="61">
        <v>5</v>
      </c>
      <c r="B58" s="63" t="s">
        <v>118</v>
      </c>
      <c r="C58" s="65"/>
      <c r="D58" s="65"/>
      <c r="E58" s="65">
        <f>SUM('Proforma Revenue'!K20)</f>
        <v>102890718</v>
      </c>
      <c r="F58" s="65">
        <f>+'Proposed Rev'!M17-'Proposed Rev'!N17</f>
        <v>1258338.8548876937</v>
      </c>
    </row>
    <row r="59" spans="1:6" x14ac:dyDescent="0.3">
      <c r="A59" s="61">
        <v>6</v>
      </c>
      <c r="B59" s="63" t="s">
        <v>121</v>
      </c>
      <c r="C59" s="65"/>
      <c r="D59" s="65"/>
      <c r="E59" s="65">
        <f>SUM('Proforma Revenue'!K21)</f>
        <v>248214</v>
      </c>
      <c r="F59" s="65">
        <f>+'Proposed Rev'!M18-'Proposed Rev'!N18</f>
        <v>7005.3100210298608</v>
      </c>
    </row>
    <row r="60" spans="1:6" x14ac:dyDescent="0.3">
      <c r="A60" s="61">
        <v>7</v>
      </c>
      <c r="B60" s="63" t="s">
        <v>125</v>
      </c>
      <c r="C60" s="65"/>
      <c r="D60" s="65"/>
      <c r="E60" s="65">
        <f>SUM('Proforma Revenue'!K22)</f>
        <v>10337826</v>
      </c>
      <c r="F60" s="65">
        <f>+'Proposed Rev'!M19</f>
        <v>194507.88513410551</v>
      </c>
    </row>
    <row r="61" spans="1:6" x14ac:dyDescent="0.3">
      <c r="A61" s="61">
        <v>8</v>
      </c>
      <c r="B61" s="63" t="s">
        <v>128</v>
      </c>
      <c r="C61" s="65"/>
      <c r="D61" s="65"/>
      <c r="E61" s="65">
        <f>SUM('Proforma Revenue'!K25)</f>
        <v>43553127.801261999</v>
      </c>
      <c r="F61" s="65">
        <f>+'Proposed Rev'!M22</f>
        <v>1561865.6988013433</v>
      </c>
    </row>
    <row r="62" spans="1:6" x14ac:dyDescent="0.3">
      <c r="A62" s="61">
        <v>9</v>
      </c>
      <c r="B62" s="63" t="s">
        <v>131</v>
      </c>
      <c r="C62" s="65"/>
      <c r="D62" s="65"/>
      <c r="E62" s="65">
        <f>SUM('Proforma Revenue'!K29)</f>
        <v>40360092</v>
      </c>
      <c r="F62" s="65">
        <f>+'Proposed Rev'!M24</f>
        <v>493598.1921649474</v>
      </c>
    </row>
    <row r="63" spans="1:6" x14ac:dyDescent="0.3">
      <c r="A63" s="61">
        <v>10</v>
      </c>
      <c r="B63" s="63" t="s">
        <v>134</v>
      </c>
      <c r="C63" s="65"/>
      <c r="D63" s="65"/>
      <c r="E63" s="65">
        <f>+'Retail Wheeling Proforma Rev'!L13</f>
        <v>599365</v>
      </c>
      <c r="F63" s="65">
        <f>+'Retail Wheeling Proforma Rev'!L28</f>
        <v>-211150.28343700001</v>
      </c>
    </row>
    <row r="64" spans="1:6" x14ac:dyDescent="0.3">
      <c r="A64" s="61">
        <v>11</v>
      </c>
      <c r="B64" s="63" t="s">
        <v>137</v>
      </c>
      <c r="C64" s="65"/>
      <c r="D64" s="65"/>
      <c r="E64" s="65">
        <f>+'Retail Wheeling Proforma Rev'!M17</f>
        <v>6913914</v>
      </c>
      <c r="F64" s="65">
        <f>+'Retail Wheeling Proforma Rev'!M28</f>
        <v>656125.63011999987</v>
      </c>
    </row>
    <row r="65" spans="1:6" x14ac:dyDescent="0.3">
      <c r="A65" s="61">
        <v>12</v>
      </c>
      <c r="B65" s="63" t="s">
        <v>140</v>
      </c>
      <c r="C65" s="65"/>
      <c r="D65" s="65"/>
      <c r="E65" s="65">
        <f>SUM('Proforma Revenue'!K31)</f>
        <v>17167097</v>
      </c>
      <c r="F65" s="65">
        <f>+'Proposed Rev'!M28</f>
        <v>323005.48499447602</v>
      </c>
    </row>
    <row r="66" spans="1:6" x14ac:dyDescent="0.3">
      <c r="A66" s="61">
        <v>13</v>
      </c>
      <c r="B66" s="63" t="s">
        <v>143</v>
      </c>
      <c r="C66" s="65"/>
      <c r="D66" s="65"/>
      <c r="E66" s="65">
        <f>SUM('Proforma Revenue'!K37)</f>
        <v>316389</v>
      </c>
      <c r="F66" s="65">
        <f>+'Proposed Rev'!M32</f>
        <v>368045.83817964466</v>
      </c>
    </row>
    <row r="67" spans="1:6" x14ac:dyDescent="0.3">
      <c r="A67" s="61">
        <v>14</v>
      </c>
      <c r="B67" s="63" t="s">
        <v>107</v>
      </c>
      <c r="C67" s="65"/>
      <c r="D67" s="65"/>
      <c r="E67" s="65"/>
      <c r="F67" s="65"/>
    </row>
    <row r="68" spans="1:6" x14ac:dyDescent="0.3">
      <c r="A68" s="61">
        <v>15</v>
      </c>
      <c r="B68" s="63" t="s">
        <v>107</v>
      </c>
      <c r="C68" s="65"/>
      <c r="D68" s="65"/>
      <c r="E68" s="65"/>
      <c r="F68" s="65"/>
    </row>
    <row r="69" spans="1:6" x14ac:dyDescent="0.3">
      <c r="A69" s="61">
        <v>16</v>
      </c>
      <c r="B69" s="63" t="s">
        <v>107</v>
      </c>
      <c r="C69" s="65"/>
      <c r="D69" s="65"/>
      <c r="E69" s="65"/>
      <c r="F69" s="65"/>
    </row>
    <row r="70" spans="1:6" x14ac:dyDescent="0.3">
      <c r="A70" s="61">
        <v>17</v>
      </c>
      <c r="B70" s="63" t="s">
        <v>107</v>
      </c>
      <c r="C70" s="65"/>
      <c r="D70" s="65"/>
      <c r="E70" s="65"/>
      <c r="F70" s="65"/>
    </row>
    <row r="71" spans="1:6" x14ac:dyDescent="0.3">
      <c r="A71" s="61">
        <v>18</v>
      </c>
      <c r="B71" s="63" t="s">
        <v>107</v>
      </c>
      <c r="C71" s="65"/>
      <c r="D71" s="65"/>
      <c r="E71" s="65"/>
      <c r="F71" s="65"/>
    </row>
    <row r="72" spans="1:6" x14ac:dyDescent="0.3">
      <c r="A72" s="61">
        <v>19</v>
      </c>
      <c r="B72" s="63" t="s">
        <v>107</v>
      </c>
      <c r="C72" s="65"/>
      <c r="D72" s="65"/>
      <c r="E72" s="65"/>
      <c r="F72" s="65"/>
    </row>
    <row r="73" spans="1:6" x14ac:dyDescent="0.3">
      <c r="A73" s="61">
        <v>20</v>
      </c>
      <c r="B73" s="63" t="s">
        <v>107</v>
      </c>
      <c r="C73" s="65"/>
      <c r="D73" s="65"/>
      <c r="E73" s="65"/>
      <c r="F73" s="65"/>
    </row>
    <row r="74" spans="1:6" x14ac:dyDescent="0.3">
      <c r="A74" s="61"/>
      <c r="B74" s="63"/>
      <c r="C74" s="65"/>
      <c r="D74" s="65"/>
      <c r="E74" s="65">
        <f>SUM(E54:E66)</f>
        <v>1963503474.8012619</v>
      </c>
      <c r="F74" s="65">
        <f>SUM(F54:F66)</f>
        <v>33471288.346682996</v>
      </c>
    </row>
  </sheetData>
  <printOptions horizontalCentered="1"/>
  <pageMargins left="0.25" right="0.25" top="0.75" bottom="0.75" header="0.3" footer="0.3"/>
  <pageSetup scale="42" orientation="landscape" r:id="rId1"/>
  <headerFooter>
    <oddHeader xml:space="preserve">&amp;CPuget Sound Energy
</oddHeader>
    <oddFooter>&amp;L&amp;"Times New Roman,Regular"&amp;F
&amp;A&amp;R&amp;"Times New Roman,Regular"Page &amp;P of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zoomScale="80" zoomScaleNormal="80" workbookViewId="0">
      <selection sqref="A1:I1"/>
    </sheetView>
  </sheetViews>
  <sheetFormatPr defaultRowHeight="14.4" x14ac:dyDescent="0.3"/>
  <cols>
    <col min="1" max="1" width="4.5546875" style="1" bestFit="1" customWidth="1"/>
    <col min="2" max="2" width="7.88671875" style="1" bestFit="1" customWidth="1"/>
    <col min="3" max="3" width="13" style="1" bestFit="1" customWidth="1"/>
    <col min="4" max="4" width="11.88671875" style="1" bestFit="1" customWidth="1"/>
    <col min="5" max="5" width="10.5546875" style="1" customWidth="1"/>
    <col min="6" max="6" width="11" style="1" bestFit="1" customWidth="1"/>
    <col min="7" max="7" width="13" style="1" bestFit="1" customWidth="1"/>
    <col min="8" max="9" width="11.88671875" style="1" bestFit="1" customWidth="1"/>
    <col min="10" max="16384" width="8.88671875" style="1"/>
  </cols>
  <sheetData>
    <row r="1" spans="1:9" x14ac:dyDescent="0.3">
      <c r="A1" s="536" t="s">
        <v>65</v>
      </c>
      <c r="B1" s="536"/>
      <c r="C1" s="536"/>
      <c r="D1" s="536"/>
      <c r="E1" s="536"/>
      <c r="F1" s="536"/>
      <c r="G1" s="536"/>
      <c r="H1" s="536"/>
      <c r="I1" s="536"/>
    </row>
    <row r="2" spans="1:9" x14ac:dyDescent="0.3">
      <c r="A2" s="575" t="s">
        <v>784</v>
      </c>
      <c r="B2" s="576"/>
      <c r="C2" s="576"/>
      <c r="D2" s="576"/>
      <c r="E2" s="576"/>
      <c r="F2" s="576"/>
      <c r="G2" s="576"/>
      <c r="H2" s="576"/>
      <c r="I2" s="576"/>
    </row>
    <row r="3" spans="1:9" x14ac:dyDescent="0.3">
      <c r="A3" s="537" t="s">
        <v>434</v>
      </c>
      <c r="B3" s="536"/>
      <c r="C3" s="536"/>
      <c r="D3" s="536"/>
      <c r="E3" s="536"/>
      <c r="F3" s="536"/>
      <c r="G3" s="536"/>
      <c r="H3" s="536"/>
      <c r="I3" s="536"/>
    </row>
    <row r="4" spans="1:9" x14ac:dyDescent="0.3">
      <c r="A4"/>
      <c r="B4"/>
      <c r="C4"/>
      <c r="D4"/>
      <c r="E4"/>
      <c r="F4"/>
      <c r="G4"/>
      <c r="H4"/>
      <c r="I4"/>
    </row>
    <row r="5" spans="1:9" x14ac:dyDescent="0.3">
      <c r="A5"/>
      <c r="B5"/>
      <c r="C5"/>
      <c r="D5"/>
      <c r="E5"/>
      <c r="F5"/>
      <c r="G5"/>
      <c r="H5"/>
      <c r="I5"/>
    </row>
    <row r="6" spans="1:9" ht="28.8" x14ac:dyDescent="0.3">
      <c r="A6" s="143" t="s">
        <v>435</v>
      </c>
      <c r="B6" s="143" t="s">
        <v>436</v>
      </c>
      <c r="C6" s="144" t="s">
        <v>447</v>
      </c>
      <c r="D6" s="144" t="s">
        <v>437</v>
      </c>
      <c r="E6" s="144" t="s">
        <v>448</v>
      </c>
      <c r="F6" s="144" t="s">
        <v>23</v>
      </c>
      <c r="G6" s="143" t="s">
        <v>171</v>
      </c>
      <c r="H6" s="143" t="s">
        <v>438</v>
      </c>
      <c r="I6" s="143" t="s">
        <v>439</v>
      </c>
    </row>
    <row r="7" spans="1:9" x14ac:dyDescent="0.3">
      <c r="A7" s="577" t="s">
        <v>440</v>
      </c>
      <c r="B7" s="574"/>
      <c r="C7" s="574"/>
      <c r="D7" s="574"/>
      <c r="E7" s="574"/>
      <c r="F7" s="574"/>
      <c r="G7" s="574"/>
      <c r="H7" s="574"/>
      <c r="I7" s="574"/>
    </row>
    <row r="8" spans="1:9" x14ac:dyDescent="0.3">
      <c r="A8">
        <v>8</v>
      </c>
      <c r="B8" s="146">
        <v>353.8</v>
      </c>
      <c r="C8" s="147">
        <v>-193972.31</v>
      </c>
      <c r="D8" s="147">
        <v>0</v>
      </c>
      <c r="E8" s="147">
        <v>0</v>
      </c>
      <c r="F8" s="147">
        <v>0</v>
      </c>
      <c r="G8" s="147">
        <v>0</v>
      </c>
      <c r="H8" s="147">
        <v>0</v>
      </c>
      <c r="I8" s="147">
        <v>-193972.31</v>
      </c>
    </row>
    <row r="9" spans="1:9" x14ac:dyDescent="0.3">
      <c r="A9">
        <v>9</v>
      </c>
      <c r="B9" s="146">
        <v>360</v>
      </c>
      <c r="C9" s="147">
        <v>-10855.815574864511</v>
      </c>
      <c r="D9" s="147">
        <v>0</v>
      </c>
      <c r="E9" s="147">
        <v>0</v>
      </c>
      <c r="F9" s="147">
        <v>0</v>
      </c>
      <c r="G9" s="147">
        <v>-73.123174864511554</v>
      </c>
      <c r="H9" s="147">
        <v>-10782.6924</v>
      </c>
      <c r="I9" s="147">
        <v>0</v>
      </c>
    </row>
    <row r="10" spans="1:9" x14ac:dyDescent="0.3">
      <c r="A10">
        <v>10</v>
      </c>
      <c r="B10" s="146">
        <v>361</v>
      </c>
      <c r="C10" s="147">
        <v>-217582.35384405742</v>
      </c>
      <c r="D10" s="147">
        <v>-9600.18</v>
      </c>
      <c r="E10" s="147">
        <v>0</v>
      </c>
      <c r="F10" s="147">
        <v>0</v>
      </c>
      <c r="G10" s="147">
        <v>-70878.129150457404</v>
      </c>
      <c r="H10" s="147">
        <v>-51224.674693600005</v>
      </c>
      <c r="I10" s="147">
        <v>-85879.37</v>
      </c>
    </row>
    <row r="11" spans="1:9" x14ac:dyDescent="0.3">
      <c r="A11">
        <v>11</v>
      </c>
      <c r="B11" s="146">
        <v>362</v>
      </c>
      <c r="C11" s="147">
        <v>-11333149.728808075</v>
      </c>
      <c r="D11" s="147">
        <v>-649747.09400000004</v>
      </c>
      <c r="E11" s="147">
        <v>0</v>
      </c>
      <c r="F11" s="147">
        <v>0</v>
      </c>
      <c r="G11" s="147">
        <v>-3525413.6317032739</v>
      </c>
      <c r="H11" s="147">
        <v>-3946793.8331048009</v>
      </c>
      <c r="I11" s="147">
        <v>-3211195.17</v>
      </c>
    </row>
    <row r="12" spans="1:9" x14ac:dyDescent="0.3">
      <c r="A12">
        <v>12</v>
      </c>
      <c r="B12" s="146" t="s">
        <v>441</v>
      </c>
      <c r="C12" s="147">
        <v>-1425400.0629863495</v>
      </c>
      <c r="D12" s="147">
        <v>0</v>
      </c>
      <c r="E12" s="147">
        <v>0</v>
      </c>
      <c r="F12" s="147">
        <v>0</v>
      </c>
      <c r="G12" s="147">
        <v>-1425400.0629863495</v>
      </c>
      <c r="H12" s="147">
        <v>0</v>
      </c>
      <c r="I12" s="147">
        <v>0</v>
      </c>
    </row>
    <row r="13" spans="1:9" x14ac:dyDescent="0.3">
      <c r="A13">
        <v>13</v>
      </c>
      <c r="B13" s="146" t="s">
        <v>442</v>
      </c>
      <c r="C13" s="147">
        <v>-17302931.116034426</v>
      </c>
      <c r="D13" s="147">
        <v>0</v>
      </c>
      <c r="E13" s="147">
        <v>0</v>
      </c>
      <c r="F13" s="147">
        <v>0</v>
      </c>
      <c r="G13" s="147">
        <v>-15728319.098034427</v>
      </c>
      <c r="H13" s="147">
        <v>-1574612.0180000002</v>
      </c>
      <c r="I13" s="147">
        <v>0</v>
      </c>
    </row>
    <row r="14" spans="1:9" x14ac:dyDescent="0.3">
      <c r="A14">
        <v>14</v>
      </c>
      <c r="B14" s="146" t="s">
        <v>443</v>
      </c>
      <c r="C14" s="147">
        <v>-63008</v>
      </c>
      <c r="D14" s="147">
        <v>-49346</v>
      </c>
      <c r="E14" s="147">
        <v>-2619</v>
      </c>
      <c r="F14" s="147">
        <v>0</v>
      </c>
      <c r="G14" s="147">
        <v>-11043</v>
      </c>
      <c r="H14" s="147">
        <v>0</v>
      </c>
      <c r="I14" s="147">
        <v>0</v>
      </c>
    </row>
    <row r="15" spans="1:9" x14ac:dyDescent="0.3">
      <c r="A15">
        <v>15</v>
      </c>
      <c r="B15" s="148" t="s">
        <v>444</v>
      </c>
      <c r="C15" s="147">
        <v>-1520885</v>
      </c>
      <c r="D15" s="147">
        <v>-357458</v>
      </c>
      <c r="E15" s="147">
        <v>-21005</v>
      </c>
      <c r="F15" s="147">
        <v>-9699</v>
      </c>
      <c r="G15" s="147">
        <v>-1132723</v>
      </c>
      <c r="H15" s="147">
        <v>0</v>
      </c>
      <c r="I15" s="147">
        <v>0</v>
      </c>
    </row>
    <row r="16" spans="1:9" x14ac:dyDescent="0.3">
      <c r="A16">
        <v>16</v>
      </c>
      <c r="B16" s="146"/>
      <c r="C16" s="147"/>
      <c r="D16" s="147"/>
      <c r="E16" s="147"/>
      <c r="F16" s="147"/>
      <c r="G16" s="147"/>
      <c r="H16" s="147"/>
      <c r="I16" s="147"/>
    </row>
    <row r="17" spans="1:9" x14ac:dyDescent="0.3">
      <c r="A17">
        <v>17</v>
      </c>
      <c r="B17" s="146" t="s">
        <v>20</v>
      </c>
      <c r="C17" s="147">
        <v>-32067784.387247771</v>
      </c>
      <c r="D17" s="147">
        <v>-1066151.2740000002</v>
      </c>
      <c r="E17" s="147">
        <v>-23624</v>
      </c>
      <c r="F17" s="147">
        <v>-9699</v>
      </c>
      <c r="G17" s="147">
        <v>-21893850.045049373</v>
      </c>
      <c r="H17" s="147">
        <v>-5583413.2181984009</v>
      </c>
      <c r="I17" s="147">
        <v>-3491046.85</v>
      </c>
    </row>
    <row r="18" spans="1:9" x14ac:dyDescent="0.3">
      <c r="A18">
        <v>18</v>
      </c>
      <c r="B18"/>
      <c r="C18"/>
      <c r="D18"/>
      <c r="E18"/>
      <c r="F18"/>
      <c r="G18"/>
      <c r="H18"/>
      <c r="I18"/>
    </row>
    <row r="19" spans="1:9" x14ac:dyDescent="0.3">
      <c r="A19" s="577" t="s">
        <v>445</v>
      </c>
      <c r="B19" s="574"/>
      <c r="C19" s="574"/>
      <c r="D19" s="574"/>
      <c r="E19" s="574"/>
      <c r="F19" s="574"/>
      <c r="G19" s="574"/>
      <c r="H19" s="574"/>
      <c r="I19" s="574"/>
    </row>
    <row r="20" spans="1:9" x14ac:dyDescent="0.3">
      <c r="A20" s="145"/>
      <c r="B20" s="146">
        <v>353.8</v>
      </c>
      <c r="C20" s="147">
        <v>-193972.31</v>
      </c>
      <c r="D20" s="147">
        <v>0</v>
      </c>
      <c r="E20" s="147">
        <v>0</v>
      </c>
      <c r="F20" s="147">
        <v>0</v>
      </c>
      <c r="G20" s="147">
        <v>0</v>
      </c>
      <c r="H20" s="147">
        <v>0</v>
      </c>
      <c r="I20" s="147">
        <v>-193972.31</v>
      </c>
    </row>
    <row r="21" spans="1:9" x14ac:dyDescent="0.3">
      <c r="A21">
        <v>21</v>
      </c>
      <c r="B21" s="146">
        <v>360</v>
      </c>
      <c r="C21" s="147">
        <v>-10782.6924</v>
      </c>
      <c r="D21" s="147">
        <v>0</v>
      </c>
      <c r="E21" s="147">
        <v>0</v>
      </c>
      <c r="F21" s="147">
        <v>0</v>
      </c>
      <c r="G21" s="147">
        <v>0</v>
      </c>
      <c r="H21" s="147">
        <v>-10782.6924</v>
      </c>
      <c r="I21" s="147">
        <v>0</v>
      </c>
    </row>
    <row r="22" spans="1:9" x14ac:dyDescent="0.3">
      <c r="A22">
        <v>22</v>
      </c>
      <c r="B22" s="146">
        <v>361</v>
      </c>
      <c r="C22" s="147">
        <v>-146704.2246936</v>
      </c>
      <c r="D22" s="147">
        <v>-9600.18</v>
      </c>
      <c r="E22" s="147">
        <v>0</v>
      </c>
      <c r="F22" s="147">
        <v>0</v>
      </c>
      <c r="G22" s="147">
        <v>0</v>
      </c>
      <c r="H22" s="147">
        <v>-51224.674693600005</v>
      </c>
      <c r="I22" s="147">
        <v>-85879.37</v>
      </c>
    </row>
    <row r="23" spans="1:9" x14ac:dyDescent="0.3">
      <c r="A23">
        <v>23</v>
      </c>
      <c r="B23" s="146">
        <v>362</v>
      </c>
      <c r="C23" s="147">
        <v>-7807736.0971048009</v>
      </c>
      <c r="D23" s="147">
        <v>-649747.09400000004</v>
      </c>
      <c r="E23" s="147">
        <v>0</v>
      </c>
      <c r="F23" s="147">
        <v>0</v>
      </c>
      <c r="G23" s="147">
        <v>0</v>
      </c>
      <c r="H23" s="147">
        <v>-3946793.8331048009</v>
      </c>
      <c r="I23" s="147">
        <v>-3211195.17</v>
      </c>
    </row>
    <row r="24" spans="1:9" x14ac:dyDescent="0.3">
      <c r="A24">
        <v>24</v>
      </c>
      <c r="B24" s="146" t="s">
        <v>441</v>
      </c>
      <c r="C24" s="147">
        <v>0</v>
      </c>
      <c r="D24" s="147">
        <v>0</v>
      </c>
      <c r="E24" s="147">
        <v>0</v>
      </c>
      <c r="F24" s="147">
        <v>0</v>
      </c>
      <c r="G24" s="147">
        <v>0</v>
      </c>
      <c r="H24" s="147">
        <v>0</v>
      </c>
      <c r="I24" s="147">
        <v>0</v>
      </c>
    </row>
    <row r="25" spans="1:9" x14ac:dyDescent="0.3">
      <c r="A25">
        <v>25</v>
      </c>
      <c r="B25" s="146" t="s">
        <v>442</v>
      </c>
      <c r="C25" s="147">
        <v>-1574612.0180000002</v>
      </c>
      <c r="D25" s="147">
        <v>0</v>
      </c>
      <c r="E25" s="147">
        <v>0</v>
      </c>
      <c r="F25" s="147">
        <v>0</v>
      </c>
      <c r="G25" s="147">
        <v>0</v>
      </c>
      <c r="H25" s="147">
        <v>-1574612.0180000002</v>
      </c>
      <c r="I25" s="147">
        <v>0</v>
      </c>
    </row>
    <row r="26" spans="1:9" x14ac:dyDescent="0.3">
      <c r="A26">
        <v>26</v>
      </c>
      <c r="B26" s="146" t="s">
        <v>443</v>
      </c>
      <c r="C26" s="147">
        <v>-51965</v>
      </c>
      <c r="D26" s="147">
        <v>-49346</v>
      </c>
      <c r="E26" s="147">
        <v>-2619</v>
      </c>
      <c r="F26" s="147">
        <v>0</v>
      </c>
      <c r="G26" s="147">
        <v>0</v>
      </c>
      <c r="H26" s="147">
        <v>0</v>
      </c>
      <c r="I26" s="147">
        <v>0</v>
      </c>
    </row>
    <row r="27" spans="1:9" x14ac:dyDescent="0.3">
      <c r="A27">
        <v>27</v>
      </c>
      <c r="B27" s="148" t="s">
        <v>444</v>
      </c>
      <c r="C27" s="147">
        <v>-492250</v>
      </c>
      <c r="D27" s="147">
        <v>-357458</v>
      </c>
      <c r="E27" s="147">
        <v>-21005</v>
      </c>
      <c r="F27" s="147">
        <v>-9699</v>
      </c>
      <c r="G27" s="147">
        <v>-104088</v>
      </c>
      <c r="H27" s="147">
        <v>0</v>
      </c>
      <c r="I27" s="147">
        <v>0</v>
      </c>
    </row>
    <row r="28" spans="1:9" x14ac:dyDescent="0.3">
      <c r="A28">
        <v>28</v>
      </c>
      <c r="B28" s="146"/>
      <c r="C28" s="147"/>
      <c r="D28" s="147"/>
      <c r="E28" s="147"/>
      <c r="F28" s="147"/>
      <c r="G28" s="147"/>
      <c r="H28" s="147"/>
      <c r="I28" s="147"/>
    </row>
    <row r="29" spans="1:9" x14ac:dyDescent="0.3">
      <c r="A29">
        <v>29</v>
      </c>
      <c r="B29" s="146" t="s">
        <v>20</v>
      </c>
      <c r="C29" s="147">
        <v>-10278022.342198402</v>
      </c>
      <c r="D29" s="147">
        <v>-1066151.2740000002</v>
      </c>
      <c r="E29" s="147"/>
      <c r="F29" s="147">
        <v>-9699</v>
      </c>
      <c r="G29" s="147">
        <v>-104088</v>
      </c>
      <c r="H29" s="147">
        <v>-5583413.2181984009</v>
      </c>
      <c r="I29" s="147">
        <v>-3491046.85</v>
      </c>
    </row>
    <row r="30" spans="1:9" x14ac:dyDescent="0.3">
      <c r="A30"/>
      <c r="B30"/>
      <c r="C30"/>
      <c r="D30"/>
      <c r="E30"/>
      <c r="F30"/>
      <c r="G30"/>
      <c r="H30"/>
      <c r="I30"/>
    </row>
    <row r="31" spans="1:9" x14ac:dyDescent="0.3">
      <c r="A31" s="573" t="s">
        <v>446</v>
      </c>
      <c r="B31" s="574"/>
      <c r="C31" s="574"/>
      <c r="D31" s="574"/>
      <c r="E31" s="574"/>
      <c r="F31" s="574"/>
      <c r="G31" s="574"/>
      <c r="H31" s="574"/>
      <c r="I31" s="574"/>
    </row>
    <row r="32" spans="1:9" x14ac:dyDescent="0.3">
      <c r="A32">
        <v>32</v>
      </c>
      <c r="B32" s="146">
        <v>360</v>
      </c>
      <c r="C32" s="147">
        <v>-73.123174864511554</v>
      </c>
      <c r="D32" s="147">
        <v>0</v>
      </c>
      <c r="E32" s="147"/>
      <c r="F32" s="147">
        <v>0</v>
      </c>
      <c r="G32" s="147">
        <v>-73.123174864511554</v>
      </c>
      <c r="H32" s="147">
        <v>0</v>
      </c>
      <c r="I32" s="147">
        <v>0</v>
      </c>
    </row>
    <row r="33" spans="1:9" x14ac:dyDescent="0.3">
      <c r="A33">
        <v>33</v>
      </c>
      <c r="B33" s="146">
        <v>361</v>
      </c>
      <c r="C33" s="147">
        <v>-70878.129150457404</v>
      </c>
      <c r="D33" s="147">
        <v>0</v>
      </c>
      <c r="E33" s="147"/>
      <c r="F33" s="147">
        <v>0</v>
      </c>
      <c r="G33" s="147">
        <v>-70878.129150457404</v>
      </c>
      <c r="H33" s="147">
        <v>0</v>
      </c>
      <c r="I33" s="147">
        <v>0</v>
      </c>
    </row>
    <row r="34" spans="1:9" x14ac:dyDescent="0.3">
      <c r="A34">
        <v>34</v>
      </c>
      <c r="B34" s="146">
        <v>362</v>
      </c>
      <c r="C34" s="147">
        <v>-3525413.6317032739</v>
      </c>
      <c r="D34" s="147">
        <v>0</v>
      </c>
      <c r="E34" s="147"/>
      <c r="F34" s="147">
        <v>0</v>
      </c>
      <c r="G34" s="147">
        <v>-3525413.6317032739</v>
      </c>
      <c r="H34" s="147">
        <v>0</v>
      </c>
      <c r="I34" s="147">
        <v>0</v>
      </c>
    </row>
    <row r="35" spans="1:9" x14ac:dyDescent="0.3">
      <c r="A35">
        <v>35</v>
      </c>
      <c r="B35" s="146" t="s">
        <v>441</v>
      </c>
      <c r="C35" s="147">
        <v>-1425400.0629863495</v>
      </c>
      <c r="D35" s="147">
        <v>0</v>
      </c>
      <c r="E35" s="147"/>
      <c r="F35" s="147">
        <v>0</v>
      </c>
      <c r="G35" s="147">
        <v>-1425400.0629863495</v>
      </c>
      <c r="H35" s="147">
        <v>0</v>
      </c>
      <c r="I35" s="147">
        <v>0</v>
      </c>
    </row>
    <row r="36" spans="1:9" x14ac:dyDescent="0.3">
      <c r="A36">
        <v>36</v>
      </c>
      <c r="B36" s="146" t="s">
        <v>442</v>
      </c>
      <c r="C36" s="147">
        <v>-15728319.098034427</v>
      </c>
      <c r="D36" s="147">
        <v>0</v>
      </c>
      <c r="E36" s="147"/>
      <c r="F36" s="147">
        <v>0</v>
      </c>
      <c r="G36" s="147">
        <v>-15728319.098034427</v>
      </c>
      <c r="H36" s="147">
        <v>0</v>
      </c>
      <c r="I36" s="147">
        <v>0</v>
      </c>
    </row>
    <row r="37" spans="1:9" x14ac:dyDescent="0.3">
      <c r="A37">
        <v>37</v>
      </c>
      <c r="B37" s="146" t="s">
        <v>443</v>
      </c>
      <c r="C37" s="147">
        <v>-11043</v>
      </c>
      <c r="D37" s="147">
        <v>0</v>
      </c>
      <c r="E37" s="147"/>
      <c r="F37" s="147">
        <v>0</v>
      </c>
      <c r="G37" s="147">
        <v>-11043</v>
      </c>
      <c r="H37" s="147">
        <v>0</v>
      </c>
      <c r="I37" s="147">
        <v>0</v>
      </c>
    </row>
    <row r="38" spans="1:9" x14ac:dyDescent="0.3">
      <c r="A38">
        <v>38</v>
      </c>
      <c r="B38" s="148" t="s">
        <v>444</v>
      </c>
      <c r="C38" s="147">
        <v>-1028635</v>
      </c>
      <c r="D38" s="147">
        <v>0</v>
      </c>
      <c r="E38" s="147"/>
      <c r="F38" s="147">
        <v>0</v>
      </c>
      <c r="G38" s="147">
        <v>-1028635</v>
      </c>
      <c r="H38" s="147">
        <v>0</v>
      </c>
      <c r="I38" s="147">
        <v>0</v>
      </c>
    </row>
    <row r="39" spans="1:9" x14ac:dyDescent="0.3">
      <c r="A39">
        <v>39</v>
      </c>
      <c r="B39" s="148"/>
      <c r="C39" s="147"/>
      <c r="D39" s="147"/>
      <c r="E39" s="147"/>
      <c r="F39" s="147"/>
      <c r="G39" s="147"/>
      <c r="H39" s="147"/>
      <c r="I39" s="147"/>
    </row>
    <row r="40" spans="1:9" x14ac:dyDescent="0.3">
      <c r="A40">
        <v>40</v>
      </c>
      <c r="B40" s="146" t="s">
        <v>20</v>
      </c>
      <c r="C40" s="147">
        <v>-21789762.045049373</v>
      </c>
      <c r="D40" s="147">
        <v>0</v>
      </c>
      <c r="E40" s="147"/>
      <c r="F40" s="147">
        <v>0</v>
      </c>
      <c r="G40" s="147">
        <v>-21789762.045049373</v>
      </c>
      <c r="H40" s="147">
        <v>0</v>
      </c>
      <c r="I40" s="147">
        <v>0</v>
      </c>
    </row>
  </sheetData>
  <mergeCells count="6">
    <mergeCell ref="A31:I31"/>
    <mergeCell ref="A1:I1"/>
    <mergeCell ref="A2:I2"/>
    <mergeCell ref="A3:I3"/>
    <mergeCell ref="A7:I7"/>
    <mergeCell ref="A19:I19"/>
  </mergeCells>
  <printOptions horizontalCentered="1"/>
  <pageMargins left="0.25" right="0.25" top="0.75" bottom="0.75" header="0.3" footer="0.3"/>
  <pageSetup scale="84" orientation="landscape" r:id="rId1"/>
  <headerFooter>
    <oddFooter>&amp;L&amp;"Times New Roman,Regular"&amp;F
&amp;A&amp;R&amp;"Times New Roman,Regular"Page &amp;P of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workbookViewId="0">
      <selection sqref="A1:D1"/>
    </sheetView>
  </sheetViews>
  <sheetFormatPr defaultRowHeight="14.4" x14ac:dyDescent="0.3"/>
  <cols>
    <col min="1" max="1" width="19.21875" style="1" customWidth="1"/>
    <col min="2" max="3" width="12" style="1" bestFit="1" customWidth="1"/>
    <col min="4" max="4" width="13.109375" style="1" bestFit="1" customWidth="1"/>
    <col min="5" max="16384" width="8.88671875" style="1"/>
  </cols>
  <sheetData>
    <row r="1" spans="1:4" x14ac:dyDescent="0.3">
      <c r="A1" s="565" t="s">
        <v>65</v>
      </c>
      <c r="B1" s="565"/>
      <c r="C1" s="565"/>
      <c r="D1" s="565"/>
    </row>
    <row r="2" spans="1:4" x14ac:dyDescent="0.3">
      <c r="A2" s="566" t="s">
        <v>766</v>
      </c>
      <c r="B2" s="565"/>
      <c r="C2" s="565"/>
      <c r="D2" s="565"/>
    </row>
    <row r="3" spans="1:4" x14ac:dyDescent="0.3">
      <c r="A3" s="565" t="s">
        <v>705</v>
      </c>
      <c r="B3" s="565"/>
      <c r="C3" s="565"/>
      <c r="D3" s="565"/>
    </row>
    <row r="4" spans="1:4" x14ac:dyDescent="0.3">
      <c r="A4" s="565" t="s">
        <v>706</v>
      </c>
      <c r="B4" s="565"/>
      <c r="C4" s="565"/>
      <c r="D4" s="565"/>
    </row>
    <row r="5" spans="1:4" x14ac:dyDescent="0.3">
      <c r="A5" s="565" t="s">
        <v>163</v>
      </c>
      <c r="B5" s="565"/>
      <c r="C5" s="565"/>
      <c r="D5" s="565"/>
    </row>
    <row r="8" spans="1:4" x14ac:dyDescent="0.3">
      <c r="B8" s="565" t="s">
        <v>66</v>
      </c>
      <c r="C8" s="565"/>
      <c r="D8" s="565"/>
    </row>
    <row r="9" spans="1:4" x14ac:dyDescent="0.3">
      <c r="B9" s="1">
        <v>360</v>
      </c>
      <c r="C9" s="1">
        <v>361</v>
      </c>
      <c r="D9" s="1">
        <v>362</v>
      </c>
    </row>
    <row r="10" spans="1:4" x14ac:dyDescent="0.3">
      <c r="A10" s="1">
        <v>5</v>
      </c>
      <c r="B10" s="77">
        <v>1722</v>
      </c>
      <c r="C10" s="77">
        <v>1474</v>
      </c>
      <c r="D10" s="77">
        <v>218054</v>
      </c>
    </row>
    <row r="11" spans="1:4" x14ac:dyDescent="0.3">
      <c r="A11" s="1">
        <v>24</v>
      </c>
      <c r="B11" s="77">
        <v>4170814</v>
      </c>
      <c r="C11" s="77">
        <v>2002826</v>
      </c>
      <c r="D11" s="77">
        <v>107241552</v>
      </c>
    </row>
    <row r="12" spans="1:4" x14ac:dyDescent="0.3">
      <c r="A12" s="1">
        <v>25</v>
      </c>
      <c r="B12" s="77">
        <v>5245012</v>
      </c>
      <c r="C12" s="77">
        <v>2400842</v>
      </c>
      <c r="D12" s="77">
        <v>115262808</v>
      </c>
    </row>
    <row r="13" spans="1:4" x14ac:dyDescent="0.3">
      <c r="A13" s="1">
        <v>26</v>
      </c>
      <c r="B13" s="77">
        <v>2979109</v>
      </c>
      <c r="C13" s="77">
        <v>1500444</v>
      </c>
      <c r="D13" s="77">
        <v>65465410</v>
      </c>
    </row>
    <row r="14" spans="1:4" x14ac:dyDescent="0.3">
      <c r="A14" s="1">
        <v>29</v>
      </c>
      <c r="B14" s="77">
        <v>1777</v>
      </c>
      <c r="C14" s="77">
        <v>4917</v>
      </c>
      <c r="D14" s="77">
        <v>239801</v>
      </c>
    </row>
    <row r="15" spans="1:4" x14ac:dyDescent="0.3">
      <c r="A15" s="1">
        <v>31</v>
      </c>
      <c r="B15" s="77">
        <v>2825681</v>
      </c>
      <c r="C15" s="77">
        <v>867734</v>
      </c>
      <c r="D15" s="77">
        <v>50774605</v>
      </c>
    </row>
    <row r="16" spans="1:4" x14ac:dyDescent="0.3">
      <c r="A16" s="1">
        <v>35</v>
      </c>
      <c r="B16" s="77">
        <v>529</v>
      </c>
      <c r="C16" s="77">
        <v>0</v>
      </c>
      <c r="D16" s="77">
        <v>185511</v>
      </c>
    </row>
    <row r="17" spans="1:4" x14ac:dyDescent="0.3">
      <c r="A17" s="1">
        <v>40</v>
      </c>
      <c r="B17" s="77">
        <v>4349589</v>
      </c>
      <c r="C17" s="77">
        <v>521770</v>
      </c>
      <c r="D17" s="77">
        <v>22129696</v>
      </c>
    </row>
    <row r="18" spans="1:4" x14ac:dyDescent="0.3">
      <c r="A18" s="1">
        <v>43</v>
      </c>
      <c r="B18" s="77">
        <v>141783</v>
      </c>
      <c r="C18" s="77">
        <v>120817</v>
      </c>
      <c r="D18" s="77">
        <v>6561008</v>
      </c>
    </row>
    <row r="19" spans="1:4" x14ac:dyDescent="0.3">
      <c r="A19" s="1" t="s">
        <v>703</v>
      </c>
      <c r="B19" s="77">
        <v>21527</v>
      </c>
      <c r="C19" s="77">
        <v>12009</v>
      </c>
      <c r="D19" s="77">
        <v>734055</v>
      </c>
    </row>
    <row r="20" spans="1:4" x14ac:dyDescent="0.3">
      <c r="A20" s="1">
        <v>7</v>
      </c>
      <c r="B20" s="77">
        <v>10667069</v>
      </c>
      <c r="C20" s="77">
        <v>6801670</v>
      </c>
      <c r="D20" s="77">
        <v>414546792</v>
      </c>
    </row>
    <row r="21" spans="1:4" x14ac:dyDescent="0.3">
      <c r="B21" s="77">
        <f>SUM(B10:B20)</f>
        <v>30404612</v>
      </c>
      <c r="C21" s="77">
        <f t="shared" ref="C21:D21" si="0">SUM(C10:C20)</f>
        <v>14234503</v>
      </c>
      <c r="D21" s="77">
        <f t="shared" si="0"/>
        <v>783359292</v>
      </c>
    </row>
    <row r="23" spans="1:4" ht="28.8" x14ac:dyDescent="0.3">
      <c r="A23" s="376" t="s">
        <v>707</v>
      </c>
      <c r="B23" s="390">
        <f>+B21-B17</f>
        <v>26055023</v>
      </c>
      <c r="C23" s="390">
        <f t="shared" ref="C23:D23" si="1">+C21-C17</f>
        <v>13712733</v>
      </c>
      <c r="D23" s="390">
        <f t="shared" si="1"/>
        <v>761229596</v>
      </c>
    </row>
  </sheetData>
  <mergeCells count="6">
    <mergeCell ref="A5:D5"/>
    <mergeCell ref="B8:D8"/>
    <mergeCell ref="A1:D1"/>
    <mergeCell ref="A2:D2"/>
    <mergeCell ref="A3:D3"/>
    <mergeCell ref="A4:D4"/>
  </mergeCells>
  <printOptions horizontalCentered="1"/>
  <pageMargins left="0.25" right="0.25" top="0.75" bottom="0.75" header="0.3" footer="0.3"/>
  <pageSetup scale="92" orientation="landscape" r:id="rId1"/>
  <headerFooter>
    <oddFooter>&amp;L&amp;"Times New Roman,Regular"&amp;F
&amp;A&amp;R&amp;"Times New Roman,Regular"Page &amp;P of &amp;N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workbookViewId="0">
      <selection sqref="A1:C1"/>
    </sheetView>
  </sheetViews>
  <sheetFormatPr defaultRowHeight="14.4" x14ac:dyDescent="0.3"/>
  <cols>
    <col min="1" max="3" width="12.109375" style="1" customWidth="1"/>
    <col min="4" max="16384" width="8.88671875" style="1"/>
  </cols>
  <sheetData>
    <row r="1" spans="1:3" x14ac:dyDescent="0.3">
      <c r="A1" s="565" t="s">
        <v>65</v>
      </c>
      <c r="B1" s="565"/>
      <c r="C1" s="565"/>
    </row>
    <row r="2" spans="1:3" x14ac:dyDescent="0.3">
      <c r="A2" s="566" t="s">
        <v>766</v>
      </c>
      <c r="B2" s="565"/>
      <c r="C2" s="565"/>
    </row>
    <row r="3" spans="1:3" x14ac:dyDescent="0.3">
      <c r="A3" s="565" t="s">
        <v>704</v>
      </c>
      <c r="B3" s="565"/>
      <c r="C3" s="565"/>
    </row>
    <row r="4" spans="1:3" x14ac:dyDescent="0.3">
      <c r="A4" s="566" t="s">
        <v>708</v>
      </c>
      <c r="B4" s="565"/>
      <c r="C4" s="565"/>
    </row>
    <row r="5" spans="1:3" x14ac:dyDescent="0.3">
      <c r="A5" s="565" t="s">
        <v>163</v>
      </c>
      <c r="B5" s="565"/>
      <c r="C5" s="565"/>
    </row>
    <row r="7" spans="1:3" x14ac:dyDescent="0.3">
      <c r="B7" s="565" t="s">
        <v>66</v>
      </c>
      <c r="C7" s="565"/>
    </row>
    <row r="8" spans="1:3" x14ac:dyDescent="0.3">
      <c r="B8" s="379" t="s">
        <v>58</v>
      </c>
      <c r="C8" s="379" t="s">
        <v>59</v>
      </c>
    </row>
    <row r="9" spans="1:3" x14ac:dyDescent="0.3">
      <c r="A9" s="1">
        <v>5</v>
      </c>
      <c r="B9" s="388">
        <v>7.06</v>
      </c>
      <c r="C9" s="388">
        <v>2.59</v>
      </c>
    </row>
    <row r="10" spans="1:3" x14ac:dyDescent="0.3">
      <c r="A10" s="1">
        <v>24</v>
      </c>
      <c r="B10" s="388">
        <v>1295.83</v>
      </c>
      <c r="C10" s="388">
        <v>1212.1300000000001</v>
      </c>
    </row>
    <row r="11" spans="1:3" x14ac:dyDescent="0.3">
      <c r="A11" s="1">
        <v>25</v>
      </c>
      <c r="B11" s="388">
        <v>988.74</v>
      </c>
      <c r="C11" s="388">
        <v>1114.58</v>
      </c>
    </row>
    <row r="12" spans="1:3" x14ac:dyDescent="0.3">
      <c r="A12" s="1">
        <v>26</v>
      </c>
      <c r="B12" s="388">
        <v>417.12</v>
      </c>
      <c r="C12" s="388">
        <v>480.35</v>
      </c>
    </row>
    <row r="13" spans="1:3" x14ac:dyDescent="0.3">
      <c r="A13" s="1">
        <v>29</v>
      </c>
      <c r="B13" s="388">
        <v>12.3</v>
      </c>
      <c r="C13" s="388">
        <v>4.07</v>
      </c>
    </row>
    <row r="14" spans="1:3" x14ac:dyDescent="0.3">
      <c r="A14" s="1">
        <v>31</v>
      </c>
      <c r="B14" s="388">
        <v>355.32</v>
      </c>
      <c r="C14" s="388">
        <v>326.98</v>
      </c>
    </row>
    <row r="15" spans="1:3" x14ac:dyDescent="0.3">
      <c r="A15" s="1">
        <v>35</v>
      </c>
      <c r="B15" s="388">
        <v>7.96</v>
      </c>
      <c r="C15" s="388">
        <v>3.64</v>
      </c>
    </row>
    <row r="16" spans="1:3" x14ac:dyDescent="0.3">
      <c r="A16" s="1">
        <v>40</v>
      </c>
      <c r="B16" s="388">
        <v>36.65</v>
      </c>
      <c r="C16" s="388">
        <v>145.55000000000001</v>
      </c>
    </row>
    <row r="17" spans="1:3" x14ac:dyDescent="0.3">
      <c r="A17" s="1">
        <v>43</v>
      </c>
      <c r="B17" s="388">
        <v>99.38</v>
      </c>
      <c r="C17" s="388">
        <v>111.74</v>
      </c>
    </row>
    <row r="18" spans="1:3" x14ac:dyDescent="0.3">
      <c r="A18" s="1" t="s">
        <v>703</v>
      </c>
      <c r="B18" s="388">
        <v>6.51</v>
      </c>
      <c r="C18" s="388">
        <v>4.8</v>
      </c>
    </row>
    <row r="19" spans="1:3" x14ac:dyDescent="0.3">
      <c r="A19" s="1">
        <v>7</v>
      </c>
      <c r="B19" s="388">
        <v>6758</v>
      </c>
      <c r="C19" s="388">
        <v>6550.31</v>
      </c>
    </row>
    <row r="20" spans="1:3" x14ac:dyDescent="0.3">
      <c r="B20" s="388">
        <f>SUM(B9:B19)</f>
        <v>9984.8700000000008</v>
      </c>
      <c r="C20" s="388">
        <f>SUM(C9:C19)</f>
        <v>9956.7400000000016</v>
      </c>
    </row>
    <row r="21" spans="1:3" x14ac:dyDescent="0.3">
      <c r="B21" s="388"/>
      <c r="C21" s="388"/>
    </row>
    <row r="22" spans="1:3" ht="43.2" x14ac:dyDescent="0.3">
      <c r="A22" s="376" t="s">
        <v>707</v>
      </c>
      <c r="B22" s="388">
        <f>+B20-B16</f>
        <v>9948.2200000000012</v>
      </c>
      <c r="C22" s="388">
        <f t="shared" ref="C22" si="0">+C20-C16</f>
        <v>9811.1900000000023</v>
      </c>
    </row>
  </sheetData>
  <mergeCells count="6">
    <mergeCell ref="B7:C7"/>
    <mergeCell ref="A2:C2"/>
    <mergeCell ref="A1:C1"/>
    <mergeCell ref="A3:C3"/>
    <mergeCell ref="A4:C4"/>
    <mergeCell ref="A5:C5"/>
  </mergeCells>
  <printOptions horizontalCentered="1"/>
  <pageMargins left="0.25" right="0.25" top="0.75" bottom="0.75" header="0.3" footer="0.3"/>
  <pageSetup scale="99" orientation="landscape" r:id="rId1"/>
  <headerFooter>
    <oddFooter>&amp;L&amp;"Times New Roman,Regular"&amp;F
&amp;A&amp;R&amp;"Times New Roman,Regular"Page &amp;P of &amp;N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"/>
  <sheetViews>
    <sheetView zoomScale="90" zoomScaleNormal="90" workbookViewId="0">
      <selection sqref="A1:E1"/>
    </sheetView>
  </sheetViews>
  <sheetFormatPr defaultRowHeight="14.4" x14ac:dyDescent="0.3"/>
  <cols>
    <col min="1" max="1" width="22.109375" style="1" bestFit="1" customWidth="1"/>
    <col min="2" max="2" width="14.5546875" style="1" bestFit="1" customWidth="1"/>
    <col min="3" max="3" width="8.88671875" style="1"/>
    <col min="4" max="4" width="22.109375" style="1" bestFit="1" customWidth="1"/>
    <col min="5" max="5" width="14.5546875" style="1" bestFit="1" customWidth="1"/>
    <col min="6" max="16384" width="8.88671875" style="1"/>
  </cols>
  <sheetData>
    <row r="1" spans="1:5" x14ac:dyDescent="0.3">
      <c r="A1" s="565" t="s">
        <v>65</v>
      </c>
      <c r="B1" s="565"/>
      <c r="C1" s="565"/>
      <c r="D1" s="565"/>
      <c r="E1" s="565"/>
    </row>
    <row r="2" spans="1:5" x14ac:dyDescent="0.3">
      <c r="A2" s="565" t="s">
        <v>681</v>
      </c>
      <c r="B2" s="565"/>
      <c r="C2" s="565"/>
      <c r="D2" s="565"/>
      <c r="E2" s="565"/>
    </row>
    <row r="3" spans="1:5" x14ac:dyDescent="0.3">
      <c r="A3" s="565" t="s">
        <v>682</v>
      </c>
      <c r="B3" s="565"/>
      <c r="C3" s="565"/>
      <c r="D3" s="565"/>
      <c r="E3" s="565"/>
    </row>
    <row r="4" spans="1:5" x14ac:dyDescent="0.3">
      <c r="A4" s="565" t="s">
        <v>683</v>
      </c>
      <c r="B4" s="565"/>
      <c r="C4" s="565"/>
      <c r="D4" s="565"/>
      <c r="E4" s="565"/>
    </row>
    <row r="6" spans="1:5" x14ac:dyDescent="0.3">
      <c r="A6" s="376" t="s">
        <v>684</v>
      </c>
      <c r="B6" s="1" t="s">
        <v>58</v>
      </c>
      <c r="D6" s="376" t="s">
        <v>684</v>
      </c>
      <c r="E6" s="1" t="s">
        <v>59</v>
      </c>
    </row>
    <row r="8" spans="1:5" x14ac:dyDescent="0.3">
      <c r="A8" s="1" t="s">
        <v>685</v>
      </c>
      <c r="D8" s="1" t="s">
        <v>685</v>
      </c>
    </row>
    <row r="9" spans="1:5" x14ac:dyDescent="0.3">
      <c r="A9" s="376" t="s">
        <v>403</v>
      </c>
      <c r="B9" s="1" t="s">
        <v>20</v>
      </c>
      <c r="C9" s="376"/>
      <c r="D9" s="376" t="s">
        <v>403</v>
      </c>
      <c r="E9" s="1" t="s">
        <v>20</v>
      </c>
    </row>
    <row r="10" spans="1:5" x14ac:dyDescent="0.3">
      <c r="A10" s="1">
        <v>7</v>
      </c>
      <c r="B10" s="377">
        <v>295642644.14069372</v>
      </c>
      <c r="D10" s="1">
        <v>7</v>
      </c>
      <c r="E10" s="377">
        <v>361443716.53278774</v>
      </c>
    </row>
    <row r="11" spans="1:5" x14ac:dyDescent="0.3">
      <c r="A11" s="1">
        <v>24</v>
      </c>
      <c r="B11" s="377">
        <v>46340552.898913719</v>
      </c>
      <c r="D11" s="1">
        <v>24</v>
      </c>
      <c r="E11" s="377">
        <v>71223270.920080781</v>
      </c>
    </row>
    <row r="12" spans="1:5" x14ac:dyDescent="0.3">
      <c r="A12" s="1">
        <v>25</v>
      </c>
      <c r="B12" s="377">
        <v>4643969.8332666047</v>
      </c>
      <c r="D12" s="1">
        <v>25</v>
      </c>
      <c r="E12" s="377">
        <v>42915089.883373909</v>
      </c>
    </row>
    <row r="13" spans="1:5" x14ac:dyDescent="0.3">
      <c r="A13" s="1">
        <v>26</v>
      </c>
      <c r="B13" s="377">
        <v>75445.980448461574</v>
      </c>
      <c r="D13" s="1">
        <v>26</v>
      </c>
      <c r="E13" s="377">
        <v>14458390.062042588</v>
      </c>
    </row>
    <row r="14" spans="1:5" x14ac:dyDescent="0.3">
      <c r="A14" s="1">
        <v>29</v>
      </c>
      <c r="B14" s="377">
        <v>1299228.2643872828</v>
      </c>
      <c r="D14" s="1">
        <v>29</v>
      </c>
      <c r="E14" s="377">
        <v>202420.27436205687</v>
      </c>
    </row>
    <row r="15" spans="1:5" x14ac:dyDescent="0.3">
      <c r="A15" s="1">
        <v>40</v>
      </c>
      <c r="B15" s="377">
        <v>1500.6291010887001</v>
      </c>
      <c r="D15" s="1">
        <v>40</v>
      </c>
      <c r="E15" s="377">
        <v>264216.6831078814</v>
      </c>
    </row>
    <row r="16" spans="1:5" x14ac:dyDescent="0.3">
      <c r="A16" s="1">
        <v>43</v>
      </c>
      <c r="B16" s="377">
        <v>17954.508047638112</v>
      </c>
      <c r="D16" s="1">
        <v>43</v>
      </c>
      <c r="E16" s="377">
        <v>40160.73138902332</v>
      </c>
    </row>
    <row r="17" spans="1:5" x14ac:dyDescent="0.3">
      <c r="A17" s="1" t="s">
        <v>60</v>
      </c>
      <c r="B17" s="377">
        <v>107579.73207306872</v>
      </c>
      <c r="D17" s="1">
        <v>5</v>
      </c>
      <c r="E17" s="377">
        <v>29035.010000000002</v>
      </c>
    </row>
    <row r="18" spans="1:5" x14ac:dyDescent="0.3">
      <c r="A18" s="1" t="s">
        <v>25</v>
      </c>
      <c r="B18" s="377">
        <v>348128875.98693168</v>
      </c>
      <c r="D18" s="1" t="s">
        <v>60</v>
      </c>
      <c r="E18" s="377">
        <v>352753.99721486866</v>
      </c>
    </row>
    <row r="19" spans="1:5" x14ac:dyDescent="0.3">
      <c r="D19" s="1" t="s">
        <v>25</v>
      </c>
      <c r="E19" s="377">
        <v>490929054.0943588</v>
      </c>
    </row>
    <row r="23" spans="1:5" x14ac:dyDescent="0.3">
      <c r="A23" s="1" t="s">
        <v>22</v>
      </c>
      <c r="B23" s="377">
        <v>56797904.835369848</v>
      </c>
      <c r="E23" s="377">
        <v>1132486.0600000008</v>
      </c>
    </row>
    <row r="24" spans="1:5" x14ac:dyDescent="0.3">
      <c r="B24" s="377">
        <v>404926780.82230151</v>
      </c>
      <c r="E24" s="377">
        <v>492061540.1543588</v>
      </c>
    </row>
    <row r="25" spans="1:5" x14ac:dyDescent="0.3">
      <c r="A25" s="375" t="s">
        <v>695</v>
      </c>
      <c r="B25" s="31">
        <f>+B24-SUM(B15:B17)</f>
        <v>404799745.9530797</v>
      </c>
      <c r="C25"/>
      <c r="D25"/>
      <c r="E25" s="31">
        <f>+E24-SUM(E15:E16,E18)</f>
        <v>491404408.74264705</v>
      </c>
    </row>
    <row r="28" spans="1:5" x14ac:dyDescent="0.3">
      <c r="A28" s="1" t="s">
        <v>686</v>
      </c>
      <c r="B28" s="1" t="s">
        <v>54</v>
      </c>
      <c r="D28" s="1" t="s">
        <v>686</v>
      </c>
      <c r="E28" s="1" t="s">
        <v>54</v>
      </c>
    </row>
    <row r="29" spans="1:5" x14ac:dyDescent="0.3">
      <c r="A29" s="1" t="s">
        <v>5</v>
      </c>
      <c r="B29" s="1" t="s">
        <v>58</v>
      </c>
      <c r="D29" s="1" t="s">
        <v>5</v>
      </c>
      <c r="E29" s="1" t="s">
        <v>59</v>
      </c>
    </row>
    <row r="30" spans="1:5" x14ac:dyDescent="0.3">
      <c r="A30" s="378" t="s">
        <v>687</v>
      </c>
      <c r="B30" s="377">
        <v>17147.87</v>
      </c>
      <c r="D30" s="378" t="s">
        <v>687</v>
      </c>
      <c r="E30" s="377">
        <v>0</v>
      </c>
    </row>
    <row r="31" spans="1:5" x14ac:dyDescent="0.3">
      <c r="A31" s="378" t="s">
        <v>688</v>
      </c>
      <c r="B31" s="377">
        <v>57546.367999999995</v>
      </c>
      <c r="D31" s="378" t="s">
        <v>688</v>
      </c>
      <c r="E31" s="377">
        <v>92849.460000000021</v>
      </c>
    </row>
    <row r="32" spans="1:5" x14ac:dyDescent="0.3">
      <c r="A32" s="378" t="s">
        <v>689</v>
      </c>
      <c r="B32" s="377">
        <v>49777303.924999781</v>
      </c>
      <c r="D32" s="378" t="s">
        <v>689</v>
      </c>
      <c r="E32" s="377">
        <v>767514.95000000054</v>
      </c>
    </row>
    <row r="33" spans="1:5" x14ac:dyDescent="0.3">
      <c r="A33" s="378" t="s">
        <v>690</v>
      </c>
      <c r="B33" s="377">
        <v>39645.119999999995</v>
      </c>
      <c r="D33" s="378" t="s">
        <v>690</v>
      </c>
      <c r="E33" s="377">
        <v>12727.55</v>
      </c>
    </row>
    <row r="34" spans="1:5" x14ac:dyDescent="0.3">
      <c r="A34" s="378" t="s">
        <v>691</v>
      </c>
      <c r="B34" s="377">
        <v>2063977.8383999933</v>
      </c>
      <c r="D34" s="378" t="s">
        <v>691</v>
      </c>
      <c r="E34" s="377">
        <v>96800.770000000019</v>
      </c>
    </row>
    <row r="35" spans="1:5" x14ac:dyDescent="0.3">
      <c r="A35" s="378" t="s">
        <v>692</v>
      </c>
      <c r="B35" s="377">
        <v>4220756.4881800823</v>
      </c>
      <c r="D35" s="378" t="s">
        <v>692</v>
      </c>
      <c r="E35" s="377">
        <v>99636.669999999984</v>
      </c>
    </row>
    <row r="36" spans="1:5" x14ac:dyDescent="0.3">
      <c r="A36" s="378" t="s">
        <v>693</v>
      </c>
      <c r="B36" s="377">
        <v>537576.66803000029</v>
      </c>
      <c r="D36" s="378" t="s">
        <v>693</v>
      </c>
      <c r="E36" s="377">
        <v>60347.07</v>
      </c>
    </row>
    <row r="37" spans="1:5" x14ac:dyDescent="0.3">
      <c r="A37" s="378" t="s">
        <v>694</v>
      </c>
      <c r="B37" s="377">
        <v>83950.557759999981</v>
      </c>
      <c r="D37" s="378" t="s">
        <v>694</v>
      </c>
      <c r="E37" s="377">
        <v>2609.59</v>
      </c>
    </row>
    <row r="38" spans="1:5" x14ac:dyDescent="0.3">
      <c r="A38" s="378" t="s">
        <v>25</v>
      </c>
      <c r="B38" s="377">
        <v>56797904.835369848</v>
      </c>
      <c r="D38" s="378" t="s">
        <v>25</v>
      </c>
      <c r="E38" s="377">
        <v>1132486.0600000008</v>
      </c>
    </row>
  </sheetData>
  <mergeCells count="4">
    <mergeCell ref="A1:E1"/>
    <mergeCell ref="A2:E2"/>
    <mergeCell ref="A3:E3"/>
    <mergeCell ref="A4:E4"/>
  </mergeCells>
  <printOptions horizontalCentered="1"/>
  <pageMargins left="0.25" right="0.25" top="0.75" bottom="0.75" header="0.3" footer="0.3"/>
  <pageSetup scale="91" orientation="landscape" r:id="rId1"/>
  <headerFooter>
    <oddFooter>&amp;L&amp;"Times New Roman,Regular"&amp;F
&amp;A&amp;R&amp;"Times New Roman,Regular"Page &amp;P of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zoomScaleNormal="100" workbookViewId="0">
      <selection sqref="A1:G1"/>
    </sheetView>
  </sheetViews>
  <sheetFormatPr defaultRowHeight="14.4" x14ac:dyDescent="0.3"/>
  <cols>
    <col min="1" max="1" width="24.5546875" bestFit="1" customWidth="1"/>
    <col min="2" max="2" width="12.77734375" bestFit="1" customWidth="1"/>
    <col min="3" max="3" width="10" bestFit="1" customWidth="1"/>
    <col min="4" max="4" width="11" bestFit="1" customWidth="1"/>
    <col min="5" max="5" width="4.21875" customWidth="1"/>
    <col min="6" max="7" width="7.6640625" bestFit="1" customWidth="1"/>
  </cols>
  <sheetData>
    <row r="1" spans="1:7" x14ac:dyDescent="0.3">
      <c r="A1" s="537" t="s">
        <v>51</v>
      </c>
      <c r="B1" s="537"/>
      <c r="C1" s="537"/>
      <c r="D1" s="537"/>
      <c r="E1" s="537"/>
      <c r="F1" s="537"/>
      <c r="G1" s="537"/>
    </row>
    <row r="2" spans="1:7" x14ac:dyDescent="0.3">
      <c r="A2" s="537" t="s">
        <v>52</v>
      </c>
      <c r="B2" s="537"/>
      <c r="C2" s="537"/>
      <c r="D2" s="537"/>
      <c r="E2" s="537"/>
      <c r="F2" s="537"/>
      <c r="G2" s="537"/>
    </row>
    <row r="3" spans="1:7" x14ac:dyDescent="0.3">
      <c r="A3" s="537" t="s">
        <v>48</v>
      </c>
      <c r="B3" s="537"/>
      <c r="C3" s="537"/>
      <c r="D3" s="537"/>
      <c r="E3" s="537"/>
      <c r="F3" s="537"/>
      <c r="G3" s="537"/>
    </row>
    <row r="9" spans="1:7" x14ac:dyDescent="0.3">
      <c r="A9" t="s">
        <v>53</v>
      </c>
      <c r="B9" t="s">
        <v>54</v>
      </c>
      <c r="F9" s="578" t="s">
        <v>55</v>
      </c>
      <c r="G9" s="578"/>
    </row>
    <row r="10" spans="1:7" x14ac:dyDescent="0.3">
      <c r="A10" t="s">
        <v>5</v>
      </c>
      <c r="B10" t="s">
        <v>56</v>
      </c>
      <c r="C10" t="s">
        <v>57</v>
      </c>
      <c r="D10" t="s">
        <v>25</v>
      </c>
      <c r="F10" s="38" t="s">
        <v>58</v>
      </c>
      <c r="G10" s="38" t="s">
        <v>59</v>
      </c>
    </row>
    <row r="11" spans="1:7" x14ac:dyDescent="0.3">
      <c r="A11" s="27">
        <v>7</v>
      </c>
      <c r="B11" s="29">
        <v>349601</v>
      </c>
      <c r="C11" s="29">
        <v>644467</v>
      </c>
      <c r="D11" s="29">
        <v>994068</v>
      </c>
      <c r="F11" s="39">
        <v>0.86685312882005661</v>
      </c>
      <c r="G11" s="39">
        <v>0.88802217895562141</v>
      </c>
    </row>
    <row r="12" spans="1:7" x14ac:dyDescent="0.3">
      <c r="A12" s="27">
        <v>24</v>
      </c>
      <c r="B12" s="29">
        <v>51562</v>
      </c>
      <c r="C12" s="29">
        <v>73646</v>
      </c>
      <c r="D12" s="29">
        <v>125208</v>
      </c>
      <c r="F12" s="39">
        <v>0.12785055256769792</v>
      </c>
      <c r="G12" s="39">
        <v>0.1014780918051129</v>
      </c>
    </row>
    <row r="13" spans="1:7" x14ac:dyDescent="0.3">
      <c r="A13" s="27">
        <v>25</v>
      </c>
      <c r="B13" s="29">
        <v>1216</v>
      </c>
      <c r="C13" s="29">
        <v>5940</v>
      </c>
      <c r="D13" s="29">
        <v>7156</v>
      </c>
      <c r="F13" s="39">
        <v>3.015132693113546E-3</v>
      </c>
      <c r="G13" s="39">
        <v>8.184828304624428E-3</v>
      </c>
    </row>
    <row r="14" spans="1:7" x14ac:dyDescent="0.3">
      <c r="A14" s="27">
        <v>26</v>
      </c>
      <c r="B14" s="29">
        <v>28</v>
      </c>
      <c r="C14" s="29">
        <v>788</v>
      </c>
      <c r="D14" s="29">
        <v>816</v>
      </c>
      <c r="F14" s="39">
        <v>6.9427397538798753E-5</v>
      </c>
      <c r="G14" s="39">
        <v>1.0857987717245875E-3</v>
      </c>
    </row>
    <row r="15" spans="1:7" x14ac:dyDescent="0.3">
      <c r="A15" s="27">
        <v>29</v>
      </c>
      <c r="B15" s="29">
        <v>610</v>
      </c>
      <c r="C15" s="29">
        <v>91</v>
      </c>
      <c r="D15" s="29">
        <v>701</v>
      </c>
      <c r="F15" s="39">
        <v>1.512525446380973E-3</v>
      </c>
      <c r="G15" s="39">
        <v>1.2539046729306784E-4</v>
      </c>
    </row>
    <row r="16" spans="1:7" x14ac:dyDescent="0.3">
      <c r="A16" s="27">
        <v>31</v>
      </c>
      <c r="B16" s="29">
        <v>118</v>
      </c>
      <c r="C16" s="29">
        <v>376</v>
      </c>
      <c r="D16" s="29">
        <v>494</v>
      </c>
      <c r="F16" s="39">
        <v>2.9258688962779478E-4</v>
      </c>
      <c r="G16" s="39">
        <v>5.180968758482803E-4</v>
      </c>
    </row>
    <row r="17" spans="1:7" x14ac:dyDescent="0.3">
      <c r="A17" s="27">
        <v>35</v>
      </c>
      <c r="B17" s="29"/>
      <c r="C17" s="29">
        <v>1</v>
      </c>
      <c r="D17" s="29">
        <v>1</v>
      </c>
      <c r="F17" s="39">
        <v>0</v>
      </c>
      <c r="G17" s="39">
        <v>1.3779172230007455E-6</v>
      </c>
    </row>
    <row r="18" spans="1:7" x14ac:dyDescent="0.3">
      <c r="A18" s="27">
        <v>40</v>
      </c>
      <c r="B18" s="29">
        <v>5</v>
      </c>
      <c r="C18" s="29">
        <v>160</v>
      </c>
      <c r="D18" s="29">
        <v>165</v>
      </c>
      <c r="F18" s="39">
        <v>1.2397749560499777E-5</v>
      </c>
      <c r="G18" s="39">
        <v>2.2046675568011928E-4</v>
      </c>
    </row>
    <row r="19" spans="1:7" x14ac:dyDescent="0.3">
      <c r="A19" s="27">
        <v>43</v>
      </c>
      <c r="B19" s="29">
        <v>27</v>
      </c>
      <c r="C19" s="29">
        <v>137</v>
      </c>
      <c r="D19" s="29">
        <v>164</v>
      </c>
      <c r="F19" s="39">
        <v>6.6947847626698805E-5</v>
      </c>
      <c r="G19" s="39">
        <v>1.8877465955110213E-4</v>
      </c>
    </row>
    <row r="20" spans="1:7" x14ac:dyDescent="0.3">
      <c r="A20" s="27">
        <v>46</v>
      </c>
      <c r="B20" s="29">
        <v>2</v>
      </c>
      <c r="C20" s="29">
        <v>4</v>
      </c>
      <c r="D20" s="29">
        <v>6</v>
      </c>
      <c r="F20" s="39">
        <v>4.9590998241999115E-6</v>
      </c>
      <c r="G20" s="39">
        <v>5.5116688920029819E-6</v>
      </c>
    </row>
    <row r="21" spans="1:7" x14ac:dyDescent="0.3">
      <c r="A21" s="27">
        <v>49</v>
      </c>
      <c r="B21" s="29">
        <v>7</v>
      </c>
      <c r="C21" s="29">
        <v>19</v>
      </c>
      <c r="D21" s="29">
        <v>26</v>
      </c>
      <c r="F21" s="39">
        <v>1.7356849384699688E-5</v>
      </c>
      <c r="G21" s="39">
        <v>2.6180427237014162E-5</v>
      </c>
    </row>
    <row r="22" spans="1:7" x14ac:dyDescent="0.3">
      <c r="A22" s="27" t="s">
        <v>417</v>
      </c>
      <c r="B22" s="29">
        <v>123</v>
      </c>
      <c r="C22" s="29">
        <v>104</v>
      </c>
      <c r="D22" s="29">
        <v>227</v>
      </c>
      <c r="F22" s="39">
        <v>3.0498463918829453E-4</v>
      </c>
      <c r="G22" s="39">
        <v>1.4330339119207752E-4</v>
      </c>
    </row>
    <row r="23" spans="1:7" x14ac:dyDescent="0.3">
      <c r="A23" s="27" t="s">
        <v>25</v>
      </c>
      <c r="B23" s="29">
        <v>403299</v>
      </c>
      <c r="C23" s="29">
        <v>725733</v>
      </c>
      <c r="D23" s="29">
        <v>1129032</v>
      </c>
      <c r="F23" s="39">
        <v>1</v>
      </c>
      <c r="G23" s="39">
        <v>1</v>
      </c>
    </row>
    <row r="24" spans="1:7" x14ac:dyDescent="0.3">
      <c r="A24" s="27"/>
      <c r="B24" s="29"/>
      <c r="C24" s="29"/>
      <c r="D24" s="29"/>
      <c r="F24" s="40"/>
      <c r="G24" s="40"/>
    </row>
    <row r="26" spans="1:7" x14ac:dyDescent="0.3">
      <c r="A26" t="s">
        <v>389</v>
      </c>
      <c r="B26" s="29">
        <f>SUM(B11:B15)</f>
        <v>403017</v>
      </c>
      <c r="C26" s="29"/>
      <c r="D26" s="29"/>
    </row>
  </sheetData>
  <mergeCells count="4">
    <mergeCell ref="A1:G1"/>
    <mergeCell ref="A2:G2"/>
    <mergeCell ref="A3:G3"/>
    <mergeCell ref="F9:G9"/>
  </mergeCells>
  <printOptions horizontalCentered="1"/>
  <pageMargins left="0.25" right="0.25" top="0.75" bottom="0.75" header="0.3" footer="0.3"/>
  <pageSetup orientation="landscape" r:id="rId1"/>
  <headerFooter>
    <oddFooter>&amp;L&amp;"Times New Roman,Regular"&amp;F
&amp;A&amp;R&amp;"Times New Roman,Regular"Page &amp;P of 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zoomScaleNormal="100" workbookViewId="0">
      <selection sqref="A1:G1"/>
    </sheetView>
  </sheetViews>
  <sheetFormatPr defaultRowHeight="14.4" x14ac:dyDescent="0.3"/>
  <cols>
    <col min="1" max="1" width="11" bestFit="1" customWidth="1"/>
    <col min="2" max="2" width="13.5546875" bestFit="1" customWidth="1"/>
    <col min="3" max="3" width="9.5546875" bestFit="1" customWidth="1"/>
    <col min="4" max="4" width="13.88671875" bestFit="1" customWidth="1"/>
    <col min="5" max="5" width="25.44140625" bestFit="1" customWidth="1"/>
    <col min="6" max="6" width="9.5546875" bestFit="1" customWidth="1"/>
    <col min="7" max="7" width="13.88671875" bestFit="1" customWidth="1"/>
    <col min="8" max="8" width="9.5546875" bestFit="1" customWidth="1"/>
  </cols>
  <sheetData>
    <row r="1" spans="1:7" x14ac:dyDescent="0.3">
      <c r="A1" s="565" t="s">
        <v>65</v>
      </c>
      <c r="B1" s="565"/>
      <c r="C1" s="565"/>
      <c r="D1" s="565"/>
      <c r="E1" s="565"/>
      <c r="F1" s="565"/>
      <c r="G1" s="565"/>
    </row>
    <row r="2" spans="1:7" x14ac:dyDescent="0.3">
      <c r="A2" s="566" t="s">
        <v>775</v>
      </c>
      <c r="B2" s="565"/>
      <c r="C2" s="565"/>
      <c r="D2" s="565"/>
      <c r="E2" s="565"/>
      <c r="F2" s="565"/>
      <c r="G2" s="565"/>
    </row>
    <row r="3" spans="1:7" x14ac:dyDescent="0.3">
      <c r="A3" s="565" t="s">
        <v>720</v>
      </c>
      <c r="B3" s="565"/>
      <c r="C3" s="565"/>
      <c r="D3" s="565"/>
      <c r="E3" s="565"/>
      <c r="F3" s="565"/>
      <c r="G3" s="565"/>
    </row>
    <row r="4" spans="1:7" x14ac:dyDescent="0.3">
      <c r="A4" s="565" t="s">
        <v>66</v>
      </c>
      <c r="B4" s="565"/>
      <c r="C4" s="565"/>
      <c r="D4" s="565"/>
      <c r="E4" s="565"/>
      <c r="F4" s="565"/>
      <c r="G4" s="565"/>
    </row>
    <row r="5" spans="1:7" x14ac:dyDescent="0.3">
      <c r="A5" s="1"/>
      <c r="B5" s="1"/>
      <c r="C5" s="1"/>
      <c r="D5" s="1"/>
      <c r="E5" s="1"/>
      <c r="F5" s="1"/>
      <c r="G5" s="1"/>
    </row>
    <row r="6" spans="1:7" x14ac:dyDescent="0.3">
      <c r="A6" s="1" t="s">
        <v>5</v>
      </c>
      <c r="B6" s="1" t="s">
        <v>390</v>
      </c>
      <c r="C6" s="1" t="s">
        <v>395</v>
      </c>
      <c r="D6" s="1" t="s">
        <v>396</v>
      </c>
      <c r="E6" s="1" t="s">
        <v>391</v>
      </c>
      <c r="F6" s="1" t="s">
        <v>395</v>
      </c>
      <c r="G6" s="1" t="s">
        <v>396</v>
      </c>
    </row>
    <row r="7" spans="1:7" x14ac:dyDescent="0.3">
      <c r="A7" s="378">
        <v>7</v>
      </c>
      <c r="B7" s="393">
        <v>999962</v>
      </c>
      <c r="C7" s="393"/>
      <c r="D7" s="393">
        <f>SUM(B7:C7)</f>
        <v>999962</v>
      </c>
      <c r="E7" s="377">
        <v>112832556</v>
      </c>
      <c r="F7" s="77"/>
      <c r="G7" s="77">
        <f>SUM(E7:F7)</f>
        <v>112832556</v>
      </c>
    </row>
    <row r="8" spans="1:7" x14ac:dyDescent="0.3">
      <c r="A8" s="378">
        <v>24</v>
      </c>
      <c r="B8" s="393">
        <v>128242</v>
      </c>
      <c r="C8" s="424"/>
      <c r="D8" s="393">
        <f t="shared" ref="D8:D22" si="0">SUM(B8:C8)</f>
        <v>128242</v>
      </c>
      <c r="E8" s="377">
        <v>31980178</v>
      </c>
      <c r="F8" s="77">
        <f>C8*E17/B17</f>
        <v>0</v>
      </c>
      <c r="G8" s="77">
        <f t="shared" ref="G8:G22" si="1">SUM(E8:F8)</f>
        <v>31980178</v>
      </c>
    </row>
    <row r="9" spans="1:7" x14ac:dyDescent="0.3">
      <c r="A9" s="378">
        <v>25</v>
      </c>
      <c r="B9" s="393">
        <v>7266</v>
      </c>
      <c r="C9" s="424"/>
      <c r="D9" s="393">
        <f t="shared" si="0"/>
        <v>7266</v>
      </c>
      <c r="E9" s="377">
        <v>8497979</v>
      </c>
      <c r="F9" s="77">
        <f>C9*E17/B17</f>
        <v>0</v>
      </c>
      <c r="G9" s="77">
        <f t="shared" si="1"/>
        <v>8497979</v>
      </c>
    </row>
    <row r="10" spans="1:7" x14ac:dyDescent="0.3">
      <c r="A10" s="378">
        <v>26</v>
      </c>
      <c r="B10" s="393">
        <v>822</v>
      </c>
      <c r="C10" s="424"/>
      <c r="D10" s="393">
        <f t="shared" si="0"/>
        <v>822</v>
      </c>
      <c r="E10" s="377">
        <v>991964</v>
      </c>
      <c r="F10" s="77">
        <f>C10*E18/B18</f>
        <v>0</v>
      </c>
      <c r="G10" s="77">
        <f t="shared" si="1"/>
        <v>991964</v>
      </c>
    </row>
    <row r="11" spans="1:7" x14ac:dyDescent="0.3">
      <c r="A11" s="378">
        <v>29</v>
      </c>
      <c r="B11" s="393">
        <v>738</v>
      </c>
      <c r="C11" s="424"/>
      <c r="D11" s="393">
        <f t="shared" si="0"/>
        <v>738</v>
      </c>
      <c r="E11" s="377">
        <v>197150</v>
      </c>
      <c r="F11" s="77"/>
      <c r="G11" s="77">
        <f t="shared" si="1"/>
        <v>197150</v>
      </c>
    </row>
    <row r="12" spans="1:7" x14ac:dyDescent="0.3">
      <c r="A12" s="378">
        <v>31</v>
      </c>
      <c r="B12" s="393">
        <v>495</v>
      </c>
      <c r="C12" s="424"/>
      <c r="D12" s="393">
        <f t="shared" si="0"/>
        <v>495</v>
      </c>
      <c r="E12" s="377">
        <v>12233436</v>
      </c>
      <c r="F12" s="77">
        <f>C12*E19/B19</f>
        <v>0</v>
      </c>
      <c r="G12" s="77">
        <f t="shared" si="1"/>
        <v>12233436</v>
      </c>
    </row>
    <row r="13" spans="1:7" x14ac:dyDescent="0.3">
      <c r="A13" s="378">
        <v>35</v>
      </c>
      <c r="B13" s="393">
        <v>1</v>
      </c>
      <c r="C13" s="424"/>
      <c r="D13" s="393">
        <f t="shared" si="0"/>
        <v>1</v>
      </c>
      <c r="E13" s="377">
        <v>28682</v>
      </c>
      <c r="F13" s="77"/>
      <c r="G13" s="77">
        <f t="shared" si="1"/>
        <v>28682</v>
      </c>
    </row>
    <row r="14" spans="1:7" x14ac:dyDescent="0.3">
      <c r="A14" s="378">
        <v>43</v>
      </c>
      <c r="B14" s="393">
        <v>164</v>
      </c>
      <c r="C14" s="424"/>
      <c r="D14" s="393">
        <f t="shared" si="0"/>
        <v>164</v>
      </c>
      <c r="E14" s="377">
        <v>4265921</v>
      </c>
      <c r="F14" s="77"/>
      <c r="G14" s="77">
        <f t="shared" si="1"/>
        <v>4265921</v>
      </c>
    </row>
    <row r="15" spans="1:7" x14ac:dyDescent="0.3">
      <c r="A15" s="378">
        <v>46</v>
      </c>
      <c r="B15" s="393">
        <v>8</v>
      </c>
      <c r="C15" s="424"/>
      <c r="D15" s="393">
        <f t="shared" si="0"/>
        <v>8</v>
      </c>
      <c r="E15" s="377">
        <v>115504</v>
      </c>
      <c r="F15" s="77"/>
      <c r="G15" s="77">
        <f t="shared" si="1"/>
        <v>115504</v>
      </c>
    </row>
    <row r="16" spans="1:7" x14ac:dyDescent="0.3">
      <c r="A16" s="378">
        <v>49</v>
      </c>
      <c r="B16" s="393">
        <v>29</v>
      </c>
      <c r="C16" s="424"/>
      <c r="D16" s="393">
        <f t="shared" si="0"/>
        <v>29</v>
      </c>
      <c r="E16" s="377">
        <v>418702</v>
      </c>
      <c r="F16" s="77"/>
      <c r="G16" s="77">
        <f t="shared" si="1"/>
        <v>418702</v>
      </c>
    </row>
    <row r="17" spans="1:7" x14ac:dyDescent="0.3">
      <c r="A17" s="378">
        <v>4025</v>
      </c>
      <c r="B17" s="393">
        <v>66</v>
      </c>
      <c r="C17" s="424"/>
      <c r="D17" s="393">
        <f t="shared" si="0"/>
        <v>66</v>
      </c>
      <c r="E17" s="377">
        <v>62479</v>
      </c>
      <c r="F17" s="77">
        <f>SUM(F8:F9)*-1</f>
        <v>0</v>
      </c>
      <c r="G17" s="77">
        <f t="shared" si="1"/>
        <v>62479</v>
      </c>
    </row>
    <row r="18" spans="1:7" x14ac:dyDescent="0.3">
      <c r="A18" s="378">
        <v>4026</v>
      </c>
      <c r="B18" s="393">
        <v>68</v>
      </c>
      <c r="C18" s="424"/>
      <c r="D18" s="393">
        <f t="shared" si="0"/>
        <v>68</v>
      </c>
      <c r="E18" s="377">
        <v>82892</v>
      </c>
      <c r="F18" s="77">
        <f>-F10</f>
        <v>0</v>
      </c>
      <c r="G18" s="77">
        <f t="shared" si="1"/>
        <v>82892</v>
      </c>
    </row>
    <row r="19" spans="1:7" x14ac:dyDescent="0.3">
      <c r="A19" s="378">
        <v>4031</v>
      </c>
      <c r="B19" s="393">
        <v>29</v>
      </c>
      <c r="C19" s="424"/>
      <c r="D19" s="393">
        <f t="shared" si="0"/>
        <v>29</v>
      </c>
      <c r="E19" s="377">
        <v>831778</v>
      </c>
      <c r="F19" s="77">
        <f>-F12</f>
        <v>0</v>
      </c>
      <c r="G19" s="77">
        <f t="shared" si="1"/>
        <v>831778</v>
      </c>
    </row>
    <row r="20" spans="1:7" x14ac:dyDescent="0.3">
      <c r="A20" s="378" t="s">
        <v>392</v>
      </c>
      <c r="B20" s="393">
        <v>7</v>
      </c>
      <c r="C20" s="424"/>
      <c r="D20" s="393">
        <f t="shared" si="0"/>
        <v>7</v>
      </c>
      <c r="E20" s="377">
        <v>101066</v>
      </c>
      <c r="F20" s="77"/>
      <c r="G20" s="77">
        <f t="shared" si="1"/>
        <v>101066</v>
      </c>
    </row>
    <row r="21" spans="1:7" x14ac:dyDescent="0.3">
      <c r="A21" s="378" t="s">
        <v>393</v>
      </c>
      <c r="B21" s="393">
        <v>3</v>
      </c>
      <c r="C21" s="393"/>
      <c r="D21" s="393">
        <f t="shared" si="0"/>
        <v>3</v>
      </c>
      <c r="E21" s="377">
        <v>86046</v>
      </c>
      <c r="F21" s="77"/>
      <c r="G21" s="77">
        <f t="shared" si="1"/>
        <v>86046</v>
      </c>
    </row>
    <row r="22" spans="1:7" x14ac:dyDescent="0.3">
      <c r="A22" s="378" t="s">
        <v>394</v>
      </c>
      <c r="B22" s="393">
        <v>39</v>
      </c>
      <c r="C22" s="393"/>
      <c r="D22" s="393">
        <f t="shared" si="0"/>
        <v>39</v>
      </c>
      <c r="E22" s="377">
        <v>563082</v>
      </c>
      <c r="F22" s="77"/>
      <c r="G22" s="77">
        <f t="shared" si="1"/>
        <v>563082</v>
      </c>
    </row>
    <row r="23" spans="1:7" x14ac:dyDescent="0.3">
      <c r="A23" s="378" t="s">
        <v>25</v>
      </c>
      <c r="B23" s="393">
        <f t="shared" ref="B23:C23" si="2">SUM(B7:B22)</f>
        <v>1137939</v>
      </c>
      <c r="C23" s="393">
        <f t="shared" si="2"/>
        <v>0</v>
      </c>
      <c r="D23" s="393">
        <f>SUM(D7:D22)</f>
        <v>1137939</v>
      </c>
      <c r="E23" s="377">
        <v>173289415</v>
      </c>
      <c r="F23" s="77">
        <f t="shared" ref="F23" si="3">SUM(F7:F22)</f>
        <v>0</v>
      </c>
      <c r="G23" s="77">
        <f>SUM(G7:G22)</f>
        <v>173289415</v>
      </c>
    </row>
    <row r="24" spans="1:7" x14ac:dyDescent="0.3">
      <c r="A24" s="1"/>
      <c r="B24" s="1"/>
      <c r="C24" s="1"/>
      <c r="D24" s="1"/>
      <c r="E24" s="1"/>
      <c r="F24" s="77"/>
      <c r="G24" s="77"/>
    </row>
    <row r="25" spans="1:7" x14ac:dyDescent="0.3">
      <c r="A25" s="378" t="s">
        <v>23</v>
      </c>
      <c r="B25" s="393">
        <v>9</v>
      </c>
      <c r="C25" s="393"/>
      <c r="D25" s="393">
        <f t="shared" ref="D25" si="4">SUM(B25:C25)</f>
        <v>9</v>
      </c>
      <c r="E25" s="394">
        <v>253521</v>
      </c>
      <c r="F25" s="77"/>
      <c r="G25" s="77">
        <f t="shared" ref="G25" si="5">SUM(E25:F25)</f>
        <v>253521</v>
      </c>
    </row>
    <row r="26" spans="1:7" x14ac:dyDescent="0.3">
      <c r="A26" s="117" t="s">
        <v>25</v>
      </c>
      <c r="B26" s="393">
        <f>+B25+B23</f>
        <v>1137948</v>
      </c>
      <c r="C26" s="393">
        <f>+C25+C23</f>
        <v>0</v>
      </c>
      <c r="D26" s="393">
        <f>+D25+D23</f>
        <v>1137948</v>
      </c>
      <c r="E26" s="377">
        <v>173542936</v>
      </c>
      <c r="F26" s="77">
        <f>+F25+F23</f>
        <v>0</v>
      </c>
      <c r="G26" s="77">
        <f>+G25+G23</f>
        <v>173542936</v>
      </c>
    </row>
    <row r="27" spans="1:7" x14ac:dyDescent="0.3">
      <c r="A27" s="1"/>
      <c r="B27" s="1"/>
      <c r="C27" s="1"/>
      <c r="D27" s="1"/>
      <c r="E27" s="1"/>
      <c r="F27" s="1"/>
      <c r="G27" s="1"/>
    </row>
    <row r="28" spans="1:7" x14ac:dyDescent="0.3">
      <c r="A28" s="1"/>
      <c r="B28" s="1"/>
      <c r="C28" s="1"/>
      <c r="D28" s="1"/>
      <c r="E28" s="1"/>
      <c r="F28" s="1"/>
      <c r="G28" s="1"/>
    </row>
    <row r="29" spans="1:7" x14ac:dyDescent="0.3">
      <c r="A29" s="1" t="s">
        <v>397</v>
      </c>
      <c r="B29" s="1"/>
      <c r="C29" s="1"/>
      <c r="D29" s="393">
        <f>SUM(D20:D22)-D30</f>
        <v>47</v>
      </c>
      <c r="E29" s="1"/>
      <c r="F29" s="1"/>
      <c r="G29" s="77">
        <f>+G31/D31*D29</f>
        <v>719573.83673469396</v>
      </c>
    </row>
    <row r="30" spans="1:7" x14ac:dyDescent="0.3">
      <c r="A30" s="117" t="s">
        <v>398</v>
      </c>
      <c r="B30" s="1"/>
      <c r="C30" s="1"/>
      <c r="D30" s="1">
        <v>2</v>
      </c>
      <c r="E30" s="1"/>
      <c r="F30" s="1"/>
      <c r="G30" s="77">
        <f>+G31/D31*D30</f>
        <v>30620.163265306124</v>
      </c>
    </row>
    <row r="31" spans="1:7" x14ac:dyDescent="0.3">
      <c r="A31" s="1"/>
      <c r="B31" s="1"/>
      <c r="C31" s="1"/>
      <c r="D31" s="1">
        <f>SUM(D29:D30)</f>
        <v>49</v>
      </c>
      <c r="E31" s="1"/>
      <c r="F31" s="1"/>
      <c r="G31" s="77">
        <f>SUM(G20:G22)</f>
        <v>750194</v>
      </c>
    </row>
  </sheetData>
  <mergeCells count="4">
    <mergeCell ref="A4:G4"/>
    <mergeCell ref="A1:G1"/>
    <mergeCell ref="A2:G2"/>
    <mergeCell ref="A3:G3"/>
  </mergeCells>
  <printOptions horizontalCentered="1"/>
  <pageMargins left="0.25" right="0.25" top="0.75" bottom="0.75" header="0.3" footer="0.3"/>
  <pageSetup orientation="landscape" r:id="rId1"/>
  <headerFooter>
    <oddFooter>&amp;L&amp;"Times New Roman,Regular"&amp;F
&amp;A&amp;R&amp;"Times New Roman,Regular"Page &amp;P of 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workbookViewId="0">
      <selection sqref="A1:M1"/>
    </sheetView>
  </sheetViews>
  <sheetFormatPr defaultRowHeight="14.4" x14ac:dyDescent="0.3"/>
  <cols>
    <col min="1" max="1" width="7.77734375" style="1" bestFit="1" customWidth="1"/>
    <col min="2" max="2" width="15.77734375" style="1" bestFit="1" customWidth="1"/>
    <col min="3" max="4" width="15.109375" style="1" bestFit="1" customWidth="1"/>
    <col min="5" max="8" width="10.44140625" style="1" bestFit="1" customWidth="1"/>
    <col min="9" max="9" width="15.21875" style="1" customWidth="1"/>
    <col min="10" max="10" width="12.77734375" style="1" bestFit="1" customWidth="1"/>
    <col min="11" max="11" width="15.109375" style="1" bestFit="1" customWidth="1"/>
    <col min="12" max="14" width="10.44140625" style="1" bestFit="1" customWidth="1"/>
    <col min="15" max="16384" width="8.88671875" style="1"/>
  </cols>
  <sheetData>
    <row r="1" spans="1:14" x14ac:dyDescent="0.3">
      <c r="A1" s="582" t="s">
        <v>65</v>
      </c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150"/>
    </row>
    <row r="2" spans="1:14" x14ac:dyDescent="0.3">
      <c r="A2" s="582" t="s">
        <v>469</v>
      </c>
      <c r="B2" s="582"/>
      <c r="C2" s="582"/>
      <c r="D2" s="582"/>
      <c r="E2" s="582"/>
      <c r="F2" s="582"/>
      <c r="G2" s="582"/>
      <c r="H2" s="582"/>
      <c r="I2" s="582"/>
      <c r="J2" s="582"/>
      <c r="K2" s="582"/>
      <c r="L2" s="582"/>
      <c r="M2" s="582"/>
      <c r="N2" s="150"/>
    </row>
    <row r="3" spans="1:14" x14ac:dyDescent="0.3">
      <c r="A3" s="583" t="s">
        <v>470</v>
      </c>
      <c r="B3" s="582"/>
      <c r="C3" s="582"/>
      <c r="D3" s="582"/>
      <c r="E3" s="582"/>
      <c r="F3" s="582"/>
      <c r="G3" s="582"/>
      <c r="H3" s="582"/>
      <c r="I3" s="582"/>
      <c r="J3" s="582"/>
      <c r="K3" s="582"/>
      <c r="L3" s="582"/>
      <c r="M3" s="582"/>
      <c r="N3" s="150"/>
    </row>
    <row r="4" spans="1:14" x14ac:dyDescent="0.3">
      <c r="A4" s="583" t="s">
        <v>66</v>
      </c>
      <c r="B4" s="582"/>
      <c r="C4" s="582"/>
      <c r="D4" s="582"/>
      <c r="E4" s="582"/>
      <c r="F4" s="582"/>
      <c r="G4" s="582"/>
      <c r="H4" s="582"/>
      <c r="I4" s="582"/>
      <c r="J4" s="582"/>
      <c r="K4" s="582"/>
      <c r="L4" s="582"/>
      <c r="M4" s="582"/>
      <c r="N4" s="150"/>
    </row>
    <row r="5" spans="1:14" ht="15" thickBot="1" x14ac:dyDescent="0.35">
      <c r="A5" s="151"/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</row>
    <row r="6" spans="1:14" ht="15" thickBot="1" x14ac:dyDescent="0.35">
      <c r="A6" s="151"/>
      <c r="B6" s="151"/>
      <c r="C6" s="584" t="s">
        <v>471</v>
      </c>
      <c r="D6" s="585"/>
      <c r="E6" s="585"/>
      <c r="F6" s="585"/>
      <c r="G6" s="585"/>
      <c r="H6" s="585"/>
      <c r="I6" s="585"/>
      <c r="J6" s="586"/>
      <c r="K6" s="584" t="s">
        <v>472</v>
      </c>
      <c r="L6" s="585"/>
      <c r="M6" s="585"/>
      <c r="N6" s="586"/>
    </row>
    <row r="7" spans="1:14" ht="15" thickBot="1" x14ac:dyDescent="0.35">
      <c r="A7" s="151"/>
      <c r="B7" s="151"/>
      <c r="C7" s="152" t="s">
        <v>124</v>
      </c>
      <c r="D7" s="153" t="s">
        <v>133</v>
      </c>
      <c r="E7" s="154" t="s">
        <v>340</v>
      </c>
      <c r="F7" s="153" t="s">
        <v>342</v>
      </c>
      <c r="G7" s="153" t="s">
        <v>344</v>
      </c>
      <c r="H7" s="153" t="s">
        <v>346</v>
      </c>
      <c r="I7" s="153" t="s">
        <v>130</v>
      </c>
      <c r="J7" s="155" t="s">
        <v>473</v>
      </c>
      <c r="K7" s="579" t="s">
        <v>777</v>
      </c>
      <c r="L7" s="580"/>
      <c r="M7" s="580"/>
      <c r="N7" s="581"/>
    </row>
    <row r="8" spans="1:14" ht="67.2" thickBot="1" x14ac:dyDescent="0.35">
      <c r="A8" s="157" t="s">
        <v>166</v>
      </c>
      <c r="B8" s="157" t="s">
        <v>403</v>
      </c>
      <c r="C8" s="279" t="s">
        <v>474</v>
      </c>
      <c r="D8" s="166" t="s">
        <v>475</v>
      </c>
      <c r="E8" s="166" t="s">
        <v>476</v>
      </c>
      <c r="F8" s="166" t="s">
        <v>477</v>
      </c>
      <c r="G8" s="166" t="s">
        <v>478</v>
      </c>
      <c r="H8" s="166" t="s">
        <v>479</v>
      </c>
      <c r="I8" s="166" t="s">
        <v>480</v>
      </c>
      <c r="J8" s="280" t="s">
        <v>481</v>
      </c>
      <c r="K8" s="279" t="s">
        <v>157</v>
      </c>
      <c r="L8" s="166" t="s">
        <v>482</v>
      </c>
      <c r="M8" s="167" t="s">
        <v>483</v>
      </c>
      <c r="N8" s="168" t="s">
        <v>484</v>
      </c>
    </row>
    <row r="9" spans="1:14" x14ac:dyDescent="0.3">
      <c r="A9" s="152">
        <v>1</v>
      </c>
      <c r="B9" s="158">
        <v>7</v>
      </c>
      <c r="C9" s="281">
        <f>+K9</f>
        <v>11362694034.5944</v>
      </c>
      <c r="D9" s="282">
        <f>+C9</f>
        <v>11362694034.5944</v>
      </c>
      <c r="E9" s="282">
        <f>+M9</f>
        <v>2449337.0233694115</v>
      </c>
      <c r="F9" s="282">
        <f>+E9</f>
        <v>2449337.0233694115</v>
      </c>
      <c r="G9" s="282">
        <f>+F9</f>
        <v>2449337.0233694115</v>
      </c>
      <c r="H9" s="282">
        <f>+L9</f>
        <v>2401760.8159533199</v>
      </c>
      <c r="I9" s="282">
        <f>+H9</f>
        <v>2401760.8159533199</v>
      </c>
      <c r="J9" s="283">
        <f>+N9</f>
        <v>2727311.188788353</v>
      </c>
      <c r="K9" s="284">
        <f>+'Load Research Data -Energy'!J20</f>
        <v>11362694034.5944</v>
      </c>
      <c r="L9" s="169">
        <f>+'Load Research Data - Dem 4CP'!S19</f>
        <v>2401760.8159533199</v>
      </c>
      <c r="M9" s="169">
        <f>+'Load Research Data Dem 75CP'!P5</f>
        <v>2449337.0233694115</v>
      </c>
      <c r="N9" s="170">
        <f>+'Load Research Data Dem 200NCP'!E6</f>
        <v>2727311.188788353</v>
      </c>
    </row>
    <row r="10" spans="1:14" x14ac:dyDescent="0.3">
      <c r="A10" s="160">
        <v>2</v>
      </c>
      <c r="B10" s="161">
        <v>24</v>
      </c>
      <c r="C10" s="281">
        <f t="shared" ref="C10:C21" si="0">+K10</f>
        <v>2983833723.3713889</v>
      </c>
      <c r="D10" s="282">
        <f t="shared" ref="D10:D18" si="1">+C10</f>
        <v>2983833723.3713889</v>
      </c>
      <c r="E10" s="282">
        <f t="shared" ref="E10:E21" si="2">+M10</f>
        <v>452185.59957767127</v>
      </c>
      <c r="F10" s="282">
        <f t="shared" ref="F10:G21" si="3">+E10</f>
        <v>452185.59957767127</v>
      </c>
      <c r="G10" s="282">
        <f t="shared" si="3"/>
        <v>452185.59957767127</v>
      </c>
      <c r="H10" s="282">
        <f t="shared" ref="H10:H21" si="4">+L10</f>
        <v>483797.35950569448</v>
      </c>
      <c r="I10" s="282">
        <f t="shared" ref="I10:I21" si="5">+H10</f>
        <v>483797.35950569448</v>
      </c>
      <c r="J10" s="283">
        <f t="shared" ref="J10:J21" si="6">+N10</f>
        <v>596451.91911699099</v>
      </c>
      <c r="K10" s="431">
        <f>+'Load Research Data -Energy'!J21</f>
        <v>2983833723.3713889</v>
      </c>
      <c r="L10" s="432">
        <f>+'Load Research Data - Dem 4CP'!E19</f>
        <v>483797.35950569448</v>
      </c>
      <c r="M10" s="432">
        <f>+'Load Research Data Dem 75CP'!E5</f>
        <v>452185.59957767127</v>
      </c>
      <c r="N10" s="170">
        <f>+'Load Research Data Dem 200NCP'!F6</f>
        <v>596451.91911699099</v>
      </c>
    </row>
    <row r="11" spans="1:14" x14ac:dyDescent="0.3">
      <c r="A11" s="160">
        <v>3</v>
      </c>
      <c r="B11" s="161" t="s">
        <v>47</v>
      </c>
      <c r="C11" s="281">
        <f t="shared" si="0"/>
        <v>3080584885.4856691</v>
      </c>
      <c r="D11" s="282">
        <f t="shared" si="1"/>
        <v>3080584885.4856691</v>
      </c>
      <c r="E11" s="282">
        <f t="shared" si="2"/>
        <v>409134.7023828763</v>
      </c>
      <c r="F11" s="282">
        <f t="shared" si="3"/>
        <v>409134.7023828763</v>
      </c>
      <c r="G11" s="282">
        <f t="shared" si="3"/>
        <v>409134.7023828763</v>
      </c>
      <c r="H11" s="282">
        <f t="shared" si="4"/>
        <v>452472.55815379717</v>
      </c>
      <c r="I11" s="282">
        <f t="shared" si="5"/>
        <v>452472.55815379717</v>
      </c>
      <c r="J11" s="283">
        <f t="shared" si="6"/>
        <v>625683.0444613772</v>
      </c>
      <c r="K11" s="431">
        <f>+'Load Research Data -Energy'!J22+'Load Research Data -Energy'!J24</f>
        <v>3080584885.4856691</v>
      </c>
      <c r="L11" s="432">
        <f>+'Load Research Data - Dem 4CP'!F19+'Load Research Data - Dem 4CP'!H19</f>
        <v>452472.55815379717</v>
      </c>
      <c r="M11" s="432">
        <f>+'Load Research Data Dem 75CP'!F5+'Load Research Data Dem 75CP'!H5</f>
        <v>409134.7023828763</v>
      </c>
      <c r="N11" s="170">
        <f>+'Load Research Data Dem 200NCP'!G6+'Load Research Data Dem 200NCP'!I6</f>
        <v>625683.0444613772</v>
      </c>
    </row>
    <row r="12" spans="1:14" x14ac:dyDescent="0.3">
      <c r="A12" s="160">
        <v>4</v>
      </c>
      <c r="B12" s="161">
        <v>26</v>
      </c>
      <c r="C12" s="281">
        <f t="shared" si="0"/>
        <v>2051022389.543107</v>
      </c>
      <c r="D12" s="282">
        <f t="shared" si="1"/>
        <v>2051022389.543107</v>
      </c>
      <c r="E12" s="282">
        <f t="shared" si="2"/>
        <v>243711.59931575973</v>
      </c>
      <c r="F12" s="282">
        <f t="shared" si="3"/>
        <v>243711.59931575973</v>
      </c>
      <c r="G12" s="282">
        <f t="shared" si="3"/>
        <v>243711.59931575973</v>
      </c>
      <c r="H12" s="282">
        <f t="shared" si="4"/>
        <v>261562.891393383</v>
      </c>
      <c r="I12" s="282">
        <f t="shared" si="5"/>
        <v>261562.891393383</v>
      </c>
      <c r="J12" s="283">
        <f t="shared" si="6"/>
        <v>350664.63717032457</v>
      </c>
      <c r="K12" s="431">
        <f>+'Load Research Data -Energy'!J23</f>
        <v>2051022389.543107</v>
      </c>
      <c r="L12" s="432">
        <f>+'Load Research Data - Dem 4CP'!G19</f>
        <v>261562.891393383</v>
      </c>
      <c r="M12" s="432">
        <f>+'Load Research Data Dem 75CP'!G5</f>
        <v>243711.59931575973</v>
      </c>
      <c r="N12" s="170">
        <f>+'Load Research Data Dem 200NCP'!H6</f>
        <v>350664.63717032457</v>
      </c>
    </row>
    <row r="13" spans="1:14" x14ac:dyDescent="0.3">
      <c r="A13" s="160">
        <v>5</v>
      </c>
      <c r="B13" s="161">
        <v>31</v>
      </c>
      <c r="C13" s="281">
        <f t="shared" si="0"/>
        <v>1342870567.1184549</v>
      </c>
      <c r="D13" s="282">
        <f t="shared" si="1"/>
        <v>1342870567.1184549</v>
      </c>
      <c r="E13" s="282">
        <f t="shared" si="2"/>
        <v>163605.0645416936</v>
      </c>
      <c r="F13" s="282">
        <f t="shared" si="3"/>
        <v>163605.0645416936</v>
      </c>
      <c r="G13" s="282">
        <f t="shared" si="3"/>
        <v>163605.0645416936</v>
      </c>
      <c r="H13" s="282">
        <f t="shared" si="4"/>
        <v>179157.07260351363</v>
      </c>
      <c r="I13" s="282">
        <f t="shared" si="5"/>
        <v>179157.07260351363</v>
      </c>
      <c r="J13" s="283">
        <f t="shared" si="6"/>
        <v>247849.21354899809</v>
      </c>
      <c r="K13" s="431">
        <f>+'Load Research Data -Energy'!J25</f>
        <v>1342870567.1184549</v>
      </c>
      <c r="L13" s="432">
        <f>+'Load Research Data - Dem 4CP'!I19</f>
        <v>179157.07260351363</v>
      </c>
      <c r="M13" s="432">
        <f>+'Load Research Data Dem 75CP'!I5</f>
        <v>163605.0645416936</v>
      </c>
      <c r="N13" s="170">
        <f>+'Load Research Data Dem 200NCP'!J6</f>
        <v>247849.21354899809</v>
      </c>
    </row>
    <row r="14" spans="1:14" x14ac:dyDescent="0.3">
      <c r="A14" s="160">
        <v>6</v>
      </c>
      <c r="B14" s="161">
        <v>35</v>
      </c>
      <c r="C14" s="281">
        <f t="shared" si="0"/>
        <v>4594563.3633324662</v>
      </c>
      <c r="D14" s="282">
        <f t="shared" si="1"/>
        <v>4594563.3633324662</v>
      </c>
      <c r="E14" s="282">
        <f t="shared" si="2"/>
        <v>4.2699602406555197</v>
      </c>
      <c r="F14" s="282">
        <f t="shared" si="3"/>
        <v>4.2699602406555197</v>
      </c>
      <c r="G14" s="282">
        <f t="shared" si="3"/>
        <v>4.2699602406555197</v>
      </c>
      <c r="H14" s="282">
        <f t="shared" si="4"/>
        <v>4.0419526549894496</v>
      </c>
      <c r="I14" s="282">
        <f t="shared" si="5"/>
        <v>4.0419526549894496</v>
      </c>
      <c r="J14" s="283">
        <f t="shared" si="6"/>
        <v>1512.0530323068833</v>
      </c>
      <c r="K14" s="284">
        <f>+'Load Research Data -Energy'!J26</f>
        <v>4594563.3633324662</v>
      </c>
      <c r="L14" s="169">
        <f>+'Load Research Data - Dem 4CP'!J19</f>
        <v>4.0419526549894496</v>
      </c>
      <c r="M14" s="169">
        <f>+'Load Research Data Dem 75CP'!J5</f>
        <v>4.2699602406555197</v>
      </c>
      <c r="N14" s="170">
        <f>+'Load Research Data Dem 200NCP'!K6</f>
        <v>1512.0530323068833</v>
      </c>
    </row>
    <row r="15" spans="1:14" x14ac:dyDescent="0.3">
      <c r="A15" s="160">
        <v>7</v>
      </c>
      <c r="B15" s="161">
        <v>43</v>
      </c>
      <c r="C15" s="281">
        <f t="shared" si="0"/>
        <v>124979540.86316925</v>
      </c>
      <c r="D15" s="282">
        <f t="shared" si="1"/>
        <v>124979540.86316925</v>
      </c>
      <c r="E15" s="282">
        <f t="shared" si="2"/>
        <v>26944.35931570884</v>
      </c>
      <c r="F15" s="282">
        <v>0</v>
      </c>
      <c r="G15" s="282">
        <f t="shared" si="3"/>
        <v>0</v>
      </c>
      <c r="H15" s="282">
        <v>0</v>
      </c>
      <c r="I15" s="282">
        <f t="shared" si="5"/>
        <v>0</v>
      </c>
      <c r="J15" s="283">
        <v>0</v>
      </c>
      <c r="K15" s="284">
        <f>+'Load Research Data -Energy'!J28</f>
        <v>124979540.86316925</v>
      </c>
      <c r="L15" s="169">
        <f>+'Load Research Data - Dem 4CP'!L19</f>
        <v>40576.134916547075</v>
      </c>
      <c r="M15" s="169">
        <f>+'Load Research Data Dem 75CP'!L5</f>
        <v>26944.35931570884</v>
      </c>
      <c r="N15" s="170">
        <f>+'Load Research Data Dem 200NCP'!M6</f>
        <v>60104.36881945291</v>
      </c>
    </row>
    <row r="16" spans="1:14" x14ac:dyDescent="0.3">
      <c r="A16" s="160">
        <v>8</v>
      </c>
      <c r="B16" s="161">
        <v>40</v>
      </c>
      <c r="C16" s="281">
        <f t="shared" si="0"/>
        <v>639599439.09802258</v>
      </c>
      <c r="D16" s="282">
        <f t="shared" si="1"/>
        <v>639599439.09802258</v>
      </c>
      <c r="E16" s="282">
        <f t="shared" si="2"/>
        <v>76661.878781565261</v>
      </c>
      <c r="F16" s="282">
        <f t="shared" si="3"/>
        <v>76661.878781565261</v>
      </c>
      <c r="G16" s="282">
        <f t="shared" si="3"/>
        <v>76661.878781565261</v>
      </c>
      <c r="H16" s="282">
        <f t="shared" si="4"/>
        <v>80420.565981487191</v>
      </c>
      <c r="I16" s="282">
        <f t="shared" si="5"/>
        <v>80420.565981487191</v>
      </c>
      <c r="J16" s="283">
        <f t="shared" si="6"/>
        <v>114304.019992242</v>
      </c>
      <c r="K16" s="431">
        <f>+'Load Research Data -Energy'!J27</f>
        <v>639599439.09802258</v>
      </c>
      <c r="L16" s="432">
        <f>+'Load Research Data - Dem 4CP'!K19</f>
        <v>80420.565981487191</v>
      </c>
      <c r="M16" s="432">
        <f>+'Load Research Data Dem 75CP'!K5</f>
        <v>76661.878781565261</v>
      </c>
      <c r="N16" s="170">
        <f>+'Load Research Data Dem 200NCP'!L6</f>
        <v>114304.019992242</v>
      </c>
    </row>
    <row r="17" spans="1:14" x14ac:dyDescent="0.3">
      <c r="A17" s="160">
        <v>9</v>
      </c>
      <c r="B17" s="161" t="s">
        <v>455</v>
      </c>
      <c r="C17" s="281">
        <f t="shared" si="0"/>
        <v>632887813.72208166</v>
      </c>
      <c r="D17" s="282">
        <f t="shared" si="1"/>
        <v>632887813.72208166</v>
      </c>
      <c r="E17" s="282">
        <f t="shared" si="2"/>
        <v>71371.975379274751</v>
      </c>
      <c r="F17" s="282">
        <f>+'Load Research Data Dem 75CP'!N6</f>
        <v>66385.789964330965</v>
      </c>
      <c r="G17" s="282">
        <f t="shared" si="3"/>
        <v>66385.789964330965</v>
      </c>
      <c r="H17" s="282">
        <f>+'Load Research Data - Dem 4CP'!Q21</f>
        <v>67179.705291231017</v>
      </c>
      <c r="I17" s="282">
        <f t="shared" si="5"/>
        <v>67179.705291231017</v>
      </c>
      <c r="J17" s="283">
        <f>+'Load Research Data Dem 200NCP'!O6</f>
        <v>82755.620896449094</v>
      </c>
      <c r="K17" s="284">
        <f>+'Load Research Data -Energy'!J29+'Load Research Data -Energy'!J30</f>
        <v>632887813.72208166</v>
      </c>
      <c r="L17" s="169">
        <f>+'Load Research Data - Dem 4CP'!P19+'Load Research Data - Dem 4CP'!Q19</f>
        <v>72695.711848550389</v>
      </c>
      <c r="M17" s="169">
        <f>+'Load Research Data Dem 75CP'!M5+'Load Research Data Dem 75CP'!N5</f>
        <v>71371.975379274751</v>
      </c>
      <c r="N17" s="170">
        <f>+'Load Research Data Dem 200NCP'!N6+'Load Research Data Dem 200NCP'!O6</f>
        <v>97425.995746178523</v>
      </c>
    </row>
    <row r="18" spans="1:14" x14ac:dyDescent="0.3">
      <c r="A18" s="160">
        <v>10</v>
      </c>
      <c r="B18" s="161" t="s">
        <v>432</v>
      </c>
      <c r="C18" s="281">
        <f t="shared" si="0"/>
        <v>81534389.017231286</v>
      </c>
      <c r="D18" s="282">
        <f t="shared" si="1"/>
        <v>81534389.017231286</v>
      </c>
      <c r="E18" s="282">
        <f t="shared" si="2"/>
        <v>13181.805734309255</v>
      </c>
      <c r="F18" s="282">
        <f t="shared" si="3"/>
        <v>13181.805734309255</v>
      </c>
      <c r="G18" s="282">
        <f t="shared" si="3"/>
        <v>13181.805734309255</v>
      </c>
      <c r="H18" s="282">
        <f t="shared" si="4"/>
        <v>13772.381425311305</v>
      </c>
      <c r="I18" s="282">
        <f t="shared" si="5"/>
        <v>13772.381425311305</v>
      </c>
      <c r="J18" s="283">
        <f t="shared" si="6"/>
        <v>18795.320382917256</v>
      </c>
      <c r="K18" s="284">
        <f>+'Load Research Data -Energy'!J32</f>
        <v>81534389.017231286</v>
      </c>
      <c r="L18" s="169">
        <f>+'Load Research Data - Dem 4CP'!T19+'Load Research Data - Dem 4CP'!U19</f>
        <v>13772.381425311305</v>
      </c>
      <c r="M18" s="169">
        <f>+'Load Research Data Dem 75CP'!Q5+'Load Research Data Dem 75CP'!R5</f>
        <v>13181.805734309255</v>
      </c>
      <c r="N18" s="170">
        <f>+'Load Research Data Dem 200NCP'!P6+'Load Research Data Dem 200NCP'!Q6</f>
        <v>18795.320382917256</v>
      </c>
    </row>
    <row r="19" spans="1:14" x14ac:dyDescent="0.3">
      <c r="A19" s="160">
        <v>11</v>
      </c>
      <c r="B19" s="161" t="s">
        <v>485</v>
      </c>
      <c r="C19" s="281">
        <f t="shared" si="0"/>
        <v>107396590.46418484</v>
      </c>
      <c r="D19" s="282">
        <v>0</v>
      </c>
      <c r="E19" s="282">
        <f t="shared" si="2"/>
        <v>12060.963921797667</v>
      </c>
      <c r="F19" s="282">
        <f t="shared" si="3"/>
        <v>12060.963921797667</v>
      </c>
      <c r="G19" s="282">
        <v>0</v>
      </c>
      <c r="H19" s="282">
        <f t="shared" si="4"/>
        <v>12414.482378834524</v>
      </c>
      <c r="I19" s="282">
        <v>0</v>
      </c>
      <c r="J19" s="283">
        <v>0</v>
      </c>
      <c r="K19" s="284">
        <f>+'Load Research Data -Energy'!J41</f>
        <v>107396590.46418484</v>
      </c>
      <c r="L19" s="169">
        <f>+'Load Research Data - Dem 4CP'!N19</f>
        <v>12414.482378834524</v>
      </c>
      <c r="M19" s="169">
        <f>+'Load Research Data Dem 75CP'!V5</f>
        <v>12060.963921797667</v>
      </c>
      <c r="N19" s="170">
        <f>+'Load Research Data Dem 200NCP'!T6</f>
        <v>14942.819911797917</v>
      </c>
    </row>
    <row r="20" spans="1:14" x14ac:dyDescent="0.3">
      <c r="A20" s="160">
        <v>12</v>
      </c>
      <c r="B20" s="162" t="s">
        <v>486</v>
      </c>
      <c r="C20" s="281">
        <f t="shared" si="0"/>
        <v>2033050978.3414011</v>
      </c>
      <c r="D20" s="282">
        <v>0</v>
      </c>
      <c r="E20" s="282">
        <f t="shared" si="2"/>
        <v>227929.7416365259</v>
      </c>
      <c r="F20" s="282">
        <f t="shared" si="3"/>
        <v>227929.7416365259</v>
      </c>
      <c r="G20" s="282">
        <v>0</v>
      </c>
      <c r="H20" s="282">
        <f t="shared" si="4"/>
        <v>230846.168346208</v>
      </c>
      <c r="I20" s="282">
        <v>0</v>
      </c>
      <c r="J20" s="283">
        <v>0</v>
      </c>
      <c r="K20" s="284">
        <f>+'Load Research Data -Energy'!J39+'Load Research Data -Energy'!J40</f>
        <v>2033050978.3414011</v>
      </c>
      <c r="L20" s="169">
        <f>+'Load Research Data - Dem 4CP'!M19+'Load Research Data - Dem 4CP'!O19</f>
        <v>230846.168346208</v>
      </c>
      <c r="M20" s="169">
        <f>+'Load Research Data Dem 75CP'!U5+'Load Research Data Dem 75CP'!W5</f>
        <v>227929.7416365259</v>
      </c>
      <c r="N20" s="170">
        <f>+'Load Research Data Dem 200NCP'!S6+'Load Research Data Dem 200NCP'!U6</f>
        <v>266187.02100973343</v>
      </c>
    </row>
    <row r="21" spans="1:14" x14ac:dyDescent="0.3">
      <c r="A21" s="160">
        <v>14</v>
      </c>
      <c r="B21" s="161" t="s">
        <v>23</v>
      </c>
      <c r="C21" s="281">
        <f t="shared" si="0"/>
        <v>7227693.8231415441</v>
      </c>
      <c r="D21" s="282">
        <f t="shared" ref="D21" si="7">+C21</f>
        <v>7227693.8231415441</v>
      </c>
      <c r="E21" s="282">
        <f t="shared" si="2"/>
        <v>1461.7216414892087</v>
      </c>
      <c r="F21" s="282">
        <f t="shared" si="3"/>
        <v>1461.7216414892087</v>
      </c>
      <c r="G21" s="282">
        <f t="shared" si="3"/>
        <v>1461.7216414892087</v>
      </c>
      <c r="H21" s="282">
        <f t="shared" si="4"/>
        <v>1530.4662657410647</v>
      </c>
      <c r="I21" s="282">
        <f t="shared" si="5"/>
        <v>1530.4662657410647</v>
      </c>
      <c r="J21" s="283">
        <f t="shared" si="6"/>
        <v>1721.5916078863875</v>
      </c>
      <c r="K21" s="284">
        <f>+'Load Research Data -Energy'!J31</f>
        <v>7227693.8231415441</v>
      </c>
      <c r="L21" s="169">
        <f>+'Load Research Data - Dem 4CP'!R19</f>
        <v>1530.4662657410647</v>
      </c>
      <c r="M21" s="169">
        <f>+'Load Research Data Dem 75CP'!O5</f>
        <v>1461.7216414892087</v>
      </c>
      <c r="N21" s="170">
        <f>+'Load Research Data Dem 200NCP'!D6</f>
        <v>1721.5916078863875</v>
      </c>
    </row>
    <row r="22" spans="1:14" x14ac:dyDescent="0.3">
      <c r="A22" s="160">
        <v>15</v>
      </c>
      <c r="B22" s="156"/>
      <c r="C22" s="281"/>
      <c r="D22" s="282"/>
      <c r="E22" s="282"/>
      <c r="F22" s="282"/>
      <c r="G22" s="282"/>
      <c r="H22" s="282"/>
      <c r="I22" s="282"/>
      <c r="J22" s="283"/>
      <c r="K22" s="284"/>
      <c r="L22" s="169"/>
      <c r="M22" s="169"/>
      <c r="N22" s="170"/>
    </row>
    <row r="23" spans="1:14" x14ac:dyDescent="0.3">
      <c r="A23" s="160">
        <v>16</v>
      </c>
      <c r="B23" s="156" t="s">
        <v>20</v>
      </c>
      <c r="C23" s="281">
        <f>SUM(C9:C21)</f>
        <v>24452276608.80558</v>
      </c>
      <c r="D23" s="282">
        <f>SUM(D9:D22)</f>
        <v>22311829039.999996</v>
      </c>
      <c r="E23" s="282">
        <f>SUM(E9:E21)</f>
        <v>4147590.7055583242</v>
      </c>
      <c r="F23" s="282">
        <f t="shared" ref="F23:I23" si="8">SUM(F9:F21)</f>
        <v>4115660.1608276716</v>
      </c>
      <c r="G23" s="282">
        <f t="shared" si="8"/>
        <v>3875669.4552693483</v>
      </c>
      <c r="H23" s="282">
        <f t="shared" si="8"/>
        <v>4184918.5092511764</v>
      </c>
      <c r="I23" s="282">
        <f t="shared" si="8"/>
        <v>3941657.8585261339</v>
      </c>
      <c r="J23" s="283">
        <f>SUM(J9:J21)</f>
        <v>4767048.608997846</v>
      </c>
      <c r="K23" s="284">
        <f>SUM(K9:K21)</f>
        <v>24452276608.80558</v>
      </c>
      <c r="L23" s="169">
        <f>SUM(L9:L21)</f>
        <v>4231010.6507250424</v>
      </c>
      <c r="M23" s="169">
        <f>SUM(M9:M21)</f>
        <v>4147590.7055583242</v>
      </c>
      <c r="N23" s="170">
        <f>SUM(N9:N21)</f>
        <v>5122953.1935885595</v>
      </c>
    </row>
    <row r="24" spans="1:14" x14ac:dyDescent="0.3">
      <c r="A24" s="160">
        <v>17</v>
      </c>
      <c r="B24" s="156" t="s">
        <v>487</v>
      </c>
      <c r="C24" s="281">
        <f>+'Load Research Data -Energy'!J34+'Load Research Data -Energy'!J43</f>
        <v>24452276608.805588</v>
      </c>
      <c r="D24" s="282">
        <f>+'Load Research Data -Energy'!J34</f>
        <v>22311829040</v>
      </c>
      <c r="E24" s="282">
        <f>+'Load Research Data Dem 75CP'!Y5</f>
        <v>4147590.7055583238</v>
      </c>
      <c r="F24" s="282">
        <f>+'Load Research Data Dem 75CP'!Y6</f>
        <v>4115660.1608276712</v>
      </c>
      <c r="G24" s="282">
        <f>+'Load Research Data Dem 75CP'!Y7</f>
        <v>3875669.4552693474</v>
      </c>
      <c r="H24" s="282">
        <f>+'Load Research Data - Dem 4CP'!D21</f>
        <v>4184918.5092511764</v>
      </c>
      <c r="I24" s="282">
        <f>+'Load Research Data - Dem 4CP'!D23</f>
        <v>3941657.8585261335</v>
      </c>
      <c r="J24" s="283">
        <f>+'Load Research Data Dem 200NCP'!W8</f>
        <v>4767048.608997846</v>
      </c>
      <c r="K24" s="284">
        <f>+'Load Research Data -Energy'!J34+'Load Research Data -Energy'!J43</f>
        <v>24452276608.805588</v>
      </c>
      <c r="L24" s="169">
        <f>+'Load Research Data - Dem 4CP'!D19</f>
        <v>4231010.6507250424</v>
      </c>
      <c r="M24" s="169">
        <f>+'Load Research Data Dem 75CP'!Y5</f>
        <v>4147590.7055583238</v>
      </c>
      <c r="N24" s="170">
        <f>+'Load Research Data Dem 200NCP'!W6</f>
        <v>5122953.1935885586</v>
      </c>
    </row>
    <row r="25" spans="1:14" x14ac:dyDescent="0.3">
      <c r="A25" s="160">
        <v>18</v>
      </c>
      <c r="B25" s="156" t="s">
        <v>487</v>
      </c>
      <c r="C25" s="281">
        <f>+C23-C24</f>
        <v>0</v>
      </c>
      <c r="D25" s="282">
        <f>+D23-D24</f>
        <v>0</v>
      </c>
      <c r="E25" s="282">
        <f>+E23-E24</f>
        <v>0</v>
      </c>
      <c r="F25" s="282">
        <f t="shared" ref="F25:N25" si="9">+F23-F24</f>
        <v>0</v>
      </c>
      <c r="G25" s="282">
        <f t="shared" si="9"/>
        <v>0</v>
      </c>
      <c r="H25" s="282">
        <f t="shared" si="9"/>
        <v>0</v>
      </c>
      <c r="I25" s="282">
        <f t="shared" si="9"/>
        <v>0</v>
      </c>
      <c r="J25" s="283">
        <f t="shared" si="9"/>
        <v>0</v>
      </c>
      <c r="K25" s="284">
        <f t="shared" si="9"/>
        <v>0</v>
      </c>
      <c r="L25" s="169">
        <f t="shared" si="9"/>
        <v>0</v>
      </c>
      <c r="M25" s="169">
        <f t="shared" si="9"/>
        <v>0</v>
      </c>
      <c r="N25" s="170">
        <f t="shared" si="9"/>
        <v>0</v>
      </c>
    </row>
    <row r="26" spans="1:14" ht="15" thickBot="1" x14ac:dyDescent="0.35">
      <c r="A26" s="163"/>
      <c r="B26" s="164"/>
      <c r="C26" s="285"/>
      <c r="D26" s="286"/>
      <c r="E26" s="286"/>
      <c r="F26" s="286"/>
      <c r="G26" s="286"/>
      <c r="H26" s="286"/>
      <c r="I26" s="286"/>
      <c r="J26" s="287"/>
      <c r="K26" s="285"/>
      <c r="L26" s="286"/>
      <c r="M26" s="164"/>
      <c r="N26" s="165"/>
    </row>
    <row r="27" spans="1:14" x14ac:dyDescent="0.3">
      <c r="A27" s="151"/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</row>
    <row r="29" spans="1:14" x14ac:dyDescent="0.3">
      <c r="C29" s="389"/>
      <c r="D29" s="389"/>
      <c r="E29" s="389"/>
      <c r="F29" s="389"/>
      <c r="G29" s="389"/>
      <c r="H29" s="389"/>
      <c r="I29" s="389"/>
      <c r="J29" s="389"/>
      <c r="K29" s="389"/>
      <c r="L29" s="389"/>
      <c r="M29" s="389"/>
      <c r="N29" s="389"/>
    </row>
  </sheetData>
  <mergeCells count="7">
    <mergeCell ref="K7:N7"/>
    <mergeCell ref="A1:M1"/>
    <mergeCell ref="A2:M2"/>
    <mergeCell ref="A3:M3"/>
    <mergeCell ref="A4:M4"/>
    <mergeCell ref="C6:J6"/>
    <mergeCell ref="K6:N6"/>
  </mergeCells>
  <printOptions horizontalCentered="1"/>
  <pageMargins left="0.25" right="0.25" top="0.75" bottom="0.75" header="0.3" footer="0.3"/>
  <pageSetup scale="78" orientation="landscape" r:id="rId1"/>
  <headerFooter>
    <oddFooter>&amp;L&amp;"Times New Roman,Regular"&amp;F
&amp;A&amp;R&amp;"Times New Roman,Regular"Page &amp;P of 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9"/>
  <sheetViews>
    <sheetView workbookViewId="0"/>
  </sheetViews>
  <sheetFormatPr defaultRowHeight="14.4" x14ac:dyDescent="0.3"/>
  <cols>
    <col min="1" max="1" width="17.44140625" style="1" bestFit="1" customWidth="1"/>
    <col min="2" max="2" width="10.5546875" style="1" bestFit="1" customWidth="1"/>
    <col min="3" max="3" width="17.44140625" style="1" bestFit="1" customWidth="1"/>
    <col min="4" max="4" width="10" style="1" bestFit="1" customWidth="1"/>
    <col min="5" max="7" width="8.5546875" style="1" bestFit="1" customWidth="1"/>
    <col min="8" max="8" width="6.5546875" style="1" bestFit="1" customWidth="1"/>
    <col min="9" max="9" width="8.5546875" style="1" bestFit="1" customWidth="1"/>
    <col min="10" max="10" width="6.5546875" style="1" bestFit="1" customWidth="1"/>
    <col min="11" max="11" width="8.5546875" style="1" bestFit="1" customWidth="1"/>
    <col min="12" max="12" width="7.5546875" style="1" bestFit="1" customWidth="1"/>
    <col min="13" max="13" width="8.5546875" style="1" bestFit="1" customWidth="1"/>
    <col min="14" max="15" width="7.5546875" style="1" bestFit="1" customWidth="1"/>
    <col min="16" max="16" width="6.5546875" style="1" bestFit="1" customWidth="1"/>
    <col min="17" max="17" width="7.5546875" style="1" bestFit="1" customWidth="1"/>
    <col min="18" max="18" width="6.5546875" style="1" bestFit="1" customWidth="1"/>
    <col min="19" max="19" width="10" style="1" bestFit="1" customWidth="1"/>
    <col min="20" max="20" width="6.5546875" style="1" bestFit="1" customWidth="1"/>
    <col min="21" max="21" width="7.5546875" style="1" bestFit="1" customWidth="1"/>
    <col min="22" max="22" width="10" style="1" bestFit="1" customWidth="1"/>
    <col min="23" max="16384" width="8.88671875" style="1"/>
  </cols>
  <sheetData>
    <row r="1" spans="1:22" x14ac:dyDescent="0.3">
      <c r="A1" s="171" t="s">
        <v>488</v>
      </c>
      <c r="B1" s="587" t="s">
        <v>783</v>
      </c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  <c r="S1" s="587"/>
      <c r="T1" s="587"/>
      <c r="U1" s="587"/>
      <c r="V1" s="587"/>
    </row>
    <row r="2" spans="1:22" x14ac:dyDescent="0.3">
      <c r="A2" s="171" t="s">
        <v>489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</row>
    <row r="3" spans="1:22" x14ac:dyDescent="0.3">
      <c r="A3" s="171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</row>
    <row r="4" spans="1:22" x14ac:dyDescent="0.3">
      <c r="A4" s="171" t="s">
        <v>490</v>
      </c>
      <c r="B4" s="171" t="s">
        <v>491</v>
      </c>
      <c r="C4" s="171" t="s">
        <v>492</v>
      </c>
      <c r="D4" s="171" t="s">
        <v>493</v>
      </c>
      <c r="E4" s="171" t="s">
        <v>494</v>
      </c>
      <c r="F4" s="171" t="s">
        <v>495</v>
      </c>
      <c r="G4" s="171" t="s">
        <v>496</v>
      </c>
      <c r="H4" s="171" t="s">
        <v>497</v>
      </c>
      <c r="I4" s="171" t="s">
        <v>498</v>
      </c>
      <c r="J4" s="171" t="s">
        <v>499</v>
      </c>
      <c r="K4" s="171" t="s">
        <v>500</v>
      </c>
      <c r="L4" s="171" t="s">
        <v>501</v>
      </c>
      <c r="M4" s="171" t="s">
        <v>502</v>
      </c>
      <c r="N4" s="171" t="s">
        <v>503</v>
      </c>
      <c r="O4" s="171" t="s">
        <v>504</v>
      </c>
      <c r="P4" s="171" t="s">
        <v>505</v>
      </c>
      <c r="Q4" s="171" t="s">
        <v>506</v>
      </c>
      <c r="R4" s="171" t="s">
        <v>507</v>
      </c>
      <c r="S4" s="171" t="s">
        <v>508</v>
      </c>
      <c r="T4" s="171" t="s">
        <v>509</v>
      </c>
      <c r="U4" s="171" t="s">
        <v>510</v>
      </c>
      <c r="V4" s="171" t="s">
        <v>511</v>
      </c>
    </row>
    <row r="5" spans="1:22" x14ac:dyDescent="0.3">
      <c r="A5" s="171" t="s">
        <v>512</v>
      </c>
      <c r="B5" s="172">
        <v>42303</v>
      </c>
      <c r="C5" s="171" t="s">
        <v>513</v>
      </c>
      <c r="D5" s="171" t="s">
        <v>514</v>
      </c>
      <c r="E5" s="173">
        <v>269594.21353494999</v>
      </c>
      <c r="F5" s="173">
        <v>358966.41095898498</v>
      </c>
      <c r="G5" s="173">
        <v>247781.948880738</v>
      </c>
      <c r="H5" s="173">
        <v>337.55674279833602</v>
      </c>
      <c r="I5" s="173">
        <v>152506.06420517599</v>
      </c>
      <c r="J5" s="173">
        <v>3.7310332199902598</v>
      </c>
      <c r="K5" s="173">
        <v>83063.264875620094</v>
      </c>
      <c r="L5" s="173">
        <v>10150.847140931501</v>
      </c>
      <c r="M5" s="173">
        <v>207332.847208947</v>
      </c>
      <c r="N5" s="173">
        <v>12065.960039432999</v>
      </c>
      <c r="O5" s="173">
        <v>34717.533081064001</v>
      </c>
      <c r="P5" s="173">
        <v>8601.4517544612299</v>
      </c>
      <c r="Q5" s="173">
        <v>71685.071738800994</v>
      </c>
      <c r="R5" s="173">
        <v>755.732861913683</v>
      </c>
      <c r="S5" s="173">
        <v>1781802.5974067501</v>
      </c>
      <c r="T5" s="173">
        <v>1348.69658216928</v>
      </c>
      <c r="U5" s="173">
        <v>14402.4122834851</v>
      </c>
      <c r="V5" s="173">
        <v>3001000</v>
      </c>
    </row>
    <row r="6" spans="1:22" x14ac:dyDescent="0.3">
      <c r="A6" s="171" t="s">
        <v>515</v>
      </c>
      <c r="B6" s="172">
        <v>42338</v>
      </c>
      <c r="C6" s="171" t="s">
        <v>516</v>
      </c>
      <c r="D6" s="171" t="s">
        <v>514</v>
      </c>
      <c r="E6" s="173">
        <v>545055.83159289602</v>
      </c>
      <c r="F6" s="173">
        <v>557407.83056049398</v>
      </c>
      <c r="G6" s="173">
        <v>308148.99328739801</v>
      </c>
      <c r="H6" s="173">
        <v>241.78159205100701</v>
      </c>
      <c r="I6" s="173">
        <v>204895.16237578599</v>
      </c>
      <c r="J6" s="173">
        <v>3.1091943499918799</v>
      </c>
      <c r="K6" s="173">
        <v>106853.910508733</v>
      </c>
      <c r="L6" s="173">
        <v>66844.398020481996</v>
      </c>
      <c r="M6" s="173">
        <v>198919.95289764099</v>
      </c>
      <c r="N6" s="173">
        <v>11781.843695158001</v>
      </c>
      <c r="O6" s="173">
        <v>34849.204472164798</v>
      </c>
      <c r="P6" s="173">
        <v>7611.9951932417398</v>
      </c>
      <c r="Q6" s="173">
        <v>71519.466384241707</v>
      </c>
      <c r="R6" s="173">
        <v>1600.3440283515699</v>
      </c>
      <c r="S6" s="173">
        <v>2274067.7347942698</v>
      </c>
      <c r="T6" s="173">
        <v>728.29644568999004</v>
      </c>
      <c r="U6" s="173">
        <v>8021.1460220153604</v>
      </c>
      <c r="V6" s="173">
        <v>4153000</v>
      </c>
    </row>
    <row r="7" spans="1:22" x14ac:dyDescent="0.3">
      <c r="A7" s="171" t="s">
        <v>517</v>
      </c>
      <c r="B7" s="172">
        <v>42368</v>
      </c>
      <c r="C7" s="171" t="s">
        <v>513</v>
      </c>
      <c r="D7" s="171" t="s">
        <v>514</v>
      </c>
      <c r="E7" s="173">
        <v>445598.961896608</v>
      </c>
      <c r="F7" s="173">
        <v>389863.24558770802</v>
      </c>
      <c r="G7" s="173">
        <v>235322.261152864</v>
      </c>
      <c r="H7" s="173">
        <v>501.63874625004399</v>
      </c>
      <c r="I7" s="173">
        <v>158704.759102721</v>
      </c>
      <c r="J7" s="173">
        <v>4.3528720899886402</v>
      </c>
      <c r="K7" s="173">
        <v>84245.945845808194</v>
      </c>
      <c r="L7" s="173">
        <v>19399.907031096602</v>
      </c>
      <c r="M7" s="173">
        <v>186230.45853216801</v>
      </c>
      <c r="N7" s="173">
        <v>12384.15873193</v>
      </c>
      <c r="O7" s="173">
        <v>35843.1170073998</v>
      </c>
      <c r="P7" s="173">
        <v>2603.55338488291</v>
      </c>
      <c r="Q7" s="173">
        <v>64841.315952711702</v>
      </c>
      <c r="R7" s="173">
        <v>1702.5493946302199</v>
      </c>
      <c r="S7" s="173">
        <v>2625416.1886497098</v>
      </c>
      <c r="T7" s="173">
        <v>1618.43654597776</v>
      </c>
      <c r="U7" s="173">
        <v>17176.883836939502</v>
      </c>
      <c r="V7" s="173">
        <v>4047000</v>
      </c>
    </row>
    <row r="8" spans="1:22" x14ac:dyDescent="0.3">
      <c r="A8" s="171" t="s">
        <v>518</v>
      </c>
      <c r="B8" s="172">
        <v>42372</v>
      </c>
      <c r="C8" s="171" t="s">
        <v>519</v>
      </c>
      <c r="D8" s="171" t="s">
        <v>514</v>
      </c>
      <c r="E8" s="173">
        <v>396604.63888535497</v>
      </c>
      <c r="F8" s="173">
        <v>331882.39346885798</v>
      </c>
      <c r="G8" s="173">
        <v>174144.22687904199</v>
      </c>
      <c r="H8" s="173">
        <v>312.22506393903302</v>
      </c>
      <c r="I8" s="173">
        <v>134424.07412209001</v>
      </c>
      <c r="J8" s="173">
        <v>4.3528720899886402</v>
      </c>
      <c r="K8" s="173">
        <v>78254.180986737294</v>
      </c>
      <c r="L8" s="173">
        <v>21975.509949114999</v>
      </c>
      <c r="M8" s="173">
        <v>185740.98563272099</v>
      </c>
      <c r="N8" s="173">
        <v>11367.5777814024</v>
      </c>
      <c r="O8" s="173">
        <v>33095.837064884698</v>
      </c>
      <c r="P8" s="173">
        <v>3716.3051916732902</v>
      </c>
      <c r="Q8" s="173">
        <v>62627.0593801129</v>
      </c>
      <c r="R8" s="173">
        <v>1386.67293838253</v>
      </c>
      <c r="S8" s="173">
        <v>2876873.0398796899</v>
      </c>
      <c r="T8" s="173">
        <v>1618.43654597776</v>
      </c>
      <c r="U8" s="173">
        <v>17176.883836939502</v>
      </c>
      <c r="V8" s="173">
        <v>4101000</v>
      </c>
    </row>
    <row r="9" spans="1:22" x14ac:dyDescent="0.3">
      <c r="A9" s="171" t="s">
        <v>520</v>
      </c>
      <c r="B9" s="172">
        <v>42402</v>
      </c>
      <c r="C9" s="171" t="s">
        <v>516</v>
      </c>
      <c r="D9" s="171" t="s">
        <v>514</v>
      </c>
      <c r="E9" s="173">
        <v>547930.00564791902</v>
      </c>
      <c r="F9" s="173">
        <v>523734.24516802299</v>
      </c>
      <c r="G9" s="173">
        <v>307105.20425422798</v>
      </c>
      <c r="H9" s="173">
        <v>377.59909453222599</v>
      </c>
      <c r="I9" s="173">
        <v>204220.428146791</v>
      </c>
      <c r="J9" s="173">
        <v>4.3528720899886402</v>
      </c>
      <c r="K9" s="173">
        <v>93812.246584670298</v>
      </c>
      <c r="L9" s="173">
        <v>54084.724665494701</v>
      </c>
      <c r="M9" s="173">
        <v>213930.65863653901</v>
      </c>
      <c r="N9" s="173">
        <v>14124.3493068477</v>
      </c>
      <c r="O9" s="173">
        <v>34774.4591413136</v>
      </c>
      <c r="P9" s="173">
        <v>8132.1724594795596</v>
      </c>
      <c r="Q9" s="173">
        <v>69730.979447857797</v>
      </c>
      <c r="R9" s="173">
        <v>1432.2987015999399</v>
      </c>
      <c r="S9" s="173">
        <v>1830686.3004896101</v>
      </c>
      <c r="T9" s="173">
        <v>728.29644568999004</v>
      </c>
      <c r="U9" s="173">
        <v>8021.1460220153604</v>
      </c>
      <c r="V9" s="173">
        <v>3650000</v>
      </c>
    </row>
    <row r="10" spans="1:22" x14ac:dyDescent="0.3">
      <c r="A10" s="171" t="s">
        <v>521</v>
      </c>
      <c r="B10" s="172">
        <v>42446</v>
      </c>
      <c r="C10" s="171" t="s">
        <v>516</v>
      </c>
      <c r="D10" s="171" t="s">
        <v>514</v>
      </c>
      <c r="E10" s="173">
        <v>501571.09506495902</v>
      </c>
      <c r="F10" s="173">
        <v>530690.37935532106</v>
      </c>
      <c r="G10" s="173">
        <v>301517.97457367298</v>
      </c>
      <c r="H10" s="173">
        <v>372.46373352324002</v>
      </c>
      <c r="I10" s="173">
        <v>199897.663898595</v>
      </c>
      <c r="J10" s="173">
        <v>4.3528720899886402</v>
      </c>
      <c r="K10" s="173">
        <v>98389.134243628898</v>
      </c>
      <c r="L10" s="173">
        <v>50196.899746374103</v>
      </c>
      <c r="M10" s="173">
        <v>208005.114448451</v>
      </c>
      <c r="N10" s="173">
        <v>12971.044947845699</v>
      </c>
      <c r="O10" s="173">
        <v>35403.188508197403</v>
      </c>
      <c r="P10" s="173">
        <v>5822.5039606296396</v>
      </c>
      <c r="Q10" s="173">
        <v>72083.746018295598</v>
      </c>
      <c r="R10" s="173">
        <v>1266.7805129915</v>
      </c>
      <c r="S10" s="173">
        <v>1849308.29224446</v>
      </c>
      <c r="T10" s="173">
        <v>296.71336622310997</v>
      </c>
      <c r="U10" s="173">
        <v>3582.0004092304598</v>
      </c>
      <c r="V10" s="173">
        <v>3615000</v>
      </c>
    </row>
    <row r="11" spans="1:22" x14ac:dyDescent="0.3">
      <c r="A11" s="171" t="s">
        <v>522</v>
      </c>
      <c r="B11" s="172">
        <v>42474</v>
      </c>
      <c r="C11" s="171" t="s">
        <v>516</v>
      </c>
      <c r="D11" s="171" t="s">
        <v>514</v>
      </c>
      <c r="E11" s="173">
        <v>386330.00695932203</v>
      </c>
      <c r="F11" s="173">
        <v>424520.82594963902</v>
      </c>
      <c r="G11" s="173">
        <v>283989.14357926801</v>
      </c>
      <c r="H11" s="173">
        <v>659.28602668981705</v>
      </c>
      <c r="I11" s="173">
        <v>185343.74341258299</v>
      </c>
      <c r="J11" s="173">
        <v>767.34916557799704</v>
      </c>
      <c r="K11" s="173">
        <v>82421.819151721895</v>
      </c>
      <c r="L11" s="173">
        <v>36934.395551740301</v>
      </c>
      <c r="M11" s="173">
        <v>215135.965811231</v>
      </c>
      <c r="N11" s="173">
        <v>13064.5718054553</v>
      </c>
      <c r="O11" s="173">
        <v>38411.380407757897</v>
      </c>
      <c r="P11" s="173">
        <v>7417.9517676248097</v>
      </c>
      <c r="Q11" s="173">
        <v>70614.723719784903</v>
      </c>
      <c r="R11" s="173">
        <v>861.31107767387095</v>
      </c>
      <c r="S11" s="173">
        <v>1434609.35582857</v>
      </c>
      <c r="T11" s="173">
        <v>0</v>
      </c>
      <c r="U11" s="173">
        <v>530.08780980466202</v>
      </c>
      <c r="V11" s="173">
        <v>2915000</v>
      </c>
    </row>
    <row r="12" spans="1:22" x14ac:dyDescent="0.3">
      <c r="A12" s="171" t="s">
        <v>523</v>
      </c>
      <c r="B12" s="172">
        <v>42492</v>
      </c>
      <c r="C12" s="171" t="s">
        <v>519</v>
      </c>
      <c r="D12" s="171" t="s">
        <v>514</v>
      </c>
      <c r="E12" s="173">
        <v>377578.67515887</v>
      </c>
      <c r="F12" s="173">
        <v>457477.53979317303</v>
      </c>
      <c r="G12" s="173">
        <v>319009.72028940998</v>
      </c>
      <c r="H12" s="173">
        <v>1939.68579244088</v>
      </c>
      <c r="I12" s="173">
        <v>190050.69765538399</v>
      </c>
      <c r="J12" s="173">
        <v>1019.81574679734</v>
      </c>
      <c r="K12" s="173">
        <v>109255.503536716</v>
      </c>
      <c r="L12" s="173">
        <v>12629.0970206768</v>
      </c>
      <c r="M12" s="173">
        <v>213076.10577995499</v>
      </c>
      <c r="N12" s="173">
        <v>14125.3861899698</v>
      </c>
      <c r="O12" s="173">
        <v>30918.844977337299</v>
      </c>
      <c r="P12" s="173">
        <v>4669.2679075021197</v>
      </c>
      <c r="Q12" s="173">
        <v>72305.995121971297</v>
      </c>
      <c r="R12" s="173">
        <v>441.97670172863599</v>
      </c>
      <c r="S12" s="173">
        <v>1262091.9374655299</v>
      </c>
      <c r="T12" s="173">
        <v>0</v>
      </c>
      <c r="U12" s="173">
        <v>530.08780980466202</v>
      </c>
      <c r="V12" s="173">
        <v>2809000</v>
      </c>
    </row>
    <row r="13" spans="1:22" x14ac:dyDescent="0.3">
      <c r="A13" s="171" t="s">
        <v>524</v>
      </c>
      <c r="B13" s="172">
        <v>42527</v>
      </c>
      <c r="C13" s="171" t="s">
        <v>519</v>
      </c>
      <c r="D13" s="171" t="s">
        <v>514</v>
      </c>
      <c r="E13" s="173">
        <v>406273.41822728398</v>
      </c>
      <c r="F13" s="173">
        <v>449594.49990199698</v>
      </c>
      <c r="G13" s="173">
        <v>307132.86554861203</v>
      </c>
      <c r="H13" s="173">
        <v>4062.7693738906601</v>
      </c>
      <c r="I13" s="173">
        <v>175818.990390358</v>
      </c>
      <c r="J13" s="173">
        <v>1018.5720690573399</v>
      </c>
      <c r="K13" s="173">
        <v>106745.57465383501</v>
      </c>
      <c r="L13" s="173">
        <v>12830.925607670801</v>
      </c>
      <c r="M13" s="173">
        <v>207312.70177906199</v>
      </c>
      <c r="N13" s="173">
        <v>14024.4145115438</v>
      </c>
      <c r="O13" s="173">
        <v>31830.302702773599</v>
      </c>
      <c r="P13" s="173">
        <v>6025.4036332451396</v>
      </c>
      <c r="Q13" s="173">
        <v>73832.1599195905</v>
      </c>
      <c r="R13" s="173">
        <v>407.73241992651299</v>
      </c>
      <c r="S13" s="173">
        <v>1593727.00044473</v>
      </c>
      <c r="T13" s="173">
        <v>0</v>
      </c>
      <c r="U13" s="173">
        <v>530.08780980466202</v>
      </c>
      <c r="V13" s="173">
        <v>3138000</v>
      </c>
    </row>
    <row r="14" spans="1:22" x14ac:dyDescent="0.3">
      <c r="A14" s="171" t="s">
        <v>525</v>
      </c>
      <c r="B14" s="172">
        <v>42579</v>
      </c>
      <c r="C14" s="171" t="s">
        <v>519</v>
      </c>
      <c r="D14" s="171" t="s">
        <v>514</v>
      </c>
      <c r="E14" s="173">
        <v>454470.386174844</v>
      </c>
      <c r="F14" s="173">
        <v>480956.40285393398</v>
      </c>
      <c r="G14" s="173">
        <v>326786.86328616802</v>
      </c>
      <c r="H14" s="173">
        <v>7465.3752149258698</v>
      </c>
      <c r="I14" s="173">
        <v>190891.673105325</v>
      </c>
      <c r="J14" s="173">
        <v>1507.9592597460601</v>
      </c>
      <c r="K14" s="173">
        <v>111974.925856124</v>
      </c>
      <c r="L14" s="173">
        <v>8940.2811742207905</v>
      </c>
      <c r="M14" s="173">
        <v>210041.349384681</v>
      </c>
      <c r="N14" s="173">
        <v>13644.6145927654</v>
      </c>
      <c r="O14" s="173">
        <v>30761.370224640399</v>
      </c>
      <c r="P14" s="173">
        <v>7143.8356536276997</v>
      </c>
      <c r="Q14" s="173">
        <v>72873.779238113406</v>
      </c>
      <c r="R14" s="173">
        <v>367.52284413699499</v>
      </c>
      <c r="S14" s="173">
        <v>1499090.90752903</v>
      </c>
      <c r="T14" s="173">
        <v>0</v>
      </c>
      <c r="U14" s="173">
        <v>530.08780980466202</v>
      </c>
      <c r="V14" s="173">
        <v>3163000</v>
      </c>
    </row>
    <row r="15" spans="1:22" x14ac:dyDescent="0.3">
      <c r="A15" s="171" t="s">
        <v>526</v>
      </c>
      <c r="B15" s="172">
        <v>42601</v>
      </c>
      <c r="C15" s="171" t="s">
        <v>527</v>
      </c>
      <c r="D15" s="171" t="s">
        <v>514</v>
      </c>
      <c r="E15" s="173">
        <v>501029.61135854898</v>
      </c>
      <c r="F15" s="173">
        <v>484831.51350807602</v>
      </c>
      <c r="G15" s="173">
        <v>292058.68650197098</v>
      </c>
      <c r="H15" s="173">
        <v>5379.4165498502898</v>
      </c>
      <c r="I15" s="173">
        <v>184534.05463799101</v>
      </c>
      <c r="J15" s="173">
        <v>1244.9214177367501</v>
      </c>
      <c r="K15" s="173">
        <v>105501.028224241</v>
      </c>
      <c r="L15" s="173">
        <v>11364.8833281564</v>
      </c>
      <c r="M15" s="173">
        <v>229278.077939382</v>
      </c>
      <c r="N15" s="173">
        <v>12896.233830589301</v>
      </c>
      <c r="O15" s="173">
        <v>29527.497614460201</v>
      </c>
      <c r="P15" s="173">
        <v>8713.9260913430608</v>
      </c>
      <c r="Q15" s="173">
        <v>76953.143978043605</v>
      </c>
      <c r="R15" s="173">
        <v>397.748664299072</v>
      </c>
      <c r="S15" s="173">
        <v>1593460.97792994</v>
      </c>
      <c r="T15" s="173">
        <v>0</v>
      </c>
      <c r="U15" s="173">
        <v>530.08780980466202</v>
      </c>
      <c r="V15" s="173">
        <v>3266000</v>
      </c>
    </row>
    <row r="16" spans="1:22" x14ac:dyDescent="0.3">
      <c r="A16" s="171" t="s">
        <v>528</v>
      </c>
      <c r="B16" s="172">
        <v>42639</v>
      </c>
      <c r="C16" s="171" t="s">
        <v>529</v>
      </c>
      <c r="D16" s="171" t="s">
        <v>514</v>
      </c>
      <c r="E16" s="173">
        <v>314967.074393071</v>
      </c>
      <c r="F16" s="173">
        <v>378513.345300621</v>
      </c>
      <c r="G16" s="173">
        <v>257769.13237565701</v>
      </c>
      <c r="H16" s="173">
        <v>1793.1647306080399</v>
      </c>
      <c r="I16" s="173">
        <v>168723.97389862</v>
      </c>
      <c r="J16" s="173">
        <v>996.185869737399</v>
      </c>
      <c r="K16" s="173">
        <v>83798.588694497696</v>
      </c>
      <c r="L16" s="173">
        <v>9800.6414975790103</v>
      </c>
      <c r="M16" s="173">
        <v>193700.44498026301</v>
      </c>
      <c r="N16" s="173">
        <v>10935.1871506733</v>
      </c>
      <c r="O16" s="173">
        <v>36899.407160556999</v>
      </c>
      <c r="P16" s="173">
        <v>9496.0344972592593</v>
      </c>
      <c r="Q16" s="173">
        <v>62129.652959301398</v>
      </c>
      <c r="R16" s="173">
        <v>478.78348080846899</v>
      </c>
      <c r="S16" s="173">
        <v>1400869.05180793</v>
      </c>
      <c r="T16" s="173">
        <v>1429.6184094681701</v>
      </c>
      <c r="U16" s="173">
        <v>15234.752084841801</v>
      </c>
      <c r="V16" s="173">
        <v>2706000</v>
      </c>
    </row>
    <row r="17" spans="1:22" x14ac:dyDescent="0.3">
      <c r="A17" s="171"/>
      <c r="B17" s="171"/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</row>
    <row r="18" spans="1:22" x14ac:dyDescent="0.3">
      <c r="A18" s="171"/>
      <c r="B18" s="171"/>
      <c r="C18" s="171"/>
      <c r="D18" s="171"/>
      <c r="E18" s="171" t="s">
        <v>494</v>
      </c>
      <c r="F18" s="171" t="s">
        <v>495</v>
      </c>
      <c r="G18" s="171" t="s">
        <v>496</v>
      </c>
      <c r="H18" s="171" t="s">
        <v>497</v>
      </c>
      <c r="I18" s="171" t="s">
        <v>498</v>
      </c>
      <c r="J18" s="171" t="s">
        <v>499</v>
      </c>
      <c r="K18" s="171" t="s">
        <v>500</v>
      </c>
      <c r="L18" s="171" t="s">
        <v>501</v>
      </c>
      <c r="M18" s="171" t="s">
        <v>502</v>
      </c>
      <c r="N18" s="171" t="s">
        <v>503</v>
      </c>
      <c r="O18" s="171" t="s">
        <v>504</v>
      </c>
      <c r="P18" s="171" t="s">
        <v>505</v>
      </c>
      <c r="Q18" s="171" t="s">
        <v>506</v>
      </c>
      <c r="R18" s="171" t="s">
        <v>507</v>
      </c>
      <c r="S18" s="171" t="s">
        <v>508</v>
      </c>
      <c r="T18" s="171" t="s">
        <v>509</v>
      </c>
      <c r="U18" s="171" t="s">
        <v>510</v>
      </c>
      <c r="V18" s="171" t="s">
        <v>511</v>
      </c>
    </row>
    <row r="19" spans="1:22" x14ac:dyDescent="0.3">
      <c r="A19" s="429" t="str">
        <f>+'Load Research Data Dem 75CP'!A9</f>
        <v xml:space="preserve">Sch 40 Settlement </v>
      </c>
      <c r="B19" s="171"/>
      <c r="C19" s="171" t="s">
        <v>530</v>
      </c>
      <c r="D19" s="174">
        <f>SUM(E19:U19)</f>
        <v>4231010.6507250424</v>
      </c>
      <c r="E19" s="173">
        <f>SUM(E26:E29)</f>
        <v>483797.35950569448</v>
      </c>
      <c r="F19" s="173">
        <f t="shared" ref="F19:V19" si="0">SUM(F26:F29)</f>
        <v>452114.2470296041</v>
      </c>
      <c r="G19" s="173">
        <f t="shared" si="0"/>
        <v>261562.891393383</v>
      </c>
      <c r="H19" s="173">
        <f t="shared" si="0"/>
        <v>358.31112419307749</v>
      </c>
      <c r="I19" s="173">
        <f t="shared" si="0"/>
        <v>179157.07260351363</v>
      </c>
      <c r="J19" s="173">
        <f t="shared" si="0"/>
        <v>4.0419526549894496</v>
      </c>
      <c r="K19" s="173">
        <f t="shared" si="0"/>
        <v>80420.565981487191</v>
      </c>
      <c r="L19" s="173">
        <f t="shared" si="0"/>
        <v>40576.134916547075</v>
      </c>
      <c r="M19" s="173">
        <f t="shared" si="0"/>
        <v>196205.51392476726</v>
      </c>
      <c r="N19" s="173">
        <f t="shared" si="0"/>
        <v>12414.482378834524</v>
      </c>
      <c r="O19" s="173">
        <f t="shared" si="0"/>
        <v>34640.654421440719</v>
      </c>
      <c r="P19" s="173">
        <f t="shared" si="0"/>
        <v>5516.0065573193751</v>
      </c>
      <c r="Q19" s="173">
        <f t="shared" si="0"/>
        <v>67179.705291231017</v>
      </c>
      <c r="R19" s="173">
        <f t="shared" si="0"/>
        <v>1530.4662657410647</v>
      </c>
      <c r="S19" s="173">
        <f t="shared" si="0"/>
        <v>2401760.8159533199</v>
      </c>
      <c r="T19" s="173">
        <f t="shared" si="0"/>
        <v>1173.366495833875</v>
      </c>
      <c r="U19" s="173">
        <f t="shared" si="0"/>
        <v>12599.014929477431</v>
      </c>
      <c r="V19" s="173">
        <f t="shared" si="0"/>
        <v>3987750</v>
      </c>
    </row>
    <row r="20" spans="1:22" x14ac:dyDescent="0.3">
      <c r="A20" s="171"/>
      <c r="B20" s="171"/>
      <c r="C20" s="171" t="s">
        <v>531</v>
      </c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</row>
    <row r="21" spans="1:22" x14ac:dyDescent="0.3">
      <c r="C21" s="175" t="s">
        <v>532</v>
      </c>
      <c r="D21" s="174">
        <f>SUM(E21:U21)</f>
        <v>4184918.5092511764</v>
      </c>
      <c r="E21" s="173">
        <f t="shared" ref="E21:K21" si="1">+E19</f>
        <v>483797.35950569448</v>
      </c>
      <c r="F21" s="173">
        <f t="shared" si="1"/>
        <v>452114.2470296041</v>
      </c>
      <c r="G21" s="173">
        <f t="shared" si="1"/>
        <v>261562.891393383</v>
      </c>
      <c r="H21" s="173">
        <f t="shared" si="1"/>
        <v>358.31112419307749</v>
      </c>
      <c r="I21" s="173">
        <f t="shared" si="1"/>
        <v>179157.07260351363</v>
      </c>
      <c r="J21" s="173">
        <f t="shared" si="1"/>
        <v>4.0419526549894496</v>
      </c>
      <c r="K21" s="173">
        <f t="shared" si="1"/>
        <v>80420.565981487191</v>
      </c>
      <c r="L21" s="173">
        <v>0</v>
      </c>
      <c r="M21" s="173">
        <f>+M19</f>
        <v>196205.51392476726</v>
      </c>
      <c r="N21" s="173">
        <f>+N19</f>
        <v>12414.482378834524</v>
      </c>
      <c r="O21" s="173">
        <f>+O19</f>
        <v>34640.654421440719</v>
      </c>
      <c r="P21" s="173">
        <v>0</v>
      </c>
      <c r="Q21" s="173">
        <f>+Q19</f>
        <v>67179.705291231017</v>
      </c>
      <c r="R21" s="173">
        <f>+R19</f>
        <v>1530.4662657410647</v>
      </c>
      <c r="S21" s="173">
        <f>+S19</f>
        <v>2401760.8159533199</v>
      </c>
      <c r="T21" s="173">
        <f>+T19</f>
        <v>1173.366495833875</v>
      </c>
      <c r="U21" s="173">
        <f>+U19</f>
        <v>12599.014929477431</v>
      </c>
    </row>
    <row r="23" spans="1:22" x14ac:dyDescent="0.3">
      <c r="C23" s="176" t="s">
        <v>533</v>
      </c>
      <c r="D23" s="174">
        <f>SUM(E23:U23)</f>
        <v>3941657.8585261335</v>
      </c>
      <c r="E23" s="173">
        <f t="shared" ref="E23:L23" si="2">+E21</f>
        <v>483797.35950569448</v>
      </c>
      <c r="F23" s="173">
        <f t="shared" si="2"/>
        <v>452114.2470296041</v>
      </c>
      <c r="G23" s="173">
        <f t="shared" si="2"/>
        <v>261562.891393383</v>
      </c>
      <c r="H23" s="173">
        <f t="shared" si="2"/>
        <v>358.31112419307749</v>
      </c>
      <c r="I23" s="173">
        <f t="shared" si="2"/>
        <v>179157.07260351363</v>
      </c>
      <c r="J23" s="173">
        <f t="shared" si="2"/>
        <v>4.0419526549894496</v>
      </c>
      <c r="K23" s="173">
        <f t="shared" si="2"/>
        <v>80420.565981487191</v>
      </c>
      <c r="L23" s="173">
        <f t="shared" si="2"/>
        <v>0</v>
      </c>
      <c r="M23" s="173">
        <v>0</v>
      </c>
      <c r="N23" s="173">
        <v>0</v>
      </c>
      <c r="O23" s="173">
        <v>0</v>
      </c>
      <c r="P23" s="173">
        <f t="shared" ref="P23:U23" si="3">+P21</f>
        <v>0</v>
      </c>
      <c r="Q23" s="173">
        <f t="shared" si="3"/>
        <v>67179.705291231017</v>
      </c>
      <c r="R23" s="173">
        <f t="shared" si="3"/>
        <v>1530.4662657410647</v>
      </c>
      <c r="S23" s="173">
        <f t="shared" si="3"/>
        <v>2401760.8159533199</v>
      </c>
      <c r="T23" s="173">
        <f t="shared" si="3"/>
        <v>1173.366495833875</v>
      </c>
      <c r="U23" s="173">
        <f t="shared" si="3"/>
        <v>12599.014929477431</v>
      </c>
    </row>
    <row r="26" spans="1:22" x14ac:dyDescent="0.3">
      <c r="C26" s="171" t="s">
        <v>530</v>
      </c>
      <c r="D26" s="174">
        <f>SUM(E26:U26)</f>
        <v>4231010.6507250415</v>
      </c>
      <c r="E26" s="174">
        <f>AVERAGE(E6:E9)</f>
        <v>483797.35950569448</v>
      </c>
      <c r="F26" s="174">
        <f t="shared" ref="F26:V26" si="4">AVERAGE(F6:F9)</f>
        <v>450721.92869627074</v>
      </c>
      <c r="G26" s="174">
        <f t="shared" si="4"/>
        <v>256180.171393383</v>
      </c>
      <c r="H26" s="174">
        <f t="shared" si="4"/>
        <v>358.31112419307749</v>
      </c>
      <c r="I26" s="174">
        <f t="shared" si="4"/>
        <v>175561.10593684699</v>
      </c>
      <c r="J26" s="174">
        <f t="shared" si="4"/>
        <v>4.0419526549894496</v>
      </c>
      <c r="K26" s="174">
        <f t="shared" si="4"/>
        <v>90791.570981487195</v>
      </c>
      <c r="L26" s="173">
        <f t="shared" si="4"/>
        <v>40576.134916547075</v>
      </c>
      <c r="M26" s="173">
        <f t="shared" si="4"/>
        <v>196205.51392476726</v>
      </c>
      <c r="N26" s="173">
        <f t="shared" si="4"/>
        <v>12414.482378834524</v>
      </c>
      <c r="O26" s="173">
        <f t="shared" si="4"/>
        <v>34640.654421440719</v>
      </c>
      <c r="P26" s="173">
        <f t="shared" si="4"/>
        <v>5516.0065573193751</v>
      </c>
      <c r="Q26" s="173">
        <f t="shared" si="4"/>
        <v>67179.705291231017</v>
      </c>
      <c r="R26" s="173">
        <f t="shared" si="4"/>
        <v>1530.4662657410647</v>
      </c>
      <c r="S26" s="173">
        <f t="shared" si="4"/>
        <v>2401760.8159533199</v>
      </c>
      <c r="T26" s="173">
        <f t="shared" si="4"/>
        <v>1173.366495833875</v>
      </c>
      <c r="U26" s="173">
        <f t="shared" si="4"/>
        <v>12599.014929477431</v>
      </c>
      <c r="V26" s="173">
        <f t="shared" si="4"/>
        <v>3987750</v>
      </c>
    </row>
    <row r="27" spans="1:22" x14ac:dyDescent="0.3">
      <c r="A27" s="430" t="str">
        <f>+A19</f>
        <v xml:space="preserve">Sch 40 Settlement </v>
      </c>
      <c r="C27" s="423" t="s">
        <v>779</v>
      </c>
      <c r="D27" s="174"/>
      <c r="E27" s="174"/>
      <c r="F27" s="174">
        <f>+'Load Research Data Dem 75CP'!F11</f>
        <v>0</v>
      </c>
      <c r="G27" s="174">
        <f>+'Load Research Data Dem 75CP'!G11</f>
        <v>0</v>
      </c>
      <c r="H27" s="174"/>
      <c r="I27" s="174">
        <f>+'Load Research Data Dem 75CP'!I11</f>
        <v>-940.83333333333337</v>
      </c>
      <c r="J27" s="174"/>
      <c r="K27" s="174">
        <f>+'Load Research Data Dem 75CP'!K11</f>
        <v>940.83333333333337</v>
      </c>
    </row>
    <row r="28" spans="1:22" x14ac:dyDescent="0.3">
      <c r="C28" s="189" t="s">
        <v>778</v>
      </c>
      <c r="D28" s="174"/>
      <c r="E28" s="174"/>
      <c r="F28" s="174">
        <f>+'Load Research Data Dem 75CP'!F12</f>
        <v>717.94500000000005</v>
      </c>
      <c r="G28" s="174">
        <f>+'Load Research Data Dem 75CP'!G12</f>
        <v>5382.72</v>
      </c>
      <c r="H28" s="174"/>
      <c r="I28" s="174">
        <f>+'Load Research Data Dem 75CP'!I12</f>
        <v>0</v>
      </c>
      <c r="J28" s="174"/>
      <c r="K28" s="174">
        <f>+'Load Research Data Dem 75CP'!K12</f>
        <v>-6100.665</v>
      </c>
    </row>
    <row r="29" spans="1:22" x14ac:dyDescent="0.3">
      <c r="C29" s="189" t="s">
        <v>782</v>
      </c>
      <c r="D29" s="174"/>
      <c r="E29" s="174"/>
      <c r="F29" s="174">
        <f>+'Load Research Data Dem 75CP'!F13</f>
        <v>674.37333333333333</v>
      </c>
      <c r="G29" s="174">
        <f>+'Load Research Data Dem 75CP'!G13</f>
        <v>0</v>
      </c>
      <c r="H29" s="174"/>
      <c r="I29" s="174">
        <f>+'Load Research Data Dem 75CP'!I13</f>
        <v>4536.8</v>
      </c>
      <c r="J29" s="174"/>
      <c r="K29" s="174">
        <f>+'Load Research Data Dem 75CP'!K13</f>
        <v>-5211.1733333333332</v>
      </c>
    </row>
  </sheetData>
  <mergeCells count="1">
    <mergeCell ref="B1:V1"/>
  </mergeCells>
  <printOptions horizontalCentered="1"/>
  <pageMargins left="0.25" right="0.25" top="0.75" bottom="0.75" header="0.3" footer="0.3"/>
  <pageSetup scale="67" orientation="landscape" r:id="rId1"/>
  <headerFooter>
    <oddFooter>&amp;L&amp;"Times New Roman,Regular"&amp;F
&amp;A&amp;R&amp;"Times New Roman,Regular"Page &amp;P of &amp;N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25"/>
  <sheetViews>
    <sheetView workbookViewId="0">
      <pane xSplit="4" ySplit="3" topLeftCell="E4" activePane="bottomRight" state="frozen"/>
      <selection pane="topRight"/>
      <selection pane="bottomLeft"/>
      <selection pane="bottomRight" activeCell="K11" sqref="K11"/>
    </sheetView>
  </sheetViews>
  <sheetFormatPr defaultRowHeight="14.4" x14ac:dyDescent="0.3"/>
  <cols>
    <col min="1" max="1" width="9.6640625" bestFit="1" customWidth="1"/>
    <col min="2" max="2" width="14.33203125" bestFit="1" customWidth="1"/>
    <col min="3" max="3" width="6.88671875" bestFit="1" customWidth="1"/>
    <col min="4" max="4" width="8.109375" bestFit="1" customWidth="1"/>
    <col min="8" max="8" width="5.33203125" bestFit="1" customWidth="1"/>
    <col min="10" max="10" width="4" bestFit="1" customWidth="1"/>
    <col min="12" max="14" width="7.88671875" bestFit="1" customWidth="1"/>
    <col min="15" max="15" width="6.88671875" bestFit="1" customWidth="1"/>
    <col min="16" max="16" width="10.44140625" bestFit="1" customWidth="1"/>
    <col min="17" max="17" width="6.88671875" bestFit="1" customWidth="1"/>
    <col min="18" max="18" width="7.88671875" bestFit="1" customWidth="1"/>
    <col min="19" max="19" width="10.44140625" bestFit="1" customWidth="1"/>
    <col min="20" max="20" width="1.6640625" customWidth="1"/>
    <col min="22" max="22" width="8.77734375" bestFit="1" customWidth="1"/>
    <col min="23" max="23" width="7.88671875" bestFit="1" customWidth="1"/>
    <col min="24" max="24" width="1.6640625" customWidth="1"/>
    <col min="25" max="25" width="10.44140625" bestFit="1" customWidth="1"/>
  </cols>
  <sheetData>
    <row r="1" spans="1:26" x14ac:dyDescent="0.3">
      <c r="A1" s="195" t="s">
        <v>547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9"/>
      <c r="V1" s="179"/>
      <c r="W1" s="179"/>
      <c r="X1" s="179"/>
      <c r="Y1" s="178"/>
      <c r="Z1" s="178"/>
    </row>
    <row r="2" spans="1:26" x14ac:dyDescent="0.3">
      <c r="A2" s="177" t="s">
        <v>489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80"/>
      <c r="V2" s="180"/>
      <c r="W2" s="180"/>
      <c r="X2" s="180"/>
      <c r="Y2" s="178"/>
      <c r="Z2" s="178"/>
    </row>
    <row r="3" spans="1:26" x14ac:dyDescent="0.3">
      <c r="A3" s="181" t="s">
        <v>534</v>
      </c>
      <c r="B3" s="151" t="s">
        <v>491</v>
      </c>
      <c r="C3" s="181" t="s">
        <v>492</v>
      </c>
      <c r="D3" s="181" t="s">
        <v>493</v>
      </c>
      <c r="E3" s="181" t="s">
        <v>494</v>
      </c>
      <c r="F3" s="181" t="s">
        <v>495</v>
      </c>
      <c r="G3" s="181" t="s">
        <v>496</v>
      </c>
      <c r="H3" s="181" t="s">
        <v>497</v>
      </c>
      <c r="I3" s="181" t="s">
        <v>498</v>
      </c>
      <c r="J3" s="181" t="s">
        <v>499</v>
      </c>
      <c r="K3" s="181" t="s">
        <v>500</v>
      </c>
      <c r="L3" s="181" t="s">
        <v>501</v>
      </c>
      <c r="M3" s="181" t="s">
        <v>505</v>
      </c>
      <c r="N3" s="181" t="s">
        <v>506</v>
      </c>
      <c r="O3" s="181" t="s">
        <v>507</v>
      </c>
      <c r="P3" s="181" t="s">
        <v>508</v>
      </c>
      <c r="Q3" s="181" t="s">
        <v>509</v>
      </c>
      <c r="R3" s="181" t="s">
        <v>510</v>
      </c>
      <c r="S3" s="181" t="s">
        <v>511</v>
      </c>
      <c r="T3" s="181"/>
      <c r="U3" s="179" t="s">
        <v>502</v>
      </c>
      <c r="V3" s="179" t="s">
        <v>503</v>
      </c>
      <c r="W3" s="179" t="s">
        <v>504</v>
      </c>
      <c r="X3" s="179"/>
      <c r="Y3" s="182" t="s">
        <v>20</v>
      </c>
      <c r="Z3" s="183"/>
    </row>
    <row r="4" spans="1:26" x14ac:dyDescent="0.3">
      <c r="A4" s="189"/>
      <c r="B4" s="189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4"/>
      <c r="U4" s="187"/>
      <c r="V4" s="187"/>
      <c r="W4" s="187"/>
      <c r="X4" s="179"/>
      <c r="Y4" s="178"/>
      <c r="Z4" s="178"/>
    </row>
    <row r="5" spans="1:26" x14ac:dyDescent="0.3">
      <c r="A5" s="588" t="s">
        <v>546</v>
      </c>
      <c r="B5" s="588"/>
      <c r="C5" s="588"/>
      <c r="D5" s="588"/>
      <c r="E5" s="187">
        <f>SUM(E10:E13)</f>
        <v>452185.59957767127</v>
      </c>
      <c r="F5" s="187">
        <f t="shared" ref="F5:W5" si="0">SUM(F10:F13)</f>
        <v>408731.14531338337</v>
      </c>
      <c r="G5" s="187">
        <f t="shared" si="0"/>
        <v>243711.59931575973</v>
      </c>
      <c r="H5" s="187">
        <f t="shared" si="0"/>
        <v>403.55706949296052</v>
      </c>
      <c r="I5" s="187">
        <f t="shared" si="0"/>
        <v>163605.0645416936</v>
      </c>
      <c r="J5" s="187">
        <f t="shared" si="0"/>
        <v>4.2699602406555197</v>
      </c>
      <c r="K5" s="187">
        <f t="shared" si="0"/>
        <v>76661.878781565261</v>
      </c>
      <c r="L5" s="187">
        <f t="shared" si="0"/>
        <v>26944.35931570884</v>
      </c>
      <c r="M5" s="187">
        <f t="shared" si="0"/>
        <v>4986.1854149437877</v>
      </c>
      <c r="N5" s="187">
        <f t="shared" si="0"/>
        <v>66385.789964330965</v>
      </c>
      <c r="O5" s="187">
        <f t="shared" si="0"/>
        <v>1461.7216414892087</v>
      </c>
      <c r="P5" s="187">
        <f t="shared" si="0"/>
        <v>2449337.0233694115</v>
      </c>
      <c r="Q5" s="187">
        <f t="shared" si="0"/>
        <v>1121.0370618856455</v>
      </c>
      <c r="R5" s="187">
        <f t="shared" si="0"/>
        <v>12060.76867242361</v>
      </c>
      <c r="S5" s="187">
        <f t="shared" si="0"/>
        <v>3907600</v>
      </c>
      <c r="T5" s="184"/>
      <c r="U5" s="187">
        <f t="shared" si="0"/>
        <v>194259.30917244675</v>
      </c>
      <c r="V5" s="187">
        <f t="shared" si="0"/>
        <v>12060.963921797667</v>
      </c>
      <c r="W5" s="187">
        <f t="shared" si="0"/>
        <v>33670.432464079153</v>
      </c>
      <c r="X5" s="179"/>
      <c r="Y5" s="192">
        <f>SUM(U5:W5,E5:R5)</f>
        <v>4147590.7055583238</v>
      </c>
      <c r="Z5" s="178"/>
    </row>
    <row r="6" spans="1:26" x14ac:dyDescent="0.3">
      <c r="A6" s="588" t="s">
        <v>548</v>
      </c>
      <c r="B6" s="588"/>
      <c r="C6" s="588"/>
      <c r="D6" s="588"/>
      <c r="E6" s="187">
        <f>+E5</f>
        <v>452185.59957767127</v>
      </c>
      <c r="F6" s="187">
        <f t="shared" ref="F6:F7" si="1">+F5</f>
        <v>408731.14531338337</v>
      </c>
      <c r="G6" s="187">
        <f t="shared" ref="G6:G7" si="2">+G5</f>
        <v>243711.59931575973</v>
      </c>
      <c r="H6" s="187">
        <f t="shared" ref="H6:H7" si="3">+H5</f>
        <v>403.55706949296052</v>
      </c>
      <c r="I6" s="187">
        <f t="shared" ref="I6:I7" si="4">+I5</f>
        <v>163605.0645416936</v>
      </c>
      <c r="J6" s="187">
        <f t="shared" ref="J6:J7" si="5">+J5</f>
        <v>4.2699602406555197</v>
      </c>
      <c r="K6" s="187">
        <f t="shared" ref="K6:K7" si="6">+K5</f>
        <v>76661.878781565261</v>
      </c>
      <c r="L6" s="187">
        <v>0</v>
      </c>
      <c r="M6" s="187">
        <v>0</v>
      </c>
      <c r="N6" s="187">
        <f t="shared" ref="N6:N7" si="7">+N5</f>
        <v>66385.789964330965</v>
      </c>
      <c r="O6" s="187">
        <f t="shared" ref="O6:O7" si="8">+O5</f>
        <v>1461.7216414892087</v>
      </c>
      <c r="P6" s="187">
        <f t="shared" ref="P6:P7" si="9">+P5</f>
        <v>2449337.0233694115</v>
      </c>
      <c r="Q6" s="187">
        <f t="shared" ref="Q6:Q7" si="10">+Q5</f>
        <v>1121.0370618856455</v>
      </c>
      <c r="R6" s="187">
        <f t="shared" ref="R6:R7" si="11">+R5</f>
        <v>12060.76867242361</v>
      </c>
      <c r="S6" s="187"/>
      <c r="T6" s="184"/>
      <c r="U6" s="187">
        <f t="shared" ref="U6" si="12">+U5</f>
        <v>194259.30917244675</v>
      </c>
      <c r="V6" s="187">
        <f t="shared" ref="V6" si="13">+V5</f>
        <v>12060.963921797667</v>
      </c>
      <c r="W6" s="187">
        <f t="shared" ref="W6" si="14">+W5</f>
        <v>33670.432464079153</v>
      </c>
      <c r="X6" s="179"/>
      <c r="Y6" s="192">
        <f>SUM(U6:W6,E6:R6)</f>
        <v>4115660.1608276712</v>
      </c>
      <c r="Z6" s="178"/>
    </row>
    <row r="7" spans="1:26" x14ac:dyDescent="0.3">
      <c r="A7" s="588" t="s">
        <v>549</v>
      </c>
      <c r="B7" s="588"/>
      <c r="C7" s="588"/>
      <c r="D7" s="588"/>
      <c r="E7" s="187">
        <f t="shared" ref="E7" si="15">+E6</f>
        <v>452185.59957767127</v>
      </c>
      <c r="F7" s="187">
        <f t="shared" si="1"/>
        <v>408731.14531338337</v>
      </c>
      <c r="G7" s="187">
        <f t="shared" si="2"/>
        <v>243711.59931575973</v>
      </c>
      <c r="H7" s="187">
        <f t="shared" si="3"/>
        <v>403.55706949296052</v>
      </c>
      <c r="I7" s="187">
        <f t="shared" si="4"/>
        <v>163605.0645416936</v>
      </c>
      <c r="J7" s="187">
        <f t="shared" si="5"/>
        <v>4.2699602406555197</v>
      </c>
      <c r="K7" s="187">
        <f t="shared" si="6"/>
        <v>76661.878781565261</v>
      </c>
      <c r="L7" s="187">
        <f t="shared" ref="L7" si="16">+L6</f>
        <v>0</v>
      </c>
      <c r="M7" s="187">
        <f t="shared" ref="M7" si="17">+M6</f>
        <v>0</v>
      </c>
      <c r="N7" s="187">
        <f t="shared" si="7"/>
        <v>66385.789964330965</v>
      </c>
      <c r="O7" s="187">
        <f t="shared" si="8"/>
        <v>1461.7216414892087</v>
      </c>
      <c r="P7" s="187">
        <f t="shared" si="9"/>
        <v>2449337.0233694115</v>
      </c>
      <c r="Q7" s="187">
        <f t="shared" si="10"/>
        <v>1121.0370618856455</v>
      </c>
      <c r="R7" s="187">
        <f t="shared" si="11"/>
        <v>12060.76867242361</v>
      </c>
      <c r="S7" s="187"/>
      <c r="T7" s="184"/>
      <c r="U7" s="187">
        <v>0</v>
      </c>
      <c r="V7" s="187">
        <v>0</v>
      </c>
      <c r="W7" s="187">
        <v>0</v>
      </c>
      <c r="X7" s="179"/>
      <c r="Y7" s="192">
        <f>SUM(U7:W7,E7:R7)</f>
        <v>3875669.4552693474</v>
      </c>
      <c r="Z7" s="178"/>
    </row>
    <row r="8" spans="1:26" x14ac:dyDescent="0.3">
      <c r="A8" s="189"/>
      <c r="B8" s="189"/>
      <c r="C8" s="187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84"/>
      <c r="U8" s="191"/>
      <c r="V8" s="191"/>
      <c r="W8" s="191"/>
      <c r="X8" s="179"/>
      <c r="Y8" s="178"/>
      <c r="Z8" s="178"/>
    </row>
    <row r="9" spans="1:26" x14ac:dyDescent="0.3">
      <c r="A9" s="189" t="s">
        <v>781</v>
      </c>
      <c r="B9" s="189"/>
      <c r="C9" s="187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84"/>
      <c r="U9" s="191"/>
      <c r="V9" s="191"/>
      <c r="W9" s="191"/>
      <c r="X9" s="179"/>
      <c r="Y9" s="178"/>
      <c r="Z9" s="178"/>
    </row>
    <row r="10" spans="1:26" x14ac:dyDescent="0.3">
      <c r="A10" s="588" t="s">
        <v>546</v>
      </c>
      <c r="B10" s="588"/>
      <c r="C10" s="588"/>
      <c r="D10" s="588"/>
      <c r="E10" s="187">
        <f>AVERAGE(E16:E90)</f>
        <v>452185.59957767127</v>
      </c>
      <c r="F10" s="187">
        <f t="shared" ref="F10:W10" si="18">AVERAGE(F16:F90)</f>
        <v>407338.82698005001</v>
      </c>
      <c r="G10" s="187">
        <f t="shared" si="18"/>
        <v>238328.87931575972</v>
      </c>
      <c r="H10" s="187">
        <f t="shared" si="18"/>
        <v>403.55706949296052</v>
      </c>
      <c r="I10" s="187">
        <f t="shared" si="18"/>
        <v>160009.09787502696</v>
      </c>
      <c r="J10" s="187">
        <f t="shared" si="18"/>
        <v>4.2699602406555197</v>
      </c>
      <c r="K10" s="187">
        <f t="shared" si="18"/>
        <v>87032.883781565266</v>
      </c>
      <c r="L10" s="187">
        <f t="shared" si="18"/>
        <v>26944.35931570884</v>
      </c>
      <c r="M10" s="187">
        <f t="shared" si="18"/>
        <v>4986.1854149437877</v>
      </c>
      <c r="N10" s="187">
        <f t="shared" si="18"/>
        <v>66385.789964330965</v>
      </c>
      <c r="O10" s="187">
        <f t="shared" si="18"/>
        <v>1461.7216414892087</v>
      </c>
      <c r="P10" s="187">
        <f t="shared" si="18"/>
        <v>2449337.0233694115</v>
      </c>
      <c r="Q10" s="187">
        <f t="shared" si="18"/>
        <v>1121.0370618856455</v>
      </c>
      <c r="R10" s="187">
        <f t="shared" si="18"/>
        <v>12060.76867242361</v>
      </c>
      <c r="S10" s="187">
        <f t="shared" si="18"/>
        <v>3907600</v>
      </c>
      <c r="T10" s="184"/>
      <c r="U10" s="187">
        <f t="shared" si="18"/>
        <v>194259.30917244675</v>
      </c>
      <c r="V10" s="187">
        <f t="shared" si="18"/>
        <v>12060.963921797667</v>
      </c>
      <c r="W10" s="187">
        <f t="shared" si="18"/>
        <v>33670.432464079153</v>
      </c>
      <c r="X10" s="179"/>
      <c r="Y10" s="192">
        <f>SUM(U10:W10,E10:R10)</f>
        <v>4147590.7055583238</v>
      </c>
      <c r="Z10" s="178"/>
    </row>
    <row r="11" spans="1:26" x14ac:dyDescent="0.3">
      <c r="A11" s="423" t="s">
        <v>786</v>
      </c>
      <c r="B11" s="423"/>
      <c r="C11" s="423"/>
      <c r="D11" s="423"/>
      <c r="E11" s="187"/>
      <c r="F11" s="187"/>
      <c r="G11" s="187"/>
      <c r="H11" s="187"/>
      <c r="I11" s="187">
        <f>-K11</f>
        <v>-940.83333333333337</v>
      </c>
      <c r="J11" s="187"/>
      <c r="K11" s="187">
        <v>940.83333333333337</v>
      </c>
      <c r="L11" s="187"/>
      <c r="M11" s="187"/>
      <c r="N11" s="187"/>
      <c r="O11" s="187"/>
      <c r="P11" s="187"/>
      <c r="Q11" s="187"/>
      <c r="R11" s="187"/>
      <c r="S11" s="187"/>
      <c r="T11" s="184"/>
      <c r="U11" s="187"/>
      <c r="V11" s="187"/>
      <c r="W11" s="187"/>
      <c r="X11" s="179"/>
      <c r="Y11" s="192"/>
      <c r="Z11" s="178"/>
    </row>
    <row r="12" spans="1:26" x14ac:dyDescent="0.3">
      <c r="A12" s="189" t="s">
        <v>787</v>
      </c>
      <c r="B12" s="189"/>
      <c r="C12" s="187"/>
      <c r="D12" s="191"/>
      <c r="E12" s="187">
        <v>0</v>
      </c>
      <c r="F12" s="187">
        <v>717.94500000000005</v>
      </c>
      <c r="G12" s="187">
        <v>5382.72</v>
      </c>
      <c r="H12" s="187"/>
      <c r="I12" s="187"/>
      <c r="J12" s="187"/>
      <c r="K12" s="187">
        <f>-SUM(E12:I12)</f>
        <v>-6100.665</v>
      </c>
      <c r="L12" s="187"/>
      <c r="M12" s="187"/>
      <c r="N12" s="187"/>
      <c r="O12" s="187"/>
      <c r="P12" s="187"/>
      <c r="Q12" s="187"/>
      <c r="R12" s="187"/>
      <c r="S12" s="187"/>
      <c r="T12" s="184"/>
      <c r="U12" s="187"/>
      <c r="V12" s="187"/>
      <c r="W12" s="187"/>
      <c r="X12" s="179"/>
      <c r="Y12" s="192"/>
      <c r="Z12" s="178"/>
    </row>
    <row r="13" spans="1:26" x14ac:dyDescent="0.3">
      <c r="A13" s="484" t="s">
        <v>788</v>
      </c>
      <c r="B13" s="189"/>
      <c r="C13" s="187"/>
      <c r="D13" s="191"/>
      <c r="E13" s="187"/>
      <c r="F13" s="187">
        <v>674.37333333333333</v>
      </c>
      <c r="G13" s="187"/>
      <c r="H13" s="187"/>
      <c r="I13" s="187">
        <v>4536.8</v>
      </c>
      <c r="J13" s="187"/>
      <c r="K13" s="187">
        <f>-SUM(E13:I13)</f>
        <v>-5211.1733333333332</v>
      </c>
      <c r="L13" s="187"/>
      <c r="M13" s="187"/>
      <c r="N13" s="187"/>
      <c r="O13" s="187"/>
      <c r="P13" s="187"/>
      <c r="Q13" s="187"/>
      <c r="R13" s="187"/>
      <c r="S13" s="187"/>
      <c r="T13" s="184"/>
      <c r="U13" s="187"/>
      <c r="V13" s="187"/>
      <c r="W13" s="187"/>
      <c r="X13" s="179"/>
      <c r="Y13" s="192"/>
      <c r="Z13" s="178"/>
    </row>
    <row r="14" spans="1:26" x14ac:dyDescent="0.3">
      <c r="A14" s="189"/>
      <c r="B14" s="189"/>
      <c r="C14" s="187"/>
      <c r="D14" s="191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4"/>
      <c r="U14" s="187"/>
      <c r="V14" s="187"/>
      <c r="W14" s="187"/>
      <c r="X14" s="179"/>
      <c r="Y14" s="192"/>
      <c r="Z14" s="178"/>
    </row>
    <row r="15" spans="1:26" x14ac:dyDescent="0.3">
      <c r="A15" s="189"/>
      <c r="B15" s="189"/>
      <c r="C15" s="187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84"/>
      <c r="U15" s="191"/>
      <c r="V15" s="191"/>
      <c r="W15" s="191"/>
      <c r="X15" s="179"/>
      <c r="Y15" s="178"/>
      <c r="Z15" s="178"/>
    </row>
    <row r="16" spans="1:26" x14ac:dyDescent="0.3">
      <c r="A16" s="184">
        <v>1</v>
      </c>
      <c r="B16" s="185">
        <v>42338</v>
      </c>
      <c r="C16" s="186" t="s">
        <v>516</v>
      </c>
      <c r="D16" s="186" t="s">
        <v>514</v>
      </c>
      <c r="E16" s="187">
        <v>545055.83159289602</v>
      </c>
      <c r="F16" s="187">
        <v>557407.83056049398</v>
      </c>
      <c r="G16" s="187">
        <v>308148.99328739801</v>
      </c>
      <c r="H16" s="187">
        <v>241.78159205100701</v>
      </c>
      <c r="I16" s="187">
        <v>204895.16237578599</v>
      </c>
      <c r="J16" s="187">
        <v>3.1091943499918799</v>
      </c>
      <c r="K16" s="187">
        <v>106853.910508733</v>
      </c>
      <c r="L16" s="187">
        <v>66844.398020481996</v>
      </c>
      <c r="M16" s="187">
        <v>7611.9951932417398</v>
      </c>
      <c r="N16" s="187">
        <v>71519.466384241707</v>
      </c>
      <c r="O16" s="187">
        <v>1600.3440283515699</v>
      </c>
      <c r="P16" s="187">
        <v>2274067.7347942698</v>
      </c>
      <c r="Q16" s="187">
        <v>728.29644568999004</v>
      </c>
      <c r="R16" s="187">
        <v>8021.1460220153604</v>
      </c>
      <c r="S16" s="187">
        <v>4153000</v>
      </c>
      <c r="T16" s="187"/>
      <c r="U16" s="188">
        <v>198919.95289764099</v>
      </c>
      <c r="V16" s="188">
        <v>11781.843695158001</v>
      </c>
      <c r="W16" s="188">
        <v>34849.204472164798</v>
      </c>
      <c r="X16" s="188"/>
      <c r="Y16" s="187"/>
      <c r="Z16" s="178"/>
    </row>
    <row r="17" spans="1:26" x14ac:dyDescent="0.3">
      <c r="A17" s="184">
        <v>2</v>
      </c>
      <c r="B17" s="185">
        <v>42372</v>
      </c>
      <c r="C17" s="186" t="s">
        <v>519</v>
      </c>
      <c r="D17" s="186" t="s">
        <v>514</v>
      </c>
      <c r="E17" s="187">
        <v>396604.63888535497</v>
      </c>
      <c r="F17" s="187">
        <v>331882.39346885798</v>
      </c>
      <c r="G17" s="187">
        <v>174144.22687904199</v>
      </c>
      <c r="H17" s="187">
        <v>312.22506393903302</v>
      </c>
      <c r="I17" s="187">
        <v>134424.07412209001</v>
      </c>
      <c r="J17" s="187">
        <v>4.3528720899886402</v>
      </c>
      <c r="K17" s="187">
        <v>78254.180986737294</v>
      </c>
      <c r="L17" s="187">
        <v>21975.509949114999</v>
      </c>
      <c r="M17" s="187">
        <v>3716.3051916732902</v>
      </c>
      <c r="N17" s="187">
        <v>62627.0593801129</v>
      </c>
      <c r="O17" s="187">
        <v>1386.67293838253</v>
      </c>
      <c r="P17" s="187">
        <v>2876873.0398796899</v>
      </c>
      <c r="Q17" s="187">
        <v>1618.43654597776</v>
      </c>
      <c r="R17" s="187">
        <v>17176.883836939502</v>
      </c>
      <c r="S17" s="187">
        <v>4101000</v>
      </c>
      <c r="T17" s="187"/>
      <c r="U17" s="188">
        <v>185740.98563272099</v>
      </c>
      <c r="V17" s="188">
        <v>11367.5777814024</v>
      </c>
      <c r="W17" s="188">
        <v>33095.837064884698</v>
      </c>
      <c r="X17" s="188"/>
      <c r="Y17" s="187"/>
      <c r="Z17" s="178"/>
    </row>
    <row r="18" spans="1:26" x14ac:dyDescent="0.3">
      <c r="A18" s="184">
        <v>3</v>
      </c>
      <c r="B18" s="185">
        <v>42338</v>
      </c>
      <c r="C18" s="186" t="s">
        <v>535</v>
      </c>
      <c r="D18" s="186" t="s">
        <v>514</v>
      </c>
      <c r="E18" s="187">
        <v>540491.13850349304</v>
      </c>
      <c r="F18" s="187">
        <v>548295.652930949</v>
      </c>
      <c r="G18" s="187">
        <v>288292.18345217803</v>
      </c>
      <c r="H18" s="187">
        <v>272.23650173394702</v>
      </c>
      <c r="I18" s="187">
        <v>202750.559837426</v>
      </c>
      <c r="J18" s="187">
        <v>4.9747109599870099</v>
      </c>
      <c r="K18" s="187">
        <v>103181.82260607601</v>
      </c>
      <c r="L18" s="187">
        <v>63971.694895187597</v>
      </c>
      <c r="M18" s="187">
        <v>8247.38510721497</v>
      </c>
      <c r="N18" s="187">
        <v>72871.394398864897</v>
      </c>
      <c r="O18" s="187">
        <v>1539.89030807833</v>
      </c>
      <c r="P18" s="187">
        <v>2269550.9789380399</v>
      </c>
      <c r="Q18" s="187">
        <v>0</v>
      </c>
      <c r="R18" s="187">
        <v>530.08780980466202</v>
      </c>
      <c r="S18" s="187">
        <v>4100000</v>
      </c>
      <c r="T18" s="187"/>
      <c r="U18" s="188">
        <v>197591.20917983601</v>
      </c>
      <c r="V18" s="188">
        <v>11776.2237886365</v>
      </c>
      <c r="W18" s="188">
        <v>34469.609256757401</v>
      </c>
      <c r="X18" s="188"/>
      <c r="Y18" s="187"/>
      <c r="Z18" s="178"/>
    </row>
    <row r="19" spans="1:26" x14ac:dyDescent="0.3">
      <c r="A19" s="184">
        <v>4</v>
      </c>
      <c r="B19" s="185">
        <v>42373</v>
      </c>
      <c r="C19" s="186" t="s">
        <v>519</v>
      </c>
      <c r="D19" s="186" t="s">
        <v>514</v>
      </c>
      <c r="E19" s="187">
        <v>440541.387258859</v>
      </c>
      <c r="F19" s="187">
        <v>407922.07742435799</v>
      </c>
      <c r="G19" s="187">
        <v>241941.11691826099</v>
      </c>
      <c r="H19" s="187">
        <v>463.90257922228102</v>
      </c>
      <c r="I19" s="187">
        <v>165521.88422386299</v>
      </c>
      <c r="J19" s="187">
        <v>4.3528720899886402</v>
      </c>
      <c r="K19" s="187">
        <v>91129.428735639507</v>
      </c>
      <c r="L19" s="187">
        <v>22406.6953821141</v>
      </c>
      <c r="M19" s="187">
        <v>3138.1449565804701</v>
      </c>
      <c r="N19" s="187">
        <v>64882.2948806438</v>
      </c>
      <c r="O19" s="187">
        <v>1545.1317797827301</v>
      </c>
      <c r="P19" s="187">
        <v>2611708.2626056699</v>
      </c>
      <c r="Q19" s="187">
        <v>1618.43654597776</v>
      </c>
      <c r="R19" s="187">
        <v>17176.883836939502</v>
      </c>
      <c r="S19" s="187">
        <v>4070000</v>
      </c>
      <c r="T19" s="187"/>
      <c r="U19" s="188">
        <v>207200.01963968101</v>
      </c>
      <c r="V19" s="188">
        <v>13946.5860644022</v>
      </c>
      <c r="W19" s="188">
        <v>35719.928077304598</v>
      </c>
      <c r="X19" s="188"/>
      <c r="Y19" s="187"/>
      <c r="Z19" s="178"/>
    </row>
    <row r="20" spans="1:26" x14ac:dyDescent="0.3">
      <c r="A20" s="184">
        <v>5</v>
      </c>
      <c r="B20" s="185">
        <v>42372</v>
      </c>
      <c r="C20" s="186" t="s">
        <v>513</v>
      </c>
      <c r="D20" s="186" t="s">
        <v>514</v>
      </c>
      <c r="E20" s="187">
        <v>380101.37172151601</v>
      </c>
      <c r="F20" s="187">
        <v>315062.514590543</v>
      </c>
      <c r="G20" s="187">
        <v>169894.122810837</v>
      </c>
      <c r="H20" s="187">
        <v>250.73346493914599</v>
      </c>
      <c r="I20" s="187">
        <v>130277.55592071101</v>
      </c>
      <c r="J20" s="187">
        <v>4.3528720899886402</v>
      </c>
      <c r="K20" s="187">
        <v>77258.712610531904</v>
      </c>
      <c r="L20" s="187">
        <v>22261.608735864302</v>
      </c>
      <c r="M20" s="187">
        <v>3283.3670481685099</v>
      </c>
      <c r="N20" s="187">
        <v>62723.877950030997</v>
      </c>
      <c r="O20" s="187">
        <v>1399.11935373141</v>
      </c>
      <c r="P20" s="187">
        <v>2874687.3425381202</v>
      </c>
      <c r="Q20" s="187">
        <v>1618.43654597776</v>
      </c>
      <c r="R20" s="187">
        <v>17176.883836939502</v>
      </c>
      <c r="S20" s="187">
        <v>4056000</v>
      </c>
      <c r="T20" s="187"/>
      <c r="U20" s="188">
        <v>185418.05846144899</v>
      </c>
      <c r="V20" s="188">
        <v>11699.535912929099</v>
      </c>
      <c r="W20" s="188">
        <v>33063.768480291699</v>
      </c>
      <c r="X20" s="188"/>
      <c r="Y20" s="187"/>
      <c r="Z20" s="178"/>
    </row>
    <row r="21" spans="1:26" x14ac:dyDescent="0.3">
      <c r="A21" s="184">
        <v>6</v>
      </c>
      <c r="B21" s="185">
        <v>42368</v>
      </c>
      <c r="C21" s="186" t="s">
        <v>513</v>
      </c>
      <c r="D21" s="186" t="s">
        <v>514</v>
      </c>
      <c r="E21" s="187">
        <v>445598.961896608</v>
      </c>
      <c r="F21" s="187">
        <v>389863.24558770802</v>
      </c>
      <c r="G21" s="187">
        <v>235322.261152864</v>
      </c>
      <c r="H21" s="187">
        <v>501.63874625004399</v>
      </c>
      <c r="I21" s="187">
        <v>158704.759102721</v>
      </c>
      <c r="J21" s="187">
        <v>4.3528720899886402</v>
      </c>
      <c r="K21" s="187">
        <v>84245.945845808194</v>
      </c>
      <c r="L21" s="187">
        <v>19399.907031096602</v>
      </c>
      <c r="M21" s="187">
        <v>2603.55338488291</v>
      </c>
      <c r="N21" s="187">
        <v>64841.315952711702</v>
      </c>
      <c r="O21" s="187">
        <v>1702.5493946302199</v>
      </c>
      <c r="P21" s="187">
        <v>2625416.1886497098</v>
      </c>
      <c r="Q21" s="187">
        <v>1618.43654597776</v>
      </c>
      <c r="R21" s="187">
        <v>17176.883836939502</v>
      </c>
      <c r="S21" s="187">
        <v>4047000</v>
      </c>
      <c r="T21" s="187"/>
      <c r="U21" s="188">
        <v>186230.45853216801</v>
      </c>
      <c r="V21" s="188">
        <v>12384.15873193</v>
      </c>
      <c r="W21" s="188">
        <v>35843.1170073998</v>
      </c>
      <c r="X21" s="188"/>
      <c r="Y21" s="187"/>
      <c r="Z21" s="178"/>
    </row>
    <row r="22" spans="1:26" x14ac:dyDescent="0.3">
      <c r="A22" s="184">
        <v>6</v>
      </c>
      <c r="B22" s="185">
        <v>42369</v>
      </c>
      <c r="C22" s="186" t="s">
        <v>519</v>
      </c>
      <c r="D22" s="186" t="s">
        <v>514</v>
      </c>
      <c r="E22" s="187">
        <v>431032.29166333802</v>
      </c>
      <c r="F22" s="187">
        <v>371787.62341750198</v>
      </c>
      <c r="G22" s="187">
        <v>215702.576052997</v>
      </c>
      <c r="H22" s="187">
        <v>571.17408297717395</v>
      </c>
      <c r="I22" s="187">
        <v>137858.639317694</v>
      </c>
      <c r="J22" s="187">
        <v>4.3528720899886402</v>
      </c>
      <c r="K22" s="187">
        <v>90962.552640559297</v>
      </c>
      <c r="L22" s="187">
        <v>21605.360802138101</v>
      </c>
      <c r="M22" s="187">
        <v>3704.4357847763499</v>
      </c>
      <c r="N22" s="187">
        <v>63178.819371505</v>
      </c>
      <c r="O22" s="187">
        <v>1472.8563760535001</v>
      </c>
      <c r="P22" s="187">
        <v>2690323.99723545</v>
      </c>
      <c r="Q22" s="187">
        <v>1618.43654597776</v>
      </c>
      <c r="R22" s="187">
        <v>17176.883836939502</v>
      </c>
      <c r="S22" s="187">
        <v>4047000</v>
      </c>
      <c r="T22" s="187"/>
      <c r="U22" s="188">
        <v>182742.77589610699</v>
      </c>
      <c r="V22" s="188">
        <v>11064.185779888399</v>
      </c>
      <c r="W22" s="188">
        <v>35356.880780429601</v>
      </c>
      <c r="X22" s="188"/>
      <c r="Y22" s="187"/>
      <c r="Z22" s="178"/>
    </row>
    <row r="23" spans="1:26" x14ac:dyDescent="0.3">
      <c r="A23" s="184">
        <v>8</v>
      </c>
      <c r="B23" s="185">
        <v>42338</v>
      </c>
      <c r="C23" s="186" t="s">
        <v>519</v>
      </c>
      <c r="D23" s="186" t="s">
        <v>514</v>
      </c>
      <c r="E23" s="187">
        <v>431293.28664466698</v>
      </c>
      <c r="F23" s="187">
        <v>405329.91413733299</v>
      </c>
      <c r="G23" s="187">
        <v>248091.80659158801</v>
      </c>
      <c r="H23" s="187">
        <v>265.58934668990298</v>
      </c>
      <c r="I23" s="187">
        <v>165670.03974111099</v>
      </c>
      <c r="J23" s="187">
        <v>3.7310332199902598</v>
      </c>
      <c r="K23" s="187">
        <v>90780.149610952198</v>
      </c>
      <c r="L23" s="187">
        <v>18200.475608253699</v>
      </c>
      <c r="M23" s="187">
        <v>7637.7292075088499</v>
      </c>
      <c r="N23" s="187">
        <v>71312.149244618806</v>
      </c>
      <c r="O23" s="187">
        <v>1531.80970586737</v>
      </c>
      <c r="P23" s="187">
        <v>2580087.9987452701</v>
      </c>
      <c r="Q23" s="187">
        <v>1618.43654597776</v>
      </c>
      <c r="R23" s="187">
        <v>17176.883836939502</v>
      </c>
      <c r="S23" s="187">
        <v>4039000</v>
      </c>
      <c r="T23" s="187"/>
      <c r="U23" s="188">
        <v>189469.84365766699</v>
      </c>
      <c r="V23" s="188">
        <v>12951.6967087881</v>
      </c>
      <c r="W23" s="188">
        <v>34607.0780132937</v>
      </c>
      <c r="X23" s="188"/>
      <c r="Y23" s="187"/>
      <c r="Z23" s="178"/>
    </row>
    <row r="24" spans="1:26" x14ac:dyDescent="0.3">
      <c r="A24" s="184">
        <v>9</v>
      </c>
      <c r="B24" s="185">
        <v>42368</v>
      </c>
      <c r="C24" s="186" t="s">
        <v>519</v>
      </c>
      <c r="D24" s="186" t="s">
        <v>514</v>
      </c>
      <c r="E24" s="187">
        <v>468612.35293819697</v>
      </c>
      <c r="F24" s="187">
        <v>409604.45944234898</v>
      </c>
      <c r="G24" s="187">
        <v>248441.75786193999</v>
      </c>
      <c r="H24" s="187">
        <v>444.72728969099501</v>
      </c>
      <c r="I24" s="187">
        <v>156531.263961497</v>
      </c>
      <c r="J24" s="187">
        <v>4.3528720899886402</v>
      </c>
      <c r="K24" s="187">
        <v>89862.865668611994</v>
      </c>
      <c r="L24" s="187">
        <v>19351.263798445001</v>
      </c>
      <c r="M24" s="187">
        <v>2047.73735917154</v>
      </c>
      <c r="N24" s="187">
        <v>67639.232159061998</v>
      </c>
      <c r="O24" s="187">
        <v>1604.2061707110499</v>
      </c>
      <c r="P24" s="187">
        <v>2551060.4600953199</v>
      </c>
      <c r="Q24" s="187">
        <v>1618.43654597776</v>
      </c>
      <c r="R24" s="187">
        <v>17176.883836939502</v>
      </c>
      <c r="S24" s="187">
        <v>4034000</v>
      </c>
      <c r="T24" s="187"/>
      <c r="U24" s="188">
        <v>185973.65517343301</v>
      </c>
      <c r="V24" s="188">
        <v>12296.034035386299</v>
      </c>
      <c r="W24" s="188">
        <v>36391.954610256398</v>
      </c>
      <c r="X24" s="188"/>
      <c r="Y24" s="187"/>
      <c r="Z24" s="178"/>
    </row>
    <row r="25" spans="1:26" x14ac:dyDescent="0.3">
      <c r="A25" s="184">
        <v>10</v>
      </c>
      <c r="B25" s="185">
        <v>42373</v>
      </c>
      <c r="C25" s="186" t="s">
        <v>513</v>
      </c>
      <c r="D25" s="186" t="s">
        <v>514</v>
      </c>
      <c r="E25" s="187">
        <v>415028.64910832001</v>
      </c>
      <c r="F25" s="187">
        <v>392521.53131032299</v>
      </c>
      <c r="G25" s="187">
        <v>273266.053928259</v>
      </c>
      <c r="H25" s="187">
        <v>476.73893564282702</v>
      </c>
      <c r="I25" s="187">
        <v>164887.657412587</v>
      </c>
      <c r="J25" s="187">
        <v>4.3528720899886402</v>
      </c>
      <c r="K25" s="187">
        <v>86639.293306149601</v>
      </c>
      <c r="L25" s="187">
        <v>20830.2970639585</v>
      </c>
      <c r="M25" s="187">
        <v>3963.4250217161298</v>
      </c>
      <c r="N25" s="187">
        <v>62235.550814792201</v>
      </c>
      <c r="O25" s="187">
        <v>1554.8784212140199</v>
      </c>
      <c r="P25" s="187">
        <v>2581796.2514220299</v>
      </c>
      <c r="Q25" s="187">
        <v>1618.43654597776</v>
      </c>
      <c r="R25" s="187">
        <v>17176.883836939502</v>
      </c>
      <c r="S25" s="187">
        <v>4022000</v>
      </c>
      <c r="T25" s="187"/>
      <c r="U25" s="188">
        <v>207005.26013520701</v>
      </c>
      <c r="V25" s="188">
        <v>12983.1557427113</v>
      </c>
      <c r="W25" s="188">
        <v>35194.168057207702</v>
      </c>
      <c r="X25" s="188"/>
      <c r="Y25" s="187"/>
      <c r="Z25" s="178"/>
    </row>
    <row r="26" spans="1:26" x14ac:dyDescent="0.3">
      <c r="A26" s="184">
        <v>11</v>
      </c>
      <c r="B26" s="185">
        <v>42369</v>
      </c>
      <c r="C26" s="186" t="s">
        <v>535</v>
      </c>
      <c r="D26" s="186" t="s">
        <v>514</v>
      </c>
      <c r="E26" s="187">
        <v>528839.72128700698</v>
      </c>
      <c r="F26" s="187">
        <v>475257.77342584502</v>
      </c>
      <c r="G26" s="187">
        <v>270598.58769575198</v>
      </c>
      <c r="H26" s="187">
        <v>412.02309564172799</v>
      </c>
      <c r="I26" s="187">
        <v>172200.96774646101</v>
      </c>
      <c r="J26" s="187">
        <v>4.3528720899886402</v>
      </c>
      <c r="K26" s="187">
        <v>97492.557471968801</v>
      </c>
      <c r="L26" s="187">
        <v>35824.149007213899</v>
      </c>
      <c r="M26" s="187">
        <v>2869.7701337410599</v>
      </c>
      <c r="N26" s="187">
        <v>68005.640367631495</v>
      </c>
      <c r="O26" s="187">
        <v>1625.5206004536899</v>
      </c>
      <c r="P26" s="187">
        <v>2363338.84848639</v>
      </c>
      <c r="Q26" s="187">
        <v>0</v>
      </c>
      <c r="R26" s="187">
        <v>530.08780980466202</v>
      </c>
      <c r="S26" s="187">
        <v>4017000</v>
      </c>
      <c r="T26" s="187"/>
      <c r="U26" s="188">
        <v>185712.73624581401</v>
      </c>
      <c r="V26" s="188">
        <v>11357.6444410931</v>
      </c>
      <c r="W26" s="188">
        <v>35450.065801692203</v>
      </c>
      <c r="X26" s="188"/>
      <c r="Y26" s="187"/>
      <c r="Z26" s="178"/>
    </row>
    <row r="27" spans="1:26" x14ac:dyDescent="0.3">
      <c r="A27" s="184">
        <v>12</v>
      </c>
      <c r="B27" s="185">
        <v>42369</v>
      </c>
      <c r="C27" s="186" t="s">
        <v>536</v>
      </c>
      <c r="D27" s="186" t="s">
        <v>514</v>
      </c>
      <c r="E27" s="187">
        <v>539664.48650288605</v>
      </c>
      <c r="F27" s="187">
        <v>472525.50659908197</v>
      </c>
      <c r="G27" s="187">
        <v>266718.661984679</v>
      </c>
      <c r="H27" s="187">
        <v>403.47487476219902</v>
      </c>
      <c r="I27" s="187">
        <v>179416.43037478201</v>
      </c>
      <c r="J27" s="187">
        <v>4.3528720899886402</v>
      </c>
      <c r="K27" s="187">
        <v>95898.675030290702</v>
      </c>
      <c r="L27" s="187">
        <v>34307.785404071197</v>
      </c>
      <c r="M27" s="187">
        <v>2801.7500849543399</v>
      </c>
      <c r="N27" s="187">
        <v>69202.060170394994</v>
      </c>
      <c r="O27" s="187">
        <v>1551.3895994255099</v>
      </c>
      <c r="P27" s="187">
        <v>2347975.3386927801</v>
      </c>
      <c r="Q27" s="187">
        <v>0</v>
      </c>
      <c r="R27" s="187">
        <v>530.08780980466202</v>
      </c>
      <c r="S27" s="187">
        <v>4011000</v>
      </c>
      <c r="T27" s="187"/>
      <c r="U27" s="188">
        <v>179892.651348282</v>
      </c>
      <c r="V27" s="188">
        <v>11272.702975734201</v>
      </c>
      <c r="W27" s="188">
        <v>35013.737771549801</v>
      </c>
      <c r="X27" s="188"/>
      <c r="Y27" s="187"/>
      <c r="Z27" s="178"/>
    </row>
    <row r="28" spans="1:26" x14ac:dyDescent="0.3">
      <c r="A28" s="184">
        <v>13</v>
      </c>
      <c r="B28" s="185">
        <v>42338</v>
      </c>
      <c r="C28" s="186" t="s">
        <v>513</v>
      </c>
      <c r="D28" s="186" t="s">
        <v>514</v>
      </c>
      <c r="E28" s="187">
        <v>404294.29569135897</v>
      </c>
      <c r="F28" s="187">
        <v>395611.86781156302</v>
      </c>
      <c r="G28" s="187">
        <v>234717.21274775101</v>
      </c>
      <c r="H28" s="187">
        <v>254.23214276030001</v>
      </c>
      <c r="I28" s="187">
        <v>166834.880976224</v>
      </c>
      <c r="J28" s="187">
        <v>3.7310332199902598</v>
      </c>
      <c r="K28" s="187">
        <v>85867.8343877281</v>
      </c>
      <c r="L28" s="187">
        <v>17392.550881899999</v>
      </c>
      <c r="M28" s="187">
        <v>7619.6095297416596</v>
      </c>
      <c r="N28" s="187">
        <v>69244.871241155706</v>
      </c>
      <c r="O28" s="187">
        <v>1589.30989843416</v>
      </c>
      <c r="P28" s="187">
        <v>2598774.2832752499</v>
      </c>
      <c r="Q28" s="187">
        <v>1618.43654597776</v>
      </c>
      <c r="R28" s="187">
        <v>17176.883836939502</v>
      </c>
      <c r="S28" s="187">
        <v>4001000</v>
      </c>
      <c r="T28" s="187"/>
      <c r="U28" s="188">
        <v>188942.20636049399</v>
      </c>
      <c r="V28" s="188">
        <v>12296.708009415701</v>
      </c>
      <c r="W28" s="188">
        <v>34276.821428987001</v>
      </c>
      <c r="X28" s="188"/>
      <c r="Y28" s="187"/>
      <c r="Z28" s="178"/>
    </row>
    <row r="29" spans="1:26" x14ac:dyDescent="0.3">
      <c r="A29" s="184">
        <v>14</v>
      </c>
      <c r="B29" s="185">
        <v>42368</v>
      </c>
      <c r="C29" s="186" t="s">
        <v>529</v>
      </c>
      <c r="D29" s="186" t="s">
        <v>514</v>
      </c>
      <c r="E29" s="187">
        <v>410492.70130523201</v>
      </c>
      <c r="F29" s="187">
        <v>368057.330084485</v>
      </c>
      <c r="G29" s="187">
        <v>226815.91511774401</v>
      </c>
      <c r="H29" s="187">
        <v>480.99571536608602</v>
      </c>
      <c r="I29" s="187">
        <v>153004.30482499301</v>
      </c>
      <c r="J29" s="187">
        <v>4.3528720899886402</v>
      </c>
      <c r="K29" s="187">
        <v>79014.069122073299</v>
      </c>
      <c r="L29" s="187">
        <v>19688.782032507999</v>
      </c>
      <c r="M29" s="187">
        <v>2603.6246420426701</v>
      </c>
      <c r="N29" s="187">
        <v>64758.9611325679</v>
      </c>
      <c r="O29" s="187">
        <v>1619.41201210964</v>
      </c>
      <c r="P29" s="187">
        <v>2639664.2307558702</v>
      </c>
      <c r="Q29" s="187">
        <v>1618.43654597776</v>
      </c>
      <c r="R29" s="187">
        <v>17176.883836939502</v>
      </c>
      <c r="S29" s="187">
        <v>3985000</v>
      </c>
      <c r="T29" s="187"/>
      <c r="U29" s="188">
        <v>187803.99974645401</v>
      </c>
      <c r="V29" s="188">
        <v>12405.912539830701</v>
      </c>
      <c r="W29" s="188">
        <v>35813.550443679</v>
      </c>
      <c r="X29" s="188"/>
      <c r="Y29" s="187"/>
      <c r="Z29" s="178"/>
    </row>
    <row r="30" spans="1:26" x14ac:dyDescent="0.3">
      <c r="A30" s="184">
        <v>15</v>
      </c>
      <c r="B30" s="185">
        <v>42369</v>
      </c>
      <c r="C30" s="186" t="s">
        <v>513</v>
      </c>
      <c r="D30" s="186" t="s">
        <v>514</v>
      </c>
      <c r="E30" s="187">
        <v>401928.76958466199</v>
      </c>
      <c r="F30" s="187">
        <v>348922.68202178599</v>
      </c>
      <c r="G30" s="187">
        <v>193629.011845053</v>
      </c>
      <c r="H30" s="187">
        <v>516.09983265052006</v>
      </c>
      <c r="I30" s="187">
        <v>134267.53699663599</v>
      </c>
      <c r="J30" s="187">
        <v>4.3528720899886402</v>
      </c>
      <c r="K30" s="187">
        <v>83211.689070202803</v>
      </c>
      <c r="L30" s="187">
        <v>21285.534985145001</v>
      </c>
      <c r="M30" s="187">
        <v>3680.7478689537402</v>
      </c>
      <c r="N30" s="187">
        <v>60605.971733072001</v>
      </c>
      <c r="O30" s="187">
        <v>1526.6220503214299</v>
      </c>
      <c r="P30" s="187">
        <v>2715625.6607565102</v>
      </c>
      <c r="Q30" s="187">
        <v>1618.43654597776</v>
      </c>
      <c r="R30" s="187">
        <v>17176.883836939502</v>
      </c>
      <c r="S30" s="187">
        <v>3984000</v>
      </c>
      <c r="T30" s="187"/>
      <c r="U30" s="188">
        <v>182812.15553569599</v>
      </c>
      <c r="V30" s="188">
        <v>11260.084108138701</v>
      </c>
      <c r="W30" s="188">
        <v>35272.768127532698</v>
      </c>
      <c r="X30" s="188"/>
      <c r="Y30" s="187"/>
      <c r="Z30" s="178"/>
    </row>
    <row r="31" spans="1:26" x14ac:dyDescent="0.3">
      <c r="A31" s="184">
        <v>16</v>
      </c>
      <c r="B31" s="185">
        <v>42337</v>
      </c>
      <c r="C31" s="186" t="s">
        <v>519</v>
      </c>
      <c r="D31" s="186" t="s">
        <v>514</v>
      </c>
      <c r="E31" s="187">
        <v>377307.82048275199</v>
      </c>
      <c r="F31" s="187">
        <v>336535.26210579998</v>
      </c>
      <c r="G31" s="187">
        <v>189521.85335501499</v>
      </c>
      <c r="H31" s="187">
        <v>263.95192568303798</v>
      </c>
      <c r="I31" s="187">
        <v>122733.99504292299</v>
      </c>
      <c r="J31" s="187">
        <v>4.3528720899886402</v>
      </c>
      <c r="K31" s="187">
        <v>83647.030609745998</v>
      </c>
      <c r="L31" s="187">
        <v>18522.986505893099</v>
      </c>
      <c r="M31" s="187">
        <v>8631.7869453298899</v>
      </c>
      <c r="N31" s="187">
        <v>65341.959159186998</v>
      </c>
      <c r="O31" s="187">
        <v>1475.8070766446899</v>
      </c>
      <c r="P31" s="187">
        <v>2723217.8735360201</v>
      </c>
      <c r="Q31" s="187">
        <v>1618.43654597776</v>
      </c>
      <c r="R31" s="187">
        <v>17176.883836939502</v>
      </c>
      <c r="S31" s="187">
        <v>3946000</v>
      </c>
      <c r="T31" s="187"/>
      <c r="U31" s="188">
        <v>175475.088227003</v>
      </c>
      <c r="V31" s="188">
        <v>8387.2127795166707</v>
      </c>
      <c r="W31" s="188">
        <v>34424.644076774697</v>
      </c>
      <c r="X31" s="188"/>
      <c r="Y31" s="187"/>
      <c r="Z31" s="178"/>
    </row>
    <row r="32" spans="1:26" x14ac:dyDescent="0.3">
      <c r="A32" s="184">
        <v>17</v>
      </c>
      <c r="B32" s="185">
        <v>42337</v>
      </c>
      <c r="C32" s="186" t="s">
        <v>513</v>
      </c>
      <c r="D32" s="186" t="s">
        <v>514</v>
      </c>
      <c r="E32" s="187">
        <v>382020.03962527699</v>
      </c>
      <c r="F32" s="187">
        <v>335488.40046734299</v>
      </c>
      <c r="G32" s="187">
        <v>191359.16141235799</v>
      </c>
      <c r="H32" s="187">
        <v>263.49643092573598</v>
      </c>
      <c r="I32" s="187">
        <v>124857.997388149</v>
      </c>
      <c r="J32" s="187">
        <v>4.3528720899886402</v>
      </c>
      <c r="K32" s="187">
        <v>86854.363763209403</v>
      </c>
      <c r="L32" s="187">
        <v>19949.621293906301</v>
      </c>
      <c r="M32" s="187">
        <v>8654.8539059031791</v>
      </c>
      <c r="N32" s="187">
        <v>64995.287200309598</v>
      </c>
      <c r="O32" s="187">
        <v>1473.65432933752</v>
      </c>
      <c r="P32" s="187">
        <v>2707283.4509282699</v>
      </c>
      <c r="Q32" s="187">
        <v>1618.43654597776</v>
      </c>
      <c r="R32" s="187">
        <v>17176.883836939502</v>
      </c>
      <c r="S32" s="187">
        <v>3942000</v>
      </c>
      <c r="T32" s="187"/>
      <c r="U32" s="188">
        <v>174645.81890237</v>
      </c>
      <c r="V32" s="188">
        <v>8295.2101400965093</v>
      </c>
      <c r="W32" s="188">
        <v>34383.2793658519</v>
      </c>
      <c r="X32" s="188"/>
      <c r="Y32" s="187"/>
      <c r="Z32" s="178"/>
    </row>
    <row r="33" spans="1:26" x14ac:dyDescent="0.3">
      <c r="A33" s="184">
        <v>18</v>
      </c>
      <c r="B33" s="185">
        <v>42372</v>
      </c>
      <c r="C33" s="186" t="s">
        <v>529</v>
      </c>
      <c r="D33" s="186" t="s">
        <v>514</v>
      </c>
      <c r="E33" s="187">
        <v>386921.90774168598</v>
      </c>
      <c r="F33" s="187">
        <v>311779.23809625598</v>
      </c>
      <c r="G33" s="187">
        <v>168254.07265562299</v>
      </c>
      <c r="H33" s="187">
        <v>268.27834333586799</v>
      </c>
      <c r="I33" s="187">
        <v>130446.29602374299</v>
      </c>
      <c r="J33" s="187">
        <v>4.3528720899886402</v>
      </c>
      <c r="K33" s="187">
        <v>77197.546118240294</v>
      </c>
      <c r="L33" s="187">
        <v>22255.984886161299</v>
      </c>
      <c r="M33" s="187">
        <v>3867.5841418408099</v>
      </c>
      <c r="N33" s="187">
        <v>62853.013483730698</v>
      </c>
      <c r="O33" s="187">
        <v>1412.0857563525501</v>
      </c>
      <c r="P33" s="187">
        <v>2755944.3194980202</v>
      </c>
      <c r="Q33" s="187">
        <v>1618.43654597776</v>
      </c>
      <c r="R33" s="187">
        <v>17176.883836939502</v>
      </c>
      <c r="S33" s="187">
        <v>3940000</v>
      </c>
      <c r="T33" s="187"/>
      <c r="U33" s="188">
        <v>186471.786537946</v>
      </c>
      <c r="V33" s="188">
        <v>11837.5346876437</v>
      </c>
      <c r="W33" s="188">
        <v>33243.680054305398</v>
      </c>
      <c r="X33" s="188"/>
      <c r="Y33" s="187"/>
      <c r="Z33" s="178"/>
    </row>
    <row r="34" spans="1:26" x14ac:dyDescent="0.3">
      <c r="A34" s="184">
        <v>19</v>
      </c>
      <c r="B34" s="185">
        <v>42338</v>
      </c>
      <c r="C34" s="186" t="s">
        <v>536</v>
      </c>
      <c r="D34" s="186" t="s">
        <v>514</v>
      </c>
      <c r="E34" s="187">
        <v>532982.61782215605</v>
      </c>
      <c r="F34" s="187">
        <v>525039.00009774195</v>
      </c>
      <c r="G34" s="187">
        <v>277212.13150146703</v>
      </c>
      <c r="H34" s="187">
        <v>230.92445324265799</v>
      </c>
      <c r="I34" s="187">
        <v>196087.29318597799</v>
      </c>
      <c r="J34" s="187">
        <v>3.7310332199902598</v>
      </c>
      <c r="K34" s="187">
        <v>95990.905152124498</v>
      </c>
      <c r="L34" s="187">
        <v>57544.687289516798</v>
      </c>
      <c r="M34" s="187">
        <v>8714.1398628223396</v>
      </c>
      <c r="N34" s="187">
        <v>73919.797418223301</v>
      </c>
      <c r="O34" s="187">
        <v>1484.5428628187001</v>
      </c>
      <c r="P34" s="187">
        <v>2165260.1415108801</v>
      </c>
      <c r="Q34" s="187">
        <v>0</v>
      </c>
      <c r="R34" s="187">
        <v>530.08780980466202</v>
      </c>
      <c r="S34" s="187">
        <v>3935000</v>
      </c>
      <c r="T34" s="187"/>
      <c r="U34" s="188">
        <v>196173.88661729399</v>
      </c>
      <c r="V34" s="188">
        <v>11943.7529946673</v>
      </c>
      <c r="W34" s="188">
        <v>33995.405105769998</v>
      </c>
      <c r="X34" s="188"/>
      <c r="Y34" s="187"/>
      <c r="Z34" s="178"/>
    </row>
    <row r="35" spans="1:26" x14ac:dyDescent="0.3">
      <c r="A35" s="184">
        <v>20</v>
      </c>
      <c r="B35" s="185">
        <v>42380</v>
      </c>
      <c r="C35" s="186" t="s">
        <v>516</v>
      </c>
      <c r="D35" s="186" t="s">
        <v>514</v>
      </c>
      <c r="E35" s="187">
        <v>546006.35328915506</v>
      </c>
      <c r="F35" s="187">
        <v>535601.21163336304</v>
      </c>
      <c r="G35" s="187">
        <v>318470.73960988002</v>
      </c>
      <c r="H35" s="187">
        <v>256.16171864319602</v>
      </c>
      <c r="I35" s="187">
        <v>196304.826091355</v>
      </c>
      <c r="J35" s="187">
        <v>4.3528720899886402</v>
      </c>
      <c r="K35" s="187">
        <v>99452.424695395399</v>
      </c>
      <c r="L35" s="187">
        <v>59061.496559325802</v>
      </c>
      <c r="M35" s="187">
        <v>3504.8139415097498</v>
      </c>
      <c r="N35" s="187">
        <v>69806.484089537</v>
      </c>
      <c r="O35" s="187">
        <v>1531.8533847982401</v>
      </c>
      <c r="P35" s="187">
        <v>2086161.4287956301</v>
      </c>
      <c r="Q35" s="187">
        <v>1267.7752938097599</v>
      </c>
      <c r="R35" s="187">
        <v>13570.0780255114</v>
      </c>
      <c r="S35" s="187">
        <v>3931000</v>
      </c>
      <c r="T35" s="187"/>
      <c r="U35" s="188">
        <v>218595.566938968</v>
      </c>
      <c r="V35" s="188">
        <v>13314.2014170906</v>
      </c>
      <c r="W35" s="188">
        <v>34231.815565738099</v>
      </c>
      <c r="X35" s="188"/>
      <c r="Y35" s="187"/>
      <c r="Z35" s="178"/>
    </row>
    <row r="36" spans="1:26" x14ac:dyDescent="0.3">
      <c r="A36" s="184">
        <v>21</v>
      </c>
      <c r="B36" s="185">
        <v>42369</v>
      </c>
      <c r="C36" s="186" t="s">
        <v>516</v>
      </c>
      <c r="D36" s="186" t="s">
        <v>514</v>
      </c>
      <c r="E36" s="187">
        <v>515873.15969865798</v>
      </c>
      <c r="F36" s="187">
        <v>470639.511880773</v>
      </c>
      <c r="G36" s="187">
        <v>268062.60396970098</v>
      </c>
      <c r="H36" s="187">
        <v>545.03705230248102</v>
      </c>
      <c r="I36" s="187">
        <v>172944.200493704</v>
      </c>
      <c r="J36" s="187">
        <v>4.3528720899886402</v>
      </c>
      <c r="K36" s="187">
        <v>97385.689026910506</v>
      </c>
      <c r="L36" s="187">
        <v>36923.452041332901</v>
      </c>
      <c r="M36" s="187">
        <v>3836.09865682175</v>
      </c>
      <c r="N36" s="187">
        <v>69809.405339491394</v>
      </c>
      <c r="O36" s="187">
        <v>1618.4225217663</v>
      </c>
      <c r="P36" s="187">
        <v>2276606.9514984698</v>
      </c>
      <c r="Q36" s="187">
        <v>1348.69712110865</v>
      </c>
      <c r="R36" s="187">
        <v>14402.417826868101</v>
      </c>
      <c r="S36" s="187">
        <v>3930000</v>
      </c>
      <c r="T36" s="187"/>
      <c r="U36" s="188">
        <v>187733.09393793499</v>
      </c>
      <c r="V36" s="188">
        <v>11196.419484444399</v>
      </c>
      <c r="W36" s="188">
        <v>35513.226572489097</v>
      </c>
      <c r="X36" s="188"/>
      <c r="Y36" s="187"/>
      <c r="Z36" s="178"/>
    </row>
    <row r="37" spans="1:26" x14ac:dyDescent="0.3">
      <c r="A37" s="184">
        <v>22</v>
      </c>
      <c r="B37" s="185">
        <v>42359</v>
      </c>
      <c r="C37" s="186" t="s">
        <v>519</v>
      </c>
      <c r="D37" s="186" t="s">
        <v>514</v>
      </c>
      <c r="E37" s="187">
        <v>451358.69321529003</v>
      </c>
      <c r="F37" s="187">
        <v>400405.94729604298</v>
      </c>
      <c r="G37" s="187">
        <v>265327.38228000997</v>
      </c>
      <c r="H37" s="187">
        <v>444.21867984468099</v>
      </c>
      <c r="I37" s="187">
        <v>158686.802561775</v>
      </c>
      <c r="J37" s="187">
        <v>4.3528720899886402</v>
      </c>
      <c r="K37" s="187">
        <v>88679.434949121205</v>
      </c>
      <c r="L37" s="187">
        <v>17037.3017185879</v>
      </c>
      <c r="M37" s="187">
        <v>7246.1405758525598</v>
      </c>
      <c r="N37" s="187">
        <v>70521.335328384695</v>
      </c>
      <c r="O37" s="187">
        <v>1177.67525169242</v>
      </c>
      <c r="P37" s="187">
        <v>2442315.3948883899</v>
      </c>
      <c r="Q37" s="187">
        <v>1618.43654597776</v>
      </c>
      <c r="R37" s="187">
        <v>17176.883836939502</v>
      </c>
      <c r="S37" s="187">
        <v>3922000</v>
      </c>
      <c r="T37" s="187"/>
      <c r="U37" s="188">
        <v>208952.82465656399</v>
      </c>
      <c r="V37" s="188">
        <v>12801.431606739499</v>
      </c>
      <c r="W37" s="188">
        <v>28593.4403346422</v>
      </c>
      <c r="X37" s="188"/>
      <c r="Y37" s="187"/>
      <c r="Z37" s="178"/>
    </row>
    <row r="38" spans="1:26" x14ac:dyDescent="0.3">
      <c r="A38" s="184">
        <v>23</v>
      </c>
      <c r="B38" s="185">
        <v>42354</v>
      </c>
      <c r="C38" s="186" t="s">
        <v>513</v>
      </c>
      <c r="D38" s="186" t="s">
        <v>514</v>
      </c>
      <c r="E38" s="187">
        <v>431501.55571349798</v>
      </c>
      <c r="F38" s="187">
        <v>390067.26376576902</v>
      </c>
      <c r="G38" s="187">
        <v>254117.21296636399</v>
      </c>
      <c r="H38" s="187">
        <v>494.99038400999802</v>
      </c>
      <c r="I38" s="187">
        <v>166448.333109322</v>
      </c>
      <c r="J38" s="187">
        <v>4.3528720899886402</v>
      </c>
      <c r="K38" s="187">
        <v>84489.338942434901</v>
      </c>
      <c r="L38" s="187">
        <v>16541.2128036254</v>
      </c>
      <c r="M38" s="187">
        <v>7553.2589344121498</v>
      </c>
      <c r="N38" s="187">
        <v>65211.103446942703</v>
      </c>
      <c r="O38" s="187">
        <v>1338.2957862002399</v>
      </c>
      <c r="P38" s="187">
        <v>2484437.7608924098</v>
      </c>
      <c r="Q38" s="187">
        <v>1618.43654597776</v>
      </c>
      <c r="R38" s="187">
        <v>17176.883836939502</v>
      </c>
      <c r="S38" s="187">
        <v>3921000</v>
      </c>
      <c r="T38" s="187"/>
      <c r="U38" s="188">
        <v>202258.79336512301</v>
      </c>
      <c r="V38" s="188">
        <v>12730.8717102835</v>
      </c>
      <c r="W38" s="188">
        <v>28124.728424593599</v>
      </c>
      <c r="X38" s="188"/>
      <c r="Y38" s="187"/>
      <c r="Z38" s="178"/>
    </row>
    <row r="39" spans="1:26" x14ac:dyDescent="0.3">
      <c r="A39" s="184">
        <v>24</v>
      </c>
      <c r="B39" s="185">
        <v>42372</v>
      </c>
      <c r="C39" s="186" t="s">
        <v>527</v>
      </c>
      <c r="D39" s="186" t="s">
        <v>514</v>
      </c>
      <c r="E39" s="187">
        <v>408141.206886083</v>
      </c>
      <c r="F39" s="187">
        <v>353354.849952513</v>
      </c>
      <c r="G39" s="187">
        <v>182792.064987652</v>
      </c>
      <c r="H39" s="187">
        <v>299.31389509979601</v>
      </c>
      <c r="I39" s="187">
        <v>137370.29011493101</v>
      </c>
      <c r="J39" s="187">
        <v>4.3528720899886402</v>
      </c>
      <c r="K39" s="187">
        <v>81216.028424982607</v>
      </c>
      <c r="L39" s="187">
        <v>23026.078157071999</v>
      </c>
      <c r="M39" s="187">
        <v>3712.6812561198499</v>
      </c>
      <c r="N39" s="187">
        <v>62633.685630009502</v>
      </c>
      <c r="O39" s="187">
        <v>1347.91516705717</v>
      </c>
      <c r="P39" s="187">
        <v>2651874.1868146998</v>
      </c>
      <c r="Q39" s="187">
        <v>593.42727300402601</v>
      </c>
      <c r="R39" s="187">
        <v>6633.9185686861301</v>
      </c>
      <c r="S39" s="187">
        <v>3913000</v>
      </c>
      <c r="T39" s="187"/>
      <c r="U39" s="188">
        <v>184268.89395448699</v>
      </c>
      <c r="V39" s="188">
        <v>11447.397044138401</v>
      </c>
      <c r="W39" s="188">
        <v>33333.295118957802</v>
      </c>
      <c r="X39" s="188"/>
      <c r="Y39" s="187"/>
      <c r="Z39" s="178"/>
    </row>
    <row r="40" spans="1:26" x14ac:dyDescent="0.3">
      <c r="A40" s="184">
        <v>25</v>
      </c>
      <c r="B40" s="185">
        <v>42353</v>
      </c>
      <c r="C40" s="186" t="s">
        <v>519</v>
      </c>
      <c r="D40" s="186" t="s">
        <v>514</v>
      </c>
      <c r="E40" s="187">
        <v>471049.537574268</v>
      </c>
      <c r="F40" s="187">
        <v>414417.39640793297</v>
      </c>
      <c r="G40" s="187">
        <v>269881.49697569001</v>
      </c>
      <c r="H40" s="187">
        <v>410.657891796218</v>
      </c>
      <c r="I40" s="187">
        <v>168699.03293036699</v>
      </c>
      <c r="J40" s="187">
        <v>4.3528720899886402</v>
      </c>
      <c r="K40" s="187">
        <v>91216.316112351706</v>
      </c>
      <c r="L40" s="187">
        <v>17540.843407996501</v>
      </c>
      <c r="M40" s="187">
        <v>7551.0194236768702</v>
      </c>
      <c r="N40" s="187">
        <v>67978.097153775496</v>
      </c>
      <c r="O40" s="187">
        <v>1285.2671812696999</v>
      </c>
      <c r="P40" s="187">
        <v>2382170.66168587</v>
      </c>
      <c r="Q40" s="187">
        <v>1618.43654597776</v>
      </c>
      <c r="R40" s="187">
        <v>17176.883836939502</v>
      </c>
      <c r="S40" s="187">
        <v>3911000</v>
      </c>
      <c r="T40" s="187"/>
      <c r="U40" s="188">
        <v>212318.09836992499</v>
      </c>
      <c r="V40" s="188">
        <v>13188.0749541235</v>
      </c>
      <c r="W40" s="188">
        <v>28614.717682872</v>
      </c>
      <c r="X40" s="188"/>
      <c r="Y40" s="187"/>
      <c r="Z40" s="178"/>
    </row>
    <row r="41" spans="1:26" x14ac:dyDescent="0.3">
      <c r="A41" s="184">
        <v>26</v>
      </c>
      <c r="B41" s="185">
        <v>42369</v>
      </c>
      <c r="C41" s="186" t="s">
        <v>537</v>
      </c>
      <c r="D41" s="186" t="s">
        <v>514</v>
      </c>
      <c r="E41" s="187">
        <v>536011.94501719996</v>
      </c>
      <c r="F41" s="187">
        <v>458620.97701835702</v>
      </c>
      <c r="G41" s="187">
        <v>262677.47337802098</v>
      </c>
      <c r="H41" s="187">
        <v>378.08257439907902</v>
      </c>
      <c r="I41" s="187">
        <v>177556.50714872501</v>
      </c>
      <c r="J41" s="187">
        <v>4.3528720899886402</v>
      </c>
      <c r="K41" s="187">
        <v>92254.235283673101</v>
      </c>
      <c r="L41" s="187">
        <v>30270.3052387631</v>
      </c>
      <c r="M41" s="187">
        <v>3799.0449337472801</v>
      </c>
      <c r="N41" s="187">
        <v>69464.545166299999</v>
      </c>
      <c r="O41" s="187">
        <v>1468.9690925618299</v>
      </c>
      <c r="P41" s="187">
        <v>2275963.4744663602</v>
      </c>
      <c r="Q41" s="187">
        <v>0</v>
      </c>
      <c r="R41" s="187">
        <v>530.08780980466202</v>
      </c>
      <c r="S41" s="187">
        <v>3909000</v>
      </c>
      <c r="T41" s="187"/>
      <c r="U41" s="188">
        <v>179203.17095813199</v>
      </c>
      <c r="V41" s="188">
        <v>11343.1384462155</v>
      </c>
      <c r="W41" s="188">
        <v>34753.975116775</v>
      </c>
      <c r="X41" s="188"/>
      <c r="Y41" s="187"/>
      <c r="Z41" s="178"/>
    </row>
    <row r="42" spans="1:26" x14ac:dyDescent="0.3">
      <c r="A42" s="184">
        <v>27</v>
      </c>
      <c r="B42" s="185">
        <v>42337</v>
      </c>
      <c r="C42" s="186" t="s">
        <v>529</v>
      </c>
      <c r="D42" s="186" t="s">
        <v>514</v>
      </c>
      <c r="E42" s="187">
        <v>388784.50163794501</v>
      </c>
      <c r="F42" s="187">
        <v>345580.81133327598</v>
      </c>
      <c r="G42" s="187">
        <v>193409.69034288099</v>
      </c>
      <c r="H42" s="187">
        <v>261.48439038423902</v>
      </c>
      <c r="I42" s="187">
        <v>126825.16252492501</v>
      </c>
      <c r="J42" s="187">
        <v>4.3528720899886402</v>
      </c>
      <c r="K42" s="187">
        <v>86251.159899603794</v>
      </c>
      <c r="L42" s="187">
        <v>20261.1685373699</v>
      </c>
      <c r="M42" s="187">
        <v>8031.1705253188602</v>
      </c>
      <c r="N42" s="187">
        <v>65449.485586080897</v>
      </c>
      <c r="O42" s="187">
        <v>1495.3377985908701</v>
      </c>
      <c r="P42" s="187">
        <v>2652850.35416862</v>
      </c>
      <c r="Q42" s="187">
        <v>1618.43654597776</v>
      </c>
      <c r="R42" s="187">
        <v>17176.883836939502</v>
      </c>
      <c r="S42" s="187">
        <v>3908000</v>
      </c>
      <c r="T42" s="187"/>
      <c r="U42" s="188">
        <v>174761.56355407301</v>
      </c>
      <c r="V42" s="188">
        <v>8422.7052887846894</v>
      </c>
      <c r="W42" s="188">
        <v>34811.602963366699</v>
      </c>
      <c r="X42" s="188"/>
      <c r="Y42" s="187"/>
      <c r="Z42" s="178"/>
    </row>
    <row r="43" spans="1:26" x14ac:dyDescent="0.3">
      <c r="A43" s="184">
        <v>27</v>
      </c>
      <c r="B43" s="185">
        <v>42368</v>
      </c>
      <c r="C43" s="186" t="s">
        <v>535</v>
      </c>
      <c r="D43" s="186" t="s">
        <v>514</v>
      </c>
      <c r="E43" s="187">
        <v>558758.47358276905</v>
      </c>
      <c r="F43" s="187">
        <v>498994.928333989</v>
      </c>
      <c r="G43" s="187">
        <v>277992.006315212</v>
      </c>
      <c r="H43" s="187">
        <v>529.60673919010503</v>
      </c>
      <c r="I43" s="187">
        <v>182357.899005043</v>
      </c>
      <c r="J43" s="187">
        <v>4.3528720899886402</v>
      </c>
      <c r="K43" s="187">
        <v>96787.494738398003</v>
      </c>
      <c r="L43" s="187">
        <v>36102.9617636232</v>
      </c>
      <c r="M43" s="187">
        <v>3813.3269044817498</v>
      </c>
      <c r="N43" s="187">
        <v>71733.155309479407</v>
      </c>
      <c r="O43" s="187">
        <v>1479.81309897756</v>
      </c>
      <c r="P43" s="187">
        <v>2178915.8935269401</v>
      </c>
      <c r="Q43" s="187">
        <v>0</v>
      </c>
      <c r="R43" s="187">
        <v>530.08780980466202</v>
      </c>
      <c r="S43" s="187">
        <v>3908000</v>
      </c>
      <c r="T43" s="187"/>
      <c r="U43" s="188">
        <v>188725.47002341901</v>
      </c>
      <c r="V43" s="188">
        <v>12931.404906089399</v>
      </c>
      <c r="W43" s="188">
        <v>35442.397006010899</v>
      </c>
      <c r="X43" s="188"/>
      <c r="Y43" s="187"/>
      <c r="Z43" s="178"/>
    </row>
    <row r="44" spans="1:26" x14ac:dyDescent="0.3">
      <c r="A44" s="184">
        <v>29</v>
      </c>
      <c r="B44" s="185">
        <v>42361</v>
      </c>
      <c r="C44" s="186" t="s">
        <v>519</v>
      </c>
      <c r="D44" s="186" t="s">
        <v>514</v>
      </c>
      <c r="E44" s="187">
        <v>419449.49894848699</v>
      </c>
      <c r="F44" s="187">
        <v>364978.90936703701</v>
      </c>
      <c r="G44" s="187">
        <v>236208.585431129</v>
      </c>
      <c r="H44" s="187">
        <v>438.947201910724</v>
      </c>
      <c r="I44" s="187">
        <v>145031.79188374599</v>
      </c>
      <c r="J44" s="187">
        <v>4.3528720899886402</v>
      </c>
      <c r="K44" s="187">
        <v>82917.480510958994</v>
      </c>
      <c r="L44" s="187">
        <v>15917.887381897899</v>
      </c>
      <c r="M44" s="187">
        <v>1598.8783302578299</v>
      </c>
      <c r="N44" s="187">
        <v>67913.514119068699</v>
      </c>
      <c r="O44" s="187">
        <v>1290.0429867023199</v>
      </c>
      <c r="P44" s="187">
        <v>2552454.7905838001</v>
      </c>
      <c r="Q44" s="187">
        <v>1618.43654597776</v>
      </c>
      <c r="R44" s="187">
        <v>17176.883836939502</v>
      </c>
      <c r="S44" s="187">
        <v>3907000</v>
      </c>
      <c r="T44" s="187"/>
      <c r="U44" s="188">
        <v>199298.75820069501</v>
      </c>
      <c r="V44" s="188">
        <v>9474.6750602680495</v>
      </c>
      <c r="W44" s="188">
        <v>33927.514905275799</v>
      </c>
      <c r="X44" s="188"/>
      <c r="Y44" s="187"/>
      <c r="Z44" s="178"/>
    </row>
    <row r="45" spans="1:26" x14ac:dyDescent="0.3">
      <c r="A45" s="184">
        <v>30</v>
      </c>
      <c r="B45" s="185">
        <v>42354</v>
      </c>
      <c r="C45" s="186" t="s">
        <v>519</v>
      </c>
      <c r="D45" s="186" t="s">
        <v>514</v>
      </c>
      <c r="E45" s="187">
        <v>463749.551212419</v>
      </c>
      <c r="F45" s="187">
        <v>406966.81288784399</v>
      </c>
      <c r="G45" s="187">
        <v>267939.30937916797</v>
      </c>
      <c r="H45" s="187">
        <v>430.25936725251398</v>
      </c>
      <c r="I45" s="187">
        <v>164830.57692978601</v>
      </c>
      <c r="J45" s="187">
        <v>4.3528720899886402</v>
      </c>
      <c r="K45" s="187">
        <v>89831.428838694803</v>
      </c>
      <c r="L45" s="187">
        <v>17314.604307820398</v>
      </c>
      <c r="M45" s="187">
        <v>7610.2239438420202</v>
      </c>
      <c r="N45" s="187">
        <v>68088.300544913407</v>
      </c>
      <c r="O45" s="187">
        <v>1262.8521959411</v>
      </c>
      <c r="P45" s="187">
        <v>2400176.4071373101</v>
      </c>
      <c r="Q45" s="187">
        <v>1618.43654597776</v>
      </c>
      <c r="R45" s="187">
        <v>17176.883836939502</v>
      </c>
      <c r="S45" s="187">
        <v>3907000</v>
      </c>
      <c r="T45" s="187"/>
      <c r="U45" s="188">
        <v>205521.28468823299</v>
      </c>
      <c r="V45" s="188">
        <v>13224.728772488301</v>
      </c>
      <c r="W45" s="188">
        <v>28354.0294837908</v>
      </c>
      <c r="X45" s="188"/>
      <c r="Y45" s="187"/>
      <c r="Z45" s="178"/>
    </row>
    <row r="46" spans="1:26" x14ac:dyDescent="0.3">
      <c r="A46" s="184">
        <v>30</v>
      </c>
      <c r="B46" s="185">
        <v>42371</v>
      </c>
      <c r="C46" s="186" t="s">
        <v>513</v>
      </c>
      <c r="D46" s="186" t="s">
        <v>514</v>
      </c>
      <c r="E46" s="187">
        <v>415211.48128131498</v>
      </c>
      <c r="F46" s="187">
        <v>330111.93336863199</v>
      </c>
      <c r="G46" s="187">
        <v>163077.831725272</v>
      </c>
      <c r="H46" s="187">
        <v>478.859870474525</v>
      </c>
      <c r="I46" s="187">
        <v>125252.318959457</v>
      </c>
      <c r="J46" s="187">
        <v>3.7310332199902598</v>
      </c>
      <c r="K46" s="187">
        <v>74010.704723378294</v>
      </c>
      <c r="L46" s="187">
        <v>24426.089072663399</v>
      </c>
      <c r="M46" s="187">
        <v>3708.1106183010502</v>
      </c>
      <c r="N46" s="187">
        <v>61348.060828637703</v>
      </c>
      <c r="O46" s="187">
        <v>1603.3911537670299</v>
      </c>
      <c r="P46" s="187">
        <v>2688972.1669819602</v>
      </c>
      <c r="Q46" s="187">
        <v>1618.43654597776</v>
      </c>
      <c r="R46" s="187">
        <v>17176.883836939502</v>
      </c>
      <c r="S46" s="187">
        <v>3907000</v>
      </c>
      <c r="T46" s="187"/>
      <c r="U46" s="188">
        <v>183501.26150573499</v>
      </c>
      <c r="V46" s="188">
        <v>11844.3055344308</v>
      </c>
      <c r="W46" s="188">
        <v>34223.607716779399</v>
      </c>
      <c r="X46" s="188"/>
      <c r="Y46" s="187"/>
      <c r="Z46" s="178"/>
    </row>
    <row r="47" spans="1:26" x14ac:dyDescent="0.3">
      <c r="A47" s="184">
        <v>32</v>
      </c>
      <c r="B47" s="185">
        <v>42373</v>
      </c>
      <c r="C47" s="186" t="s">
        <v>529</v>
      </c>
      <c r="D47" s="186" t="s">
        <v>514</v>
      </c>
      <c r="E47" s="187">
        <v>411394.66665403999</v>
      </c>
      <c r="F47" s="187">
        <v>381574.647732527</v>
      </c>
      <c r="G47" s="187">
        <v>227242.37716812201</v>
      </c>
      <c r="H47" s="187">
        <v>493.881883984193</v>
      </c>
      <c r="I47" s="187">
        <v>164740.56140547001</v>
      </c>
      <c r="J47" s="187">
        <v>4.3528720899886402</v>
      </c>
      <c r="K47" s="187">
        <v>81872.4712671952</v>
      </c>
      <c r="L47" s="187">
        <v>20631.307557905599</v>
      </c>
      <c r="M47" s="187">
        <v>4063.50061279997</v>
      </c>
      <c r="N47" s="187">
        <v>61795.928143079203</v>
      </c>
      <c r="O47" s="187">
        <v>1540.5642115831799</v>
      </c>
      <c r="P47" s="187">
        <v>2527850.4201082899</v>
      </c>
      <c r="Q47" s="187">
        <v>1618.43654597776</v>
      </c>
      <c r="R47" s="187">
        <v>17176.883836939502</v>
      </c>
      <c r="S47" s="187">
        <v>3902000</v>
      </c>
      <c r="T47" s="187"/>
      <c r="U47" s="188">
        <v>207326.17276349</v>
      </c>
      <c r="V47" s="188">
        <v>13146.464834435399</v>
      </c>
      <c r="W47" s="188">
        <v>34757.158582356198</v>
      </c>
      <c r="X47" s="188"/>
      <c r="Y47" s="187"/>
      <c r="Z47" s="178"/>
    </row>
    <row r="48" spans="1:26" x14ac:dyDescent="0.3">
      <c r="A48" s="184">
        <v>33</v>
      </c>
      <c r="B48" s="185">
        <v>42368</v>
      </c>
      <c r="C48" s="186" t="s">
        <v>538</v>
      </c>
      <c r="D48" s="186" t="s">
        <v>514</v>
      </c>
      <c r="E48" s="187">
        <v>390905.99414618098</v>
      </c>
      <c r="F48" s="187">
        <v>347927.063936766</v>
      </c>
      <c r="G48" s="187">
        <v>224348.65258983299</v>
      </c>
      <c r="H48" s="187">
        <v>480.41908472354697</v>
      </c>
      <c r="I48" s="187">
        <v>151361.305355652</v>
      </c>
      <c r="J48" s="187">
        <v>3.7310332199902598</v>
      </c>
      <c r="K48" s="187">
        <v>76984.674362501901</v>
      </c>
      <c r="L48" s="187">
        <v>19358.394913080701</v>
      </c>
      <c r="M48" s="187">
        <v>3856.4680249184598</v>
      </c>
      <c r="N48" s="187">
        <v>64008.912394269202</v>
      </c>
      <c r="O48" s="187">
        <v>1634.9813397568</v>
      </c>
      <c r="P48" s="187">
        <v>2601334.0824361802</v>
      </c>
      <c r="Q48" s="187">
        <v>1618.43654597776</v>
      </c>
      <c r="R48" s="187">
        <v>17176.883836939502</v>
      </c>
      <c r="S48" s="187">
        <v>3901000</v>
      </c>
      <c r="T48" s="187"/>
      <c r="U48" s="188">
        <v>188921.562382092</v>
      </c>
      <c r="V48" s="188">
        <v>12611.256873323</v>
      </c>
      <c r="W48" s="188">
        <v>35312.474995357297</v>
      </c>
      <c r="X48" s="188"/>
      <c r="Y48" s="187"/>
      <c r="Z48" s="178"/>
    </row>
    <row r="49" spans="1:26" x14ac:dyDescent="0.3">
      <c r="A49" s="184">
        <v>34</v>
      </c>
      <c r="B49" s="185">
        <v>42372</v>
      </c>
      <c r="C49" s="186" t="s">
        <v>537</v>
      </c>
      <c r="D49" s="186" t="s">
        <v>514</v>
      </c>
      <c r="E49" s="187">
        <v>389930.78795882303</v>
      </c>
      <c r="F49" s="187">
        <v>341980.60139477701</v>
      </c>
      <c r="G49" s="187">
        <v>184032.62378975601</v>
      </c>
      <c r="H49" s="187">
        <v>246.56290702280401</v>
      </c>
      <c r="I49" s="187">
        <v>131356.90196322199</v>
      </c>
      <c r="J49" s="187">
        <v>4.3528720899886402</v>
      </c>
      <c r="K49" s="187">
        <v>80017.311145775602</v>
      </c>
      <c r="L49" s="187">
        <v>27499.9803152473</v>
      </c>
      <c r="M49" s="187">
        <v>3863.4105081978</v>
      </c>
      <c r="N49" s="187">
        <v>61246.773865932097</v>
      </c>
      <c r="O49" s="187">
        <v>1385.22113391837</v>
      </c>
      <c r="P49" s="187">
        <v>2675905.3843354299</v>
      </c>
      <c r="Q49" s="187">
        <v>0</v>
      </c>
      <c r="R49" s="187">
        <v>530.08780980466202</v>
      </c>
      <c r="S49" s="187">
        <v>3898000</v>
      </c>
      <c r="T49" s="187"/>
      <c r="U49" s="188">
        <v>184759.913371784</v>
      </c>
      <c r="V49" s="188">
        <v>11644.871434734299</v>
      </c>
      <c r="W49" s="188">
        <v>32822.628590626198</v>
      </c>
      <c r="X49" s="188"/>
      <c r="Y49" s="187"/>
      <c r="Z49" s="178"/>
    </row>
    <row r="50" spans="1:26" x14ac:dyDescent="0.3">
      <c r="A50" s="184">
        <v>35</v>
      </c>
      <c r="B50" s="185">
        <v>42355</v>
      </c>
      <c r="C50" s="186" t="s">
        <v>519</v>
      </c>
      <c r="D50" s="186" t="s">
        <v>514</v>
      </c>
      <c r="E50" s="187">
        <v>460554.80977186502</v>
      </c>
      <c r="F50" s="187">
        <v>398400.85703143</v>
      </c>
      <c r="G50" s="187">
        <v>259772.632429953</v>
      </c>
      <c r="H50" s="187">
        <v>439.07710401642498</v>
      </c>
      <c r="I50" s="187">
        <v>165050.69024808099</v>
      </c>
      <c r="J50" s="187">
        <v>4.3528720899886402</v>
      </c>
      <c r="K50" s="187">
        <v>88063.303889219198</v>
      </c>
      <c r="L50" s="187">
        <v>16225.8338235097</v>
      </c>
      <c r="M50" s="187">
        <v>10592.987573771699</v>
      </c>
      <c r="N50" s="187">
        <v>69837.1012319164</v>
      </c>
      <c r="O50" s="187">
        <v>1252.6947746615599</v>
      </c>
      <c r="P50" s="187">
        <v>2409010.33886657</v>
      </c>
      <c r="Q50" s="187">
        <v>1618.43654597776</v>
      </c>
      <c r="R50" s="187">
        <v>17176.883836939502</v>
      </c>
      <c r="S50" s="187">
        <v>3898000</v>
      </c>
      <c r="T50" s="187"/>
      <c r="U50" s="188">
        <v>200891.37652661401</v>
      </c>
      <c r="V50" s="188">
        <v>12702.2122607899</v>
      </c>
      <c r="W50" s="188">
        <v>28809.5701864027</v>
      </c>
      <c r="X50" s="188"/>
      <c r="Y50" s="187"/>
      <c r="Z50" s="178"/>
    </row>
    <row r="51" spans="1:26" x14ac:dyDescent="0.3">
      <c r="A51" s="184">
        <v>36</v>
      </c>
      <c r="B51" s="185">
        <v>42368</v>
      </c>
      <c r="C51" s="186" t="s">
        <v>536</v>
      </c>
      <c r="D51" s="186" t="s">
        <v>514</v>
      </c>
      <c r="E51" s="187">
        <v>581766.98626849602</v>
      </c>
      <c r="F51" s="187">
        <v>506164.28120519198</v>
      </c>
      <c r="G51" s="187">
        <v>294930.263682638</v>
      </c>
      <c r="H51" s="187">
        <v>488.29783517867997</v>
      </c>
      <c r="I51" s="187">
        <v>183359.367769976</v>
      </c>
      <c r="J51" s="187">
        <v>4.3528720899886402</v>
      </c>
      <c r="K51" s="187">
        <v>95232.7527959461</v>
      </c>
      <c r="L51" s="187">
        <v>32341.1146585067</v>
      </c>
      <c r="M51" s="187">
        <v>3744.61464328596</v>
      </c>
      <c r="N51" s="187">
        <v>71585.148704645602</v>
      </c>
      <c r="O51" s="187">
        <v>1397.46326999555</v>
      </c>
      <c r="P51" s="187">
        <v>2122455.2684842399</v>
      </c>
      <c r="Q51" s="187">
        <v>0</v>
      </c>
      <c r="R51" s="187">
        <v>530.08780980466202</v>
      </c>
      <c r="S51" s="187">
        <v>3894000</v>
      </c>
      <c r="T51" s="187"/>
      <c r="U51" s="188">
        <v>189793.65600691899</v>
      </c>
      <c r="V51" s="188">
        <v>12825.777622445499</v>
      </c>
      <c r="W51" s="188">
        <v>35215.781042383802</v>
      </c>
      <c r="X51" s="188"/>
      <c r="Y51" s="187"/>
      <c r="Z51" s="178"/>
    </row>
    <row r="52" spans="1:26" x14ac:dyDescent="0.3">
      <c r="A52" s="184">
        <v>36</v>
      </c>
      <c r="B52" s="185">
        <v>42371</v>
      </c>
      <c r="C52" s="186" t="s">
        <v>519</v>
      </c>
      <c r="D52" s="186" t="s">
        <v>514</v>
      </c>
      <c r="E52" s="187">
        <v>426705.775002476</v>
      </c>
      <c r="F52" s="187">
        <v>326811.744991488</v>
      </c>
      <c r="G52" s="187">
        <v>169827.96089608001</v>
      </c>
      <c r="H52" s="187">
        <v>469.376702583503</v>
      </c>
      <c r="I52" s="187">
        <v>125525.42261206399</v>
      </c>
      <c r="J52" s="187">
        <v>4.3528720899886402</v>
      </c>
      <c r="K52" s="187">
        <v>73750.359568937798</v>
      </c>
      <c r="L52" s="187">
        <v>23320.779791024201</v>
      </c>
      <c r="M52" s="187">
        <v>3865.7009169043299</v>
      </c>
      <c r="N52" s="187">
        <v>61886.802427375798</v>
      </c>
      <c r="O52" s="187">
        <v>1544.52027475055</v>
      </c>
      <c r="P52" s="187">
        <v>2661491.8835613099</v>
      </c>
      <c r="Q52" s="187">
        <v>1618.43654597776</v>
      </c>
      <c r="R52" s="187">
        <v>17176.883836939502</v>
      </c>
      <c r="S52" s="187">
        <v>3894000</v>
      </c>
      <c r="T52" s="187"/>
      <c r="U52" s="188">
        <v>182784.735367241</v>
      </c>
      <c r="V52" s="188">
        <v>11660.735746501699</v>
      </c>
      <c r="W52" s="188">
        <v>34462.408318637601</v>
      </c>
      <c r="X52" s="188"/>
      <c r="Y52" s="187"/>
      <c r="Z52" s="178"/>
    </row>
    <row r="53" spans="1:26" x14ac:dyDescent="0.3">
      <c r="A53" s="184">
        <v>38</v>
      </c>
      <c r="B53" s="185">
        <v>42338</v>
      </c>
      <c r="C53" s="186" t="s">
        <v>529</v>
      </c>
      <c r="D53" s="186" t="s">
        <v>514</v>
      </c>
      <c r="E53" s="187">
        <v>365386.79302031797</v>
      </c>
      <c r="F53" s="187">
        <v>363623.816194635</v>
      </c>
      <c r="G53" s="187">
        <v>221224.691879305</v>
      </c>
      <c r="H53" s="187">
        <v>273.18124198290297</v>
      </c>
      <c r="I53" s="187">
        <v>160164.22215681401</v>
      </c>
      <c r="J53" s="187">
        <v>4.3528720899886402</v>
      </c>
      <c r="K53" s="187">
        <v>78417.6669873754</v>
      </c>
      <c r="L53" s="187">
        <v>17231.797286283301</v>
      </c>
      <c r="M53" s="187">
        <v>7599.6168066322398</v>
      </c>
      <c r="N53" s="187">
        <v>67867.099834078501</v>
      </c>
      <c r="O53" s="187">
        <v>1587.1987501087699</v>
      </c>
      <c r="P53" s="187">
        <v>2588824.2425874602</v>
      </c>
      <c r="Q53" s="187">
        <v>1618.43654597776</v>
      </c>
      <c r="R53" s="187">
        <v>17176.883836939502</v>
      </c>
      <c r="S53" s="187">
        <v>3891000</v>
      </c>
      <c r="T53" s="187"/>
      <c r="U53" s="188">
        <v>188071.313321892</v>
      </c>
      <c r="V53" s="188">
        <v>12179.249889348999</v>
      </c>
      <c r="W53" s="188">
        <v>34168.715819840501</v>
      </c>
      <c r="X53" s="188"/>
      <c r="Y53" s="187"/>
      <c r="Z53" s="178"/>
    </row>
    <row r="54" spans="1:26" x14ac:dyDescent="0.3">
      <c r="A54" s="184">
        <v>39</v>
      </c>
      <c r="B54" s="185">
        <v>42380</v>
      </c>
      <c r="C54" s="186" t="s">
        <v>535</v>
      </c>
      <c r="D54" s="186" t="s">
        <v>514</v>
      </c>
      <c r="E54" s="187">
        <v>568641.90232331096</v>
      </c>
      <c r="F54" s="187">
        <v>553966.79541261296</v>
      </c>
      <c r="G54" s="187">
        <v>311187.15556531597</v>
      </c>
      <c r="H54" s="187">
        <v>254.22702110077401</v>
      </c>
      <c r="I54" s="187">
        <v>202880.411745836</v>
      </c>
      <c r="J54" s="187">
        <v>4.3528720899886402</v>
      </c>
      <c r="K54" s="187">
        <v>98963.275598428401</v>
      </c>
      <c r="L54" s="187">
        <v>57789.073020687101</v>
      </c>
      <c r="M54" s="187">
        <v>5099.1318135430301</v>
      </c>
      <c r="N54" s="187">
        <v>71048.005141596805</v>
      </c>
      <c r="O54" s="187">
        <v>1458.26062612946</v>
      </c>
      <c r="P54" s="187">
        <v>2018177.3210495401</v>
      </c>
      <c r="Q54" s="187">
        <v>0</v>
      </c>
      <c r="R54" s="187">
        <v>530.08780980466202</v>
      </c>
      <c r="S54" s="187">
        <v>3890000</v>
      </c>
      <c r="T54" s="187"/>
      <c r="U54" s="188">
        <v>217858.01019260901</v>
      </c>
      <c r="V54" s="188">
        <v>13416.3655111069</v>
      </c>
      <c r="W54" s="188">
        <v>34344.538725599799</v>
      </c>
      <c r="X54" s="188"/>
      <c r="Y54" s="187"/>
      <c r="Z54" s="178"/>
    </row>
    <row r="55" spans="1:26" x14ac:dyDescent="0.3">
      <c r="A55" s="184">
        <v>40</v>
      </c>
      <c r="B55" s="185">
        <v>42338</v>
      </c>
      <c r="C55" s="186" t="s">
        <v>539</v>
      </c>
      <c r="D55" s="186" t="s">
        <v>514</v>
      </c>
      <c r="E55" s="187">
        <v>503215.81847505103</v>
      </c>
      <c r="F55" s="187">
        <v>529280.36695172801</v>
      </c>
      <c r="G55" s="187">
        <v>297133.58059791301</v>
      </c>
      <c r="H55" s="187">
        <v>246.53046572948</v>
      </c>
      <c r="I55" s="187">
        <v>199128.14102294401</v>
      </c>
      <c r="J55" s="187">
        <v>4.3528720899886402</v>
      </c>
      <c r="K55" s="187">
        <v>99924.798334663501</v>
      </c>
      <c r="L55" s="187">
        <v>58076.9474465034</v>
      </c>
      <c r="M55" s="187">
        <v>7673.2763506341398</v>
      </c>
      <c r="N55" s="187">
        <v>68932.460353172399</v>
      </c>
      <c r="O55" s="187">
        <v>1688.0034827095899</v>
      </c>
      <c r="P55" s="187">
        <v>2103900.40326394</v>
      </c>
      <c r="Q55" s="187">
        <v>1618.43654597776</v>
      </c>
      <c r="R55" s="187">
        <v>17176.883836939502</v>
      </c>
      <c r="S55" s="187">
        <v>3888000</v>
      </c>
      <c r="T55" s="187"/>
      <c r="U55" s="188">
        <v>196644.51641767699</v>
      </c>
      <c r="V55" s="188">
        <v>10987.4045847001</v>
      </c>
      <c r="W55" s="188">
        <v>34497.751906160804</v>
      </c>
      <c r="X55" s="188"/>
      <c r="Y55" s="187"/>
      <c r="Z55" s="178"/>
    </row>
    <row r="56" spans="1:26" x14ac:dyDescent="0.3">
      <c r="A56" s="184">
        <v>41</v>
      </c>
      <c r="B56" s="185">
        <v>42372</v>
      </c>
      <c r="C56" s="186" t="s">
        <v>540</v>
      </c>
      <c r="D56" s="186" t="s">
        <v>514</v>
      </c>
      <c r="E56" s="187">
        <v>392271.53382831003</v>
      </c>
      <c r="F56" s="187">
        <v>342971.82216751197</v>
      </c>
      <c r="G56" s="187">
        <v>179634.77076708799</v>
      </c>
      <c r="H56" s="187">
        <v>320.75425403295202</v>
      </c>
      <c r="I56" s="187">
        <v>132747.86807393399</v>
      </c>
      <c r="J56" s="187">
        <v>4.3528720899886402</v>
      </c>
      <c r="K56" s="187">
        <v>79368.964836148996</v>
      </c>
      <c r="L56" s="187">
        <v>26256.2824324375</v>
      </c>
      <c r="M56" s="187">
        <v>3925.4347759705402</v>
      </c>
      <c r="N56" s="187">
        <v>61468.4020767603</v>
      </c>
      <c r="O56" s="187">
        <v>1352.9944027326301</v>
      </c>
      <c r="P56" s="187">
        <v>2666146.7317031799</v>
      </c>
      <c r="Q56" s="187">
        <v>0</v>
      </c>
      <c r="R56" s="187">
        <v>530.08780980466202</v>
      </c>
      <c r="S56" s="187">
        <v>3887000</v>
      </c>
      <c r="T56" s="187"/>
      <c r="U56" s="188">
        <v>184809.52403649001</v>
      </c>
      <c r="V56" s="188">
        <v>11450.8602337661</v>
      </c>
      <c r="W56" s="188">
        <v>33046.691679298499</v>
      </c>
      <c r="X56" s="188"/>
      <c r="Y56" s="187"/>
      <c r="Z56" s="178"/>
    </row>
    <row r="57" spans="1:26" x14ac:dyDescent="0.3">
      <c r="A57" s="184">
        <v>42</v>
      </c>
      <c r="B57" s="185">
        <v>42372</v>
      </c>
      <c r="C57" s="186" t="s">
        <v>541</v>
      </c>
      <c r="D57" s="186" t="s">
        <v>514</v>
      </c>
      <c r="E57" s="187">
        <v>397851.091738533</v>
      </c>
      <c r="F57" s="187">
        <v>331802.35642327002</v>
      </c>
      <c r="G57" s="187">
        <v>176216.77882236001</v>
      </c>
      <c r="H57" s="187">
        <v>297.49272403993598</v>
      </c>
      <c r="I57" s="187">
        <v>128059.71631653501</v>
      </c>
      <c r="J57" s="187">
        <v>4.3528720899886402</v>
      </c>
      <c r="K57" s="187">
        <v>78245.702728484903</v>
      </c>
      <c r="L57" s="187">
        <v>25062.576551092799</v>
      </c>
      <c r="M57" s="187">
        <v>3926.5545313381799</v>
      </c>
      <c r="N57" s="187">
        <v>61734.6633226064</v>
      </c>
      <c r="O57" s="187">
        <v>1328.3470060273801</v>
      </c>
      <c r="P57" s="187">
        <v>2679940.2791538201</v>
      </c>
      <c r="Q57" s="187">
        <v>0</v>
      </c>
      <c r="R57" s="187">
        <v>530.08780980466202</v>
      </c>
      <c r="S57" s="187">
        <v>3885000</v>
      </c>
      <c r="T57" s="187"/>
      <c r="U57" s="188">
        <v>186177.04261959399</v>
      </c>
      <c r="V57" s="188">
        <v>11727.7909780052</v>
      </c>
      <c r="W57" s="188">
        <v>32797.404965573704</v>
      </c>
      <c r="X57" s="188"/>
      <c r="Y57" s="187"/>
      <c r="Z57" s="178"/>
    </row>
    <row r="58" spans="1:26" x14ac:dyDescent="0.3">
      <c r="A58" s="184">
        <v>43</v>
      </c>
      <c r="B58" s="185">
        <v>42359</v>
      </c>
      <c r="C58" s="186" t="s">
        <v>513</v>
      </c>
      <c r="D58" s="186" t="s">
        <v>514</v>
      </c>
      <c r="E58" s="187">
        <v>405813.74083553598</v>
      </c>
      <c r="F58" s="187">
        <v>371354.15465246001</v>
      </c>
      <c r="G58" s="187">
        <v>240012.37591601201</v>
      </c>
      <c r="H58" s="187">
        <v>341.01856722281701</v>
      </c>
      <c r="I58" s="187">
        <v>150405.51194713201</v>
      </c>
      <c r="J58" s="187">
        <v>4.3528720899886402</v>
      </c>
      <c r="K58" s="187">
        <v>79571.5751025707</v>
      </c>
      <c r="L58" s="187">
        <v>14707.8078576517</v>
      </c>
      <c r="M58" s="187">
        <v>7661.9973602037799</v>
      </c>
      <c r="N58" s="187">
        <v>67676.210908485096</v>
      </c>
      <c r="O58" s="187">
        <v>1254.0477512534701</v>
      </c>
      <c r="P58" s="187">
        <v>2520401.88584647</v>
      </c>
      <c r="Q58" s="187">
        <v>1618.43654597776</v>
      </c>
      <c r="R58" s="187">
        <v>17176.883836939502</v>
      </c>
      <c r="S58" s="187">
        <v>3878000</v>
      </c>
      <c r="T58" s="187"/>
      <c r="U58" s="188">
        <v>207497.35804521499</v>
      </c>
      <c r="V58" s="188">
        <v>11949.569908981999</v>
      </c>
      <c r="W58" s="188">
        <v>28057.519668808502</v>
      </c>
      <c r="X58" s="188"/>
      <c r="Y58" s="187"/>
      <c r="Z58" s="178"/>
    </row>
    <row r="59" spans="1:26" x14ac:dyDescent="0.3">
      <c r="A59" s="184">
        <v>43</v>
      </c>
      <c r="B59" s="185">
        <v>42366</v>
      </c>
      <c r="C59" s="186" t="s">
        <v>519</v>
      </c>
      <c r="D59" s="186" t="s">
        <v>514</v>
      </c>
      <c r="E59" s="187">
        <v>434536.67625532602</v>
      </c>
      <c r="F59" s="187">
        <v>378062.54340487998</v>
      </c>
      <c r="G59" s="187">
        <v>240996.34089533699</v>
      </c>
      <c r="H59" s="187">
        <v>735.260963758804</v>
      </c>
      <c r="I59" s="187">
        <v>150992.93989148401</v>
      </c>
      <c r="J59" s="187">
        <v>4.3528720899886402</v>
      </c>
      <c r="K59" s="187">
        <v>85488.853181089595</v>
      </c>
      <c r="L59" s="187">
        <v>16039.6268113719</v>
      </c>
      <c r="M59" s="187">
        <v>3560.7406323260002</v>
      </c>
      <c r="N59" s="187">
        <v>66796.090207929999</v>
      </c>
      <c r="O59" s="187">
        <v>1390.03199558031</v>
      </c>
      <c r="P59" s="187">
        <v>2480601.2225059099</v>
      </c>
      <c r="Q59" s="187">
        <v>1618.43654597776</v>
      </c>
      <c r="R59" s="187">
        <v>17176.883836939502</v>
      </c>
      <c r="S59" s="187">
        <v>3878000</v>
      </c>
      <c r="T59" s="187"/>
      <c r="U59" s="188">
        <v>184892.476405102</v>
      </c>
      <c r="V59" s="188">
        <v>12505.017828636999</v>
      </c>
      <c r="W59" s="188">
        <v>35127.478013066902</v>
      </c>
      <c r="X59" s="188"/>
      <c r="Y59" s="187"/>
      <c r="Z59" s="178"/>
    </row>
    <row r="60" spans="1:26" x14ac:dyDescent="0.3">
      <c r="A60" s="184">
        <v>45</v>
      </c>
      <c r="B60" s="185">
        <v>42338</v>
      </c>
      <c r="C60" s="186" t="s">
        <v>527</v>
      </c>
      <c r="D60" s="186" t="s">
        <v>514</v>
      </c>
      <c r="E60" s="187">
        <v>472894.15304057702</v>
      </c>
      <c r="F60" s="187">
        <v>451366.45816932002</v>
      </c>
      <c r="G60" s="187">
        <v>251214.85235483799</v>
      </c>
      <c r="H60" s="187">
        <v>269.444462153198</v>
      </c>
      <c r="I60" s="187">
        <v>180473.26141911099</v>
      </c>
      <c r="J60" s="187">
        <v>4.9747109599870099</v>
      </c>
      <c r="K60" s="187">
        <v>93192.353530267501</v>
      </c>
      <c r="L60" s="187">
        <v>24536.615663724901</v>
      </c>
      <c r="M60" s="187">
        <v>7661.1117355039196</v>
      </c>
      <c r="N60" s="187">
        <v>73185.352429681196</v>
      </c>
      <c r="O60" s="187">
        <v>1412.88861670092</v>
      </c>
      <c r="P60" s="187">
        <v>2308821.4031394999</v>
      </c>
      <c r="Q60" s="187">
        <v>836.19275490068901</v>
      </c>
      <c r="R60" s="187">
        <v>9130.9379727563592</v>
      </c>
      <c r="S60" s="187">
        <v>3875000</v>
      </c>
      <c r="T60" s="187"/>
      <c r="U60" s="188">
        <v>190953.84962801999</v>
      </c>
      <c r="V60" s="188">
        <v>12598.9905459891</v>
      </c>
      <c r="W60" s="188">
        <v>34469.639769207097</v>
      </c>
      <c r="X60" s="188"/>
      <c r="Y60" s="187"/>
      <c r="Z60" s="178"/>
    </row>
    <row r="61" spans="1:26" x14ac:dyDescent="0.3">
      <c r="A61" s="184">
        <v>46</v>
      </c>
      <c r="B61" s="185">
        <v>42371</v>
      </c>
      <c r="C61" s="186" t="s">
        <v>536</v>
      </c>
      <c r="D61" s="186" t="s">
        <v>514</v>
      </c>
      <c r="E61" s="187">
        <v>417821.21753924602</v>
      </c>
      <c r="F61" s="187">
        <v>362170.375542277</v>
      </c>
      <c r="G61" s="187">
        <v>177119.22647541401</v>
      </c>
      <c r="H61" s="187">
        <v>477.73429505602797</v>
      </c>
      <c r="I61" s="187">
        <v>136342.254008338</v>
      </c>
      <c r="J61" s="187">
        <v>4.3528720899886402</v>
      </c>
      <c r="K61" s="187">
        <v>77886.152297424298</v>
      </c>
      <c r="L61" s="187">
        <v>29347.913819788399</v>
      </c>
      <c r="M61" s="187">
        <v>2056.0031897035401</v>
      </c>
      <c r="N61" s="187">
        <v>58929.041937804803</v>
      </c>
      <c r="O61" s="187">
        <v>1420.7217049702799</v>
      </c>
      <c r="P61" s="187">
        <v>2609894.9185080798</v>
      </c>
      <c r="Q61" s="187">
        <v>0</v>
      </c>
      <c r="R61" s="187">
        <v>530.08780980466202</v>
      </c>
      <c r="S61" s="187">
        <v>3874000</v>
      </c>
      <c r="T61" s="187"/>
      <c r="U61" s="188">
        <v>181998.09702807199</v>
      </c>
      <c r="V61" s="188">
        <v>11513.425761351</v>
      </c>
      <c r="W61" s="188">
        <v>33456.229778639201</v>
      </c>
      <c r="X61" s="188"/>
      <c r="Y61" s="187"/>
      <c r="Z61" s="178"/>
    </row>
    <row r="62" spans="1:26" x14ac:dyDescent="0.3">
      <c r="A62" s="184">
        <v>47</v>
      </c>
      <c r="B62" s="185">
        <v>42372</v>
      </c>
      <c r="C62" s="186" t="s">
        <v>536</v>
      </c>
      <c r="D62" s="186" t="s">
        <v>514</v>
      </c>
      <c r="E62" s="187">
        <v>416808.78585130099</v>
      </c>
      <c r="F62" s="187">
        <v>358562.77470897703</v>
      </c>
      <c r="G62" s="187">
        <v>185629.68646368201</v>
      </c>
      <c r="H62" s="187">
        <v>301.49181460546902</v>
      </c>
      <c r="I62" s="187">
        <v>138871.79050398699</v>
      </c>
      <c r="J62" s="187">
        <v>4.3528720899886402</v>
      </c>
      <c r="K62" s="187">
        <v>85857.695332199495</v>
      </c>
      <c r="L62" s="187">
        <v>31375.503223047199</v>
      </c>
      <c r="M62" s="187">
        <v>3866.8919294317202</v>
      </c>
      <c r="N62" s="187">
        <v>60865.423514738599</v>
      </c>
      <c r="O62" s="187">
        <v>1412.3811091231901</v>
      </c>
      <c r="P62" s="187">
        <v>2587913.1348670102</v>
      </c>
      <c r="Q62" s="187">
        <v>0</v>
      </c>
      <c r="R62" s="187">
        <v>530.08780980466202</v>
      </c>
      <c r="S62" s="187">
        <v>3872000</v>
      </c>
      <c r="T62" s="187"/>
      <c r="U62" s="188">
        <v>184078.47894423601</v>
      </c>
      <c r="V62" s="188">
        <v>11528.8234757136</v>
      </c>
      <c r="W62" s="188">
        <v>32508.085917894601</v>
      </c>
      <c r="X62" s="188"/>
      <c r="Y62" s="187"/>
      <c r="Z62" s="178"/>
    </row>
    <row r="63" spans="1:26" x14ac:dyDescent="0.3">
      <c r="A63" s="184">
        <v>48</v>
      </c>
      <c r="B63" s="185">
        <v>42373</v>
      </c>
      <c r="C63" s="186" t="s">
        <v>527</v>
      </c>
      <c r="D63" s="186" t="s">
        <v>514</v>
      </c>
      <c r="E63" s="187">
        <v>508556.28977106803</v>
      </c>
      <c r="F63" s="187">
        <v>466295.35477737</v>
      </c>
      <c r="G63" s="187">
        <v>255706.790493384</v>
      </c>
      <c r="H63" s="187">
        <v>546.93103086150495</v>
      </c>
      <c r="I63" s="187">
        <v>181645.39809005501</v>
      </c>
      <c r="J63" s="187">
        <v>4.3528720899886402</v>
      </c>
      <c r="K63" s="187">
        <v>95680.872625080796</v>
      </c>
      <c r="L63" s="187">
        <v>27543.149103502499</v>
      </c>
      <c r="M63" s="187">
        <v>3807.0257356402399</v>
      </c>
      <c r="N63" s="187">
        <v>68257.030720852505</v>
      </c>
      <c r="O63" s="187">
        <v>1499.73481096512</v>
      </c>
      <c r="P63" s="187">
        <v>2254534.15075874</v>
      </c>
      <c r="Q63" s="187">
        <v>566.45279109221497</v>
      </c>
      <c r="R63" s="187">
        <v>6356.4664193018698</v>
      </c>
      <c r="S63" s="187">
        <v>3871000</v>
      </c>
      <c r="T63" s="187"/>
      <c r="U63" s="188">
        <v>207005.36187980199</v>
      </c>
      <c r="V63" s="188">
        <v>13732.169003592</v>
      </c>
      <c r="W63" s="188">
        <v>35769.459953919803</v>
      </c>
      <c r="X63" s="188"/>
      <c r="Y63" s="187"/>
      <c r="Z63" s="178"/>
    </row>
    <row r="64" spans="1:26" x14ac:dyDescent="0.3">
      <c r="A64" s="184">
        <v>49</v>
      </c>
      <c r="B64" s="185">
        <v>42353</v>
      </c>
      <c r="C64" s="186" t="s">
        <v>513</v>
      </c>
      <c r="D64" s="186" t="s">
        <v>514</v>
      </c>
      <c r="E64" s="187">
        <v>437178.96307200298</v>
      </c>
      <c r="F64" s="187">
        <v>393334.68134720798</v>
      </c>
      <c r="G64" s="187">
        <v>254178.72368466799</v>
      </c>
      <c r="H64" s="187">
        <v>421.41838756223899</v>
      </c>
      <c r="I64" s="187">
        <v>166817.22876366199</v>
      </c>
      <c r="J64" s="187">
        <v>4.3528720899886402</v>
      </c>
      <c r="K64" s="187">
        <v>85903.215151153097</v>
      </c>
      <c r="L64" s="187">
        <v>15880.7524314699</v>
      </c>
      <c r="M64" s="187">
        <v>8706.3219344373902</v>
      </c>
      <c r="N64" s="187">
        <v>65286.394338625199</v>
      </c>
      <c r="O64" s="187">
        <v>1355.5916735281201</v>
      </c>
      <c r="P64" s="187">
        <v>2421137.0359606799</v>
      </c>
      <c r="Q64" s="187">
        <v>1618.43654597776</v>
      </c>
      <c r="R64" s="187">
        <v>17176.883836939502</v>
      </c>
      <c r="S64" s="187">
        <v>3869000</v>
      </c>
      <c r="T64" s="187"/>
      <c r="U64" s="188">
        <v>212450.18320364601</v>
      </c>
      <c r="V64" s="188">
        <v>12487.2041766</v>
      </c>
      <c r="W64" s="188">
        <v>28851.616342034598</v>
      </c>
      <c r="X64" s="188"/>
      <c r="Y64" s="187"/>
      <c r="Z64" s="178"/>
    </row>
    <row r="65" spans="1:26" x14ac:dyDescent="0.3">
      <c r="A65" s="184">
        <v>50</v>
      </c>
      <c r="B65" s="185">
        <v>42373</v>
      </c>
      <c r="C65" s="186" t="s">
        <v>535</v>
      </c>
      <c r="D65" s="186" t="s">
        <v>514</v>
      </c>
      <c r="E65" s="187">
        <v>593091.17370846798</v>
      </c>
      <c r="F65" s="187">
        <v>544517.74156553601</v>
      </c>
      <c r="G65" s="187">
        <v>293514.79200067098</v>
      </c>
      <c r="H65" s="187">
        <v>342.13864576622899</v>
      </c>
      <c r="I65" s="187">
        <v>203938.108467057</v>
      </c>
      <c r="J65" s="187">
        <v>4.3528720899886402</v>
      </c>
      <c r="K65" s="187">
        <v>103117.911917091</v>
      </c>
      <c r="L65" s="187">
        <v>54086.844826731103</v>
      </c>
      <c r="M65" s="187">
        <v>3788.2647434352298</v>
      </c>
      <c r="N65" s="187">
        <v>70041.731228724006</v>
      </c>
      <c r="O65" s="187">
        <v>1519.9019973325501</v>
      </c>
      <c r="P65" s="187">
        <v>1999506.9502172901</v>
      </c>
      <c r="Q65" s="187">
        <v>0</v>
      </c>
      <c r="R65" s="187">
        <v>530.08780980466202</v>
      </c>
      <c r="S65" s="187">
        <v>3868000</v>
      </c>
      <c r="T65" s="187"/>
      <c r="U65" s="188">
        <v>208471.50149920699</v>
      </c>
      <c r="V65" s="188">
        <v>12030.737119776701</v>
      </c>
      <c r="W65" s="188">
        <v>34646.510269071397</v>
      </c>
      <c r="X65" s="188"/>
      <c r="Y65" s="187"/>
      <c r="Z65" s="178"/>
    </row>
    <row r="66" spans="1:26" x14ac:dyDescent="0.3">
      <c r="A66" s="184">
        <v>51</v>
      </c>
      <c r="B66" s="185">
        <v>42380</v>
      </c>
      <c r="C66" s="186" t="s">
        <v>519</v>
      </c>
      <c r="D66" s="186" t="s">
        <v>514</v>
      </c>
      <c r="E66" s="187">
        <v>448246.44252664997</v>
      </c>
      <c r="F66" s="187">
        <v>410740.85699151998</v>
      </c>
      <c r="G66" s="187">
        <v>261770.79756342099</v>
      </c>
      <c r="H66" s="187">
        <v>346.41730957970202</v>
      </c>
      <c r="I66" s="187">
        <v>164132.70508346299</v>
      </c>
      <c r="J66" s="187">
        <v>4.3528720899886402</v>
      </c>
      <c r="K66" s="187">
        <v>89344.863887022599</v>
      </c>
      <c r="L66" s="187">
        <v>17374.019913596701</v>
      </c>
      <c r="M66" s="187">
        <v>3945.1526500351702</v>
      </c>
      <c r="N66" s="187">
        <v>68313.521791399704</v>
      </c>
      <c r="O66" s="187">
        <v>1474.2387950315399</v>
      </c>
      <c r="P66" s="187">
        <v>2380511.3102332698</v>
      </c>
      <c r="Q66" s="187">
        <v>1618.43654597776</v>
      </c>
      <c r="R66" s="187">
        <v>17176.883836939502</v>
      </c>
      <c r="S66" s="187">
        <v>3865000</v>
      </c>
      <c r="T66" s="187"/>
      <c r="U66" s="188">
        <v>211350.232557468</v>
      </c>
      <c r="V66" s="188">
        <v>13510.3485972902</v>
      </c>
      <c r="W66" s="188">
        <v>34729.209178467398</v>
      </c>
      <c r="X66" s="188"/>
      <c r="Y66" s="187"/>
      <c r="Z66" s="178"/>
    </row>
    <row r="67" spans="1:26" x14ac:dyDescent="0.3">
      <c r="A67" s="184">
        <v>52</v>
      </c>
      <c r="B67" s="185">
        <v>42374</v>
      </c>
      <c r="C67" s="186" t="s">
        <v>519</v>
      </c>
      <c r="D67" s="186" t="s">
        <v>514</v>
      </c>
      <c r="E67" s="187">
        <v>446697.78546472202</v>
      </c>
      <c r="F67" s="187">
        <v>407443.46329473</v>
      </c>
      <c r="G67" s="187">
        <v>264459.468525426</v>
      </c>
      <c r="H67" s="187">
        <v>377.89868967436598</v>
      </c>
      <c r="I67" s="187">
        <v>169282.29351833701</v>
      </c>
      <c r="J67" s="187">
        <v>3.7310332199902598</v>
      </c>
      <c r="K67" s="187">
        <v>90763.864753926202</v>
      </c>
      <c r="L67" s="187">
        <v>16991.976008534599</v>
      </c>
      <c r="M67" s="187">
        <v>3704.8633277349099</v>
      </c>
      <c r="N67" s="187">
        <v>72781.151185986993</v>
      </c>
      <c r="O67" s="187">
        <v>1461.0435980106099</v>
      </c>
      <c r="P67" s="187">
        <v>2371237.1402167799</v>
      </c>
      <c r="Q67" s="187">
        <v>1618.43654597776</v>
      </c>
      <c r="R67" s="187">
        <v>17176.883836939502</v>
      </c>
      <c r="S67" s="187">
        <v>3864000</v>
      </c>
      <c r="T67" s="187"/>
      <c r="U67" s="188">
        <v>207712.446119845</v>
      </c>
      <c r="V67" s="188">
        <v>14036.784527190001</v>
      </c>
      <c r="W67" s="188">
        <v>35627.068522171699</v>
      </c>
      <c r="X67" s="188"/>
      <c r="Y67" s="187"/>
      <c r="Z67" s="178"/>
    </row>
    <row r="68" spans="1:26" x14ac:dyDescent="0.3">
      <c r="A68" s="184">
        <v>53</v>
      </c>
      <c r="B68" s="185">
        <v>42354</v>
      </c>
      <c r="C68" s="186" t="s">
        <v>529</v>
      </c>
      <c r="D68" s="186" t="s">
        <v>514</v>
      </c>
      <c r="E68" s="187">
        <v>423736.96899419097</v>
      </c>
      <c r="F68" s="187">
        <v>386418.42200589599</v>
      </c>
      <c r="G68" s="187">
        <v>255341.89471247999</v>
      </c>
      <c r="H68" s="187">
        <v>480.57366725297697</v>
      </c>
      <c r="I68" s="187">
        <v>167671.75126113501</v>
      </c>
      <c r="J68" s="187">
        <v>4.3528720899886402</v>
      </c>
      <c r="K68" s="187">
        <v>83147.219934118999</v>
      </c>
      <c r="L68" s="187">
        <v>16207.4489544024</v>
      </c>
      <c r="M68" s="187">
        <v>7528.3189284966302</v>
      </c>
      <c r="N68" s="187">
        <v>63233.692049220401</v>
      </c>
      <c r="O68" s="187">
        <v>1329.7841498795201</v>
      </c>
      <c r="P68" s="187">
        <v>2435104.25208792</v>
      </c>
      <c r="Q68" s="187">
        <v>1618.43654597776</v>
      </c>
      <c r="R68" s="187">
        <v>17176.883836939502</v>
      </c>
      <c r="S68" s="187">
        <v>3859000</v>
      </c>
      <c r="T68" s="187"/>
      <c r="U68" s="188">
        <v>200594.536669597</v>
      </c>
      <c r="V68" s="188">
        <v>12865.490246020299</v>
      </c>
      <c r="W68" s="188">
        <v>28405.514157184301</v>
      </c>
      <c r="X68" s="188"/>
      <c r="Y68" s="187"/>
      <c r="Z68" s="178"/>
    </row>
    <row r="69" spans="1:26" x14ac:dyDescent="0.3">
      <c r="A69" s="184">
        <v>54</v>
      </c>
      <c r="B69" s="185">
        <v>42367</v>
      </c>
      <c r="C69" s="186" t="s">
        <v>519</v>
      </c>
      <c r="D69" s="186" t="s">
        <v>514</v>
      </c>
      <c r="E69" s="187">
        <v>430355.36696214997</v>
      </c>
      <c r="F69" s="187">
        <v>383739.64368038601</v>
      </c>
      <c r="G69" s="187">
        <v>250097.67491874701</v>
      </c>
      <c r="H69" s="187">
        <v>525.04633947196396</v>
      </c>
      <c r="I69" s="187">
        <v>149427.46999998801</v>
      </c>
      <c r="J69" s="187">
        <v>4.3528720899886402</v>
      </c>
      <c r="K69" s="187">
        <v>84660.455940242697</v>
      </c>
      <c r="L69" s="187">
        <v>17157.996612633498</v>
      </c>
      <c r="M69" s="187">
        <v>3688.9322627317301</v>
      </c>
      <c r="N69" s="187">
        <v>63184.193657135504</v>
      </c>
      <c r="O69" s="187">
        <v>1476.8749184682699</v>
      </c>
      <c r="P69" s="187">
        <v>2455886.6714530401</v>
      </c>
      <c r="Q69" s="187">
        <v>1618.43654597776</v>
      </c>
      <c r="R69" s="187">
        <v>17176.883836939502</v>
      </c>
      <c r="S69" s="187">
        <v>3859000</v>
      </c>
      <c r="T69" s="187"/>
      <c r="U69" s="188">
        <v>187987.89292814099</v>
      </c>
      <c r="V69" s="188">
        <v>12958.851202330299</v>
      </c>
      <c r="W69" s="188">
        <v>34826.116718588499</v>
      </c>
      <c r="X69" s="188"/>
      <c r="Y69" s="187"/>
      <c r="Z69" s="178"/>
    </row>
    <row r="70" spans="1:26" x14ac:dyDescent="0.3">
      <c r="A70" s="184">
        <v>55</v>
      </c>
      <c r="B70" s="185">
        <v>42367</v>
      </c>
      <c r="C70" s="186" t="s">
        <v>513</v>
      </c>
      <c r="D70" s="186" t="s">
        <v>514</v>
      </c>
      <c r="E70" s="187">
        <v>411529.40278551698</v>
      </c>
      <c r="F70" s="187">
        <v>373292.78969681897</v>
      </c>
      <c r="G70" s="187">
        <v>234070.24583467201</v>
      </c>
      <c r="H70" s="187">
        <v>586.27176286056704</v>
      </c>
      <c r="I70" s="187">
        <v>149598.454144494</v>
      </c>
      <c r="J70" s="187">
        <v>4.3528720899886402</v>
      </c>
      <c r="K70" s="187">
        <v>78856.492454580701</v>
      </c>
      <c r="L70" s="187">
        <v>16805.105140705102</v>
      </c>
      <c r="M70" s="187">
        <v>3677.8263254036401</v>
      </c>
      <c r="N70" s="187">
        <v>59746.829067903796</v>
      </c>
      <c r="O70" s="187">
        <v>1489.3445161623299</v>
      </c>
      <c r="P70" s="187">
        <v>2510547.5650158701</v>
      </c>
      <c r="Q70" s="187">
        <v>1618.43654597776</v>
      </c>
      <c r="R70" s="187">
        <v>17176.883836939502</v>
      </c>
      <c r="S70" s="187">
        <v>3859000</v>
      </c>
      <c r="T70" s="187"/>
      <c r="U70" s="188">
        <v>189605.47937776701</v>
      </c>
      <c r="V70" s="188">
        <v>13067.143275598</v>
      </c>
      <c r="W70" s="188">
        <v>34774.682899277803</v>
      </c>
      <c r="X70" s="188"/>
      <c r="Y70" s="187"/>
      <c r="Z70" s="178"/>
    </row>
    <row r="71" spans="1:26" x14ac:dyDescent="0.3">
      <c r="A71" s="184">
        <v>56</v>
      </c>
      <c r="B71" s="185">
        <v>42371</v>
      </c>
      <c r="C71" s="186" t="s">
        <v>529</v>
      </c>
      <c r="D71" s="186" t="s">
        <v>514</v>
      </c>
      <c r="E71" s="187">
        <v>428705.13205331803</v>
      </c>
      <c r="F71" s="187">
        <v>341390.67400349199</v>
      </c>
      <c r="G71" s="187">
        <v>167143.416106435</v>
      </c>
      <c r="H71" s="187">
        <v>558.13396455464999</v>
      </c>
      <c r="I71" s="187">
        <v>133135.32636273699</v>
      </c>
      <c r="J71" s="187">
        <v>4.3528720899886402</v>
      </c>
      <c r="K71" s="187">
        <v>77721.886064919905</v>
      </c>
      <c r="L71" s="187">
        <v>26025.160681253401</v>
      </c>
      <c r="M71" s="187">
        <v>1827.0539353991401</v>
      </c>
      <c r="N71" s="187">
        <v>62085.274388565202</v>
      </c>
      <c r="O71" s="187">
        <v>1428.7960673339801</v>
      </c>
      <c r="P71" s="187">
        <v>2591179.4731169799</v>
      </c>
      <c r="Q71" s="187">
        <v>1618.43654597776</v>
      </c>
      <c r="R71" s="187">
        <v>17176.883836939502</v>
      </c>
      <c r="S71" s="187">
        <v>3850000</v>
      </c>
      <c r="T71" s="187"/>
      <c r="U71" s="188">
        <v>185516.60827653299</v>
      </c>
      <c r="V71" s="188">
        <v>12034.407686028801</v>
      </c>
      <c r="W71" s="188">
        <v>34048.100106333302</v>
      </c>
      <c r="X71" s="188"/>
      <c r="Y71" s="187"/>
      <c r="Z71" s="178"/>
    </row>
    <row r="72" spans="1:26" x14ac:dyDescent="0.3">
      <c r="A72" s="184">
        <v>57</v>
      </c>
      <c r="B72" s="185">
        <v>42355</v>
      </c>
      <c r="C72" s="186" t="s">
        <v>513</v>
      </c>
      <c r="D72" s="186" t="s">
        <v>514</v>
      </c>
      <c r="E72" s="187">
        <v>431084.05639856501</v>
      </c>
      <c r="F72" s="187">
        <v>391481.63105062599</v>
      </c>
      <c r="G72" s="187">
        <v>256222.23183805301</v>
      </c>
      <c r="H72" s="187">
        <v>420.14330879400001</v>
      </c>
      <c r="I72" s="187">
        <v>165881.09785958199</v>
      </c>
      <c r="J72" s="187">
        <v>4.3528720899886402</v>
      </c>
      <c r="K72" s="187">
        <v>84062.140799730303</v>
      </c>
      <c r="L72" s="187">
        <v>15267.3444092348</v>
      </c>
      <c r="M72" s="187">
        <v>10603.075551674699</v>
      </c>
      <c r="N72" s="187">
        <v>66610.595925109505</v>
      </c>
      <c r="O72" s="187">
        <v>1302.45200335496</v>
      </c>
      <c r="P72" s="187">
        <v>2408265.55760027</v>
      </c>
      <c r="Q72" s="187">
        <v>1618.43654597776</v>
      </c>
      <c r="R72" s="187">
        <v>17176.883836939502</v>
      </c>
      <c r="S72" s="187">
        <v>3850000</v>
      </c>
      <c r="T72" s="187"/>
      <c r="U72" s="188">
        <v>200784.14789754499</v>
      </c>
      <c r="V72" s="188">
        <v>12017.0606313968</v>
      </c>
      <c r="W72" s="188">
        <v>28427.371241957699</v>
      </c>
      <c r="X72" s="188"/>
      <c r="Y72" s="187"/>
      <c r="Z72" s="178"/>
    </row>
    <row r="73" spans="1:26" x14ac:dyDescent="0.3">
      <c r="A73" s="184">
        <v>58</v>
      </c>
      <c r="B73" s="185">
        <v>42374</v>
      </c>
      <c r="C73" s="186" t="s">
        <v>513</v>
      </c>
      <c r="D73" s="186" t="s">
        <v>514</v>
      </c>
      <c r="E73" s="187">
        <v>425111.58259244898</v>
      </c>
      <c r="F73" s="187">
        <v>390027.65192545397</v>
      </c>
      <c r="G73" s="187">
        <v>250047.784357489</v>
      </c>
      <c r="H73" s="187">
        <v>443.44320997891703</v>
      </c>
      <c r="I73" s="187">
        <v>169637.49995547099</v>
      </c>
      <c r="J73" s="187">
        <v>4.3528720899886402</v>
      </c>
      <c r="K73" s="187">
        <v>85098.517390596404</v>
      </c>
      <c r="L73" s="187">
        <v>15105.9261805646</v>
      </c>
      <c r="M73" s="187">
        <v>4874.7837358401903</v>
      </c>
      <c r="N73" s="187">
        <v>70984.663892584998</v>
      </c>
      <c r="O73" s="187">
        <v>1479.6799418485</v>
      </c>
      <c r="P73" s="187">
        <v>2417388.7935627201</v>
      </c>
      <c r="Q73" s="187">
        <v>1618.43654597776</v>
      </c>
      <c r="R73" s="187">
        <v>17176.883836939502</v>
      </c>
      <c r="S73" s="187">
        <v>3849000</v>
      </c>
      <c r="T73" s="187"/>
      <c r="U73" s="188">
        <v>207943.365653516</v>
      </c>
      <c r="V73" s="188">
        <v>13574.3553924148</v>
      </c>
      <c r="W73" s="188">
        <v>36033.3214477656</v>
      </c>
      <c r="X73" s="188"/>
      <c r="Y73" s="187"/>
      <c r="Z73" s="178"/>
    </row>
    <row r="74" spans="1:26" x14ac:dyDescent="0.3">
      <c r="A74" s="184">
        <v>59</v>
      </c>
      <c r="B74" s="185">
        <v>42338</v>
      </c>
      <c r="C74" s="186" t="s">
        <v>541</v>
      </c>
      <c r="D74" s="186" t="s">
        <v>514</v>
      </c>
      <c r="E74" s="187">
        <v>507032.14859309199</v>
      </c>
      <c r="F74" s="187">
        <v>507012.13283075899</v>
      </c>
      <c r="G74" s="187">
        <v>282630.63060680398</v>
      </c>
      <c r="H74" s="187">
        <v>212.30007933290901</v>
      </c>
      <c r="I74" s="187">
        <v>202438.088585566</v>
      </c>
      <c r="J74" s="187">
        <v>3.7310332199902598</v>
      </c>
      <c r="K74" s="187">
        <v>92788.397458631007</v>
      </c>
      <c r="L74" s="187">
        <v>46049.860851097597</v>
      </c>
      <c r="M74" s="187">
        <v>8773.2833054219791</v>
      </c>
      <c r="N74" s="187">
        <v>71517.257634276204</v>
      </c>
      <c r="O74" s="187">
        <v>1458.87629105982</v>
      </c>
      <c r="P74" s="187">
        <v>2126553.2049209299</v>
      </c>
      <c r="Q74" s="187">
        <v>0</v>
      </c>
      <c r="R74" s="187">
        <v>530.08780980466202</v>
      </c>
      <c r="S74" s="187">
        <v>3847000</v>
      </c>
      <c r="T74" s="187"/>
      <c r="U74" s="188">
        <v>194637.248167752</v>
      </c>
      <c r="V74" s="188">
        <v>11720.387632513701</v>
      </c>
      <c r="W74" s="188">
        <v>34141.030857182101</v>
      </c>
      <c r="X74" s="188"/>
      <c r="Y74" s="187"/>
      <c r="Z74" s="178"/>
    </row>
    <row r="75" spans="1:26" x14ac:dyDescent="0.3">
      <c r="A75" s="184">
        <v>60</v>
      </c>
      <c r="B75" s="185">
        <v>42369</v>
      </c>
      <c r="C75" s="186" t="s">
        <v>529</v>
      </c>
      <c r="D75" s="186" t="s">
        <v>514</v>
      </c>
      <c r="E75" s="187">
        <v>403667.149382987</v>
      </c>
      <c r="F75" s="187">
        <v>336264.19417713297</v>
      </c>
      <c r="G75" s="187">
        <v>187133.75465387999</v>
      </c>
      <c r="H75" s="187">
        <v>545.06296902333395</v>
      </c>
      <c r="I75" s="187">
        <v>133803.59945337899</v>
      </c>
      <c r="J75" s="187">
        <v>3.7310332199902598</v>
      </c>
      <c r="K75" s="187">
        <v>80089.766733062803</v>
      </c>
      <c r="L75" s="187">
        <v>21836.3762557025</v>
      </c>
      <c r="M75" s="187">
        <v>3691.64003480256</v>
      </c>
      <c r="N75" s="187">
        <v>60054.720670243303</v>
      </c>
      <c r="O75" s="187">
        <v>1610.00175700772</v>
      </c>
      <c r="P75" s="187">
        <v>2595504.6824966399</v>
      </c>
      <c r="Q75" s="187">
        <v>1618.43654597776</v>
      </c>
      <c r="R75" s="187">
        <v>17176.883836939502</v>
      </c>
      <c r="S75" s="187">
        <v>3843000</v>
      </c>
      <c r="T75" s="187"/>
      <c r="U75" s="188">
        <v>184308.11649600501</v>
      </c>
      <c r="V75" s="188">
        <v>11367.277085297001</v>
      </c>
      <c r="W75" s="188">
        <v>35143.395340973002</v>
      </c>
      <c r="X75" s="188"/>
      <c r="Y75" s="187"/>
      <c r="Z75" s="178"/>
    </row>
    <row r="76" spans="1:26" x14ac:dyDescent="0.3">
      <c r="A76" s="184">
        <v>61</v>
      </c>
      <c r="B76" s="185">
        <v>42352</v>
      </c>
      <c r="C76" s="186" t="s">
        <v>513</v>
      </c>
      <c r="D76" s="186" t="s">
        <v>514</v>
      </c>
      <c r="E76" s="187">
        <v>415133.70131531497</v>
      </c>
      <c r="F76" s="187">
        <v>391050.76458620903</v>
      </c>
      <c r="G76" s="187">
        <v>251242.86199470499</v>
      </c>
      <c r="H76" s="187">
        <v>465.246715558007</v>
      </c>
      <c r="I76" s="187">
        <v>161073.23561434701</v>
      </c>
      <c r="J76" s="187">
        <v>4.3528720899886402</v>
      </c>
      <c r="K76" s="187">
        <v>84904.925238279902</v>
      </c>
      <c r="L76" s="187">
        <v>16732.827644207398</v>
      </c>
      <c r="M76" s="187">
        <v>5610.9821716833403</v>
      </c>
      <c r="N76" s="187">
        <v>63928.990252658899</v>
      </c>
      <c r="O76" s="187">
        <v>1317.8698783985501</v>
      </c>
      <c r="P76" s="187">
        <v>2432738.9213336301</v>
      </c>
      <c r="Q76" s="187">
        <v>1618.43654597776</v>
      </c>
      <c r="R76" s="187">
        <v>17176.883836939502</v>
      </c>
      <c r="S76" s="187">
        <v>3843000</v>
      </c>
      <c r="T76" s="187"/>
      <c r="U76" s="188">
        <v>207483.764967272</v>
      </c>
      <c r="V76" s="188">
        <v>12401.619843705401</v>
      </c>
      <c r="W76" s="188">
        <v>28664.290242753399</v>
      </c>
      <c r="X76" s="188"/>
      <c r="Y76" s="187"/>
      <c r="Z76" s="178"/>
    </row>
    <row r="77" spans="1:26" x14ac:dyDescent="0.3">
      <c r="A77" s="184">
        <v>62</v>
      </c>
      <c r="B77" s="185">
        <v>42373</v>
      </c>
      <c r="C77" s="186" t="s">
        <v>516</v>
      </c>
      <c r="D77" s="186" t="s">
        <v>514</v>
      </c>
      <c r="E77" s="187">
        <v>546604.61324022</v>
      </c>
      <c r="F77" s="187">
        <v>514867.42816678598</v>
      </c>
      <c r="G77" s="187">
        <v>285129.18588222499</v>
      </c>
      <c r="H77" s="187">
        <v>349.79259464954299</v>
      </c>
      <c r="I77" s="187">
        <v>196004.01937982999</v>
      </c>
      <c r="J77" s="187">
        <v>3.7310332199902598</v>
      </c>
      <c r="K77" s="187">
        <v>99908.672526801805</v>
      </c>
      <c r="L77" s="187">
        <v>55874.976171203904</v>
      </c>
      <c r="M77" s="187">
        <v>3714.9920240148799</v>
      </c>
      <c r="N77" s="187">
        <v>68867.419282758507</v>
      </c>
      <c r="O77" s="187">
        <v>1572.9614985942201</v>
      </c>
      <c r="P77" s="187">
        <v>2053655.51378243</v>
      </c>
      <c r="Q77" s="187">
        <v>1321.7231797546499</v>
      </c>
      <c r="R77" s="187">
        <v>14124.971237513701</v>
      </c>
      <c r="S77" s="187">
        <v>3842000</v>
      </c>
      <c r="T77" s="187"/>
      <c r="U77" s="188">
        <v>209546.636638572</v>
      </c>
      <c r="V77" s="188">
        <v>12039.3432496898</v>
      </c>
      <c r="W77" s="188">
        <v>34419.1213233862</v>
      </c>
      <c r="X77" s="188"/>
      <c r="Y77" s="187"/>
      <c r="Z77" s="178"/>
    </row>
    <row r="78" spans="1:26" x14ac:dyDescent="0.3">
      <c r="A78" s="184">
        <v>63</v>
      </c>
      <c r="B78" s="185">
        <v>42371</v>
      </c>
      <c r="C78" s="186" t="s">
        <v>537</v>
      </c>
      <c r="D78" s="186" t="s">
        <v>514</v>
      </c>
      <c r="E78" s="187">
        <v>414783.212265971</v>
      </c>
      <c r="F78" s="187">
        <v>352886.55416167999</v>
      </c>
      <c r="G78" s="187">
        <v>173419.335878171</v>
      </c>
      <c r="H78" s="187">
        <v>424.29899310748402</v>
      </c>
      <c r="I78" s="187">
        <v>132724.49587850299</v>
      </c>
      <c r="J78" s="187">
        <v>4.3528720899886402</v>
      </c>
      <c r="K78" s="187">
        <v>75181.628740487795</v>
      </c>
      <c r="L78" s="187">
        <v>26150.013033999501</v>
      </c>
      <c r="M78" s="187">
        <v>1761.4464504499699</v>
      </c>
      <c r="N78" s="187">
        <v>59214.7849690613</v>
      </c>
      <c r="O78" s="187">
        <v>1381.58954280889</v>
      </c>
      <c r="P78" s="187">
        <v>2599538.1994038699</v>
      </c>
      <c r="Q78" s="187">
        <v>0</v>
      </c>
      <c r="R78" s="187">
        <v>530.08780980466202</v>
      </c>
      <c r="S78" s="187">
        <v>3838000</v>
      </c>
      <c r="T78" s="187"/>
      <c r="U78" s="188">
        <v>181746.17740991499</v>
      </c>
      <c r="V78" s="188">
        <v>11641.325294456799</v>
      </c>
      <c r="W78" s="188">
        <v>33978.908041320297</v>
      </c>
      <c r="X78" s="188"/>
      <c r="Y78" s="187"/>
      <c r="Z78" s="178"/>
    </row>
    <row r="79" spans="1:26" x14ac:dyDescent="0.3">
      <c r="A79" s="184">
        <v>64</v>
      </c>
      <c r="B79" s="185">
        <v>42361</v>
      </c>
      <c r="C79" s="186" t="s">
        <v>513</v>
      </c>
      <c r="D79" s="186" t="s">
        <v>514</v>
      </c>
      <c r="E79" s="187">
        <v>397077.34374337201</v>
      </c>
      <c r="F79" s="187">
        <v>356626.61284058198</v>
      </c>
      <c r="G79" s="187">
        <v>222660.096447599</v>
      </c>
      <c r="H79" s="187">
        <v>345.50242874328399</v>
      </c>
      <c r="I79" s="187">
        <v>144224.040502713</v>
      </c>
      <c r="J79" s="187">
        <v>4.3528720899886402</v>
      </c>
      <c r="K79" s="187">
        <v>77579.985744607999</v>
      </c>
      <c r="L79" s="187">
        <v>14630.065204402001</v>
      </c>
      <c r="M79" s="187">
        <v>1589.7472342144799</v>
      </c>
      <c r="N79" s="187">
        <v>66031.2825412901</v>
      </c>
      <c r="O79" s="187">
        <v>1405.3791927422301</v>
      </c>
      <c r="P79" s="187">
        <v>2535030.2708647298</v>
      </c>
      <c r="Q79" s="187">
        <v>1618.43654597776</v>
      </c>
      <c r="R79" s="187">
        <v>17176.883836939502</v>
      </c>
      <c r="S79" s="187">
        <v>3836000</v>
      </c>
      <c r="T79" s="187"/>
      <c r="U79" s="188">
        <v>198076.825959118</v>
      </c>
      <c r="V79" s="188">
        <v>8629.6671599473593</v>
      </c>
      <c r="W79" s="188">
        <v>33811.740500448002</v>
      </c>
      <c r="X79" s="188"/>
      <c r="Y79" s="187"/>
      <c r="Z79" s="178"/>
    </row>
    <row r="80" spans="1:26" x14ac:dyDescent="0.3">
      <c r="A80" s="184">
        <v>65</v>
      </c>
      <c r="B80" s="185">
        <v>42372</v>
      </c>
      <c r="C80" s="186" t="s">
        <v>542</v>
      </c>
      <c r="D80" s="186" t="s">
        <v>514</v>
      </c>
      <c r="E80" s="187">
        <v>398424.313557013</v>
      </c>
      <c r="F80" s="187">
        <v>323788.00963615702</v>
      </c>
      <c r="G80" s="187">
        <v>185517.296009538</v>
      </c>
      <c r="H80" s="187">
        <v>292.38286009526502</v>
      </c>
      <c r="I80" s="187">
        <v>130640.598050225</v>
      </c>
      <c r="J80" s="187">
        <v>4.3528720899886402</v>
      </c>
      <c r="K80" s="187">
        <v>79976.105758451202</v>
      </c>
      <c r="L80" s="187">
        <v>24686.4733227291</v>
      </c>
      <c r="M80" s="187">
        <v>3924.9766942292399</v>
      </c>
      <c r="N80" s="187">
        <v>61614.159217343498</v>
      </c>
      <c r="O80" s="187">
        <v>1287.12241508241</v>
      </c>
      <c r="P80" s="187">
        <v>2622314.1217972399</v>
      </c>
      <c r="Q80" s="187">
        <v>0</v>
      </c>
      <c r="R80" s="187">
        <v>530.08780980466202</v>
      </c>
      <c r="S80" s="187">
        <v>3833000</v>
      </c>
      <c r="T80" s="187"/>
      <c r="U80" s="188">
        <v>184235.52172720301</v>
      </c>
      <c r="V80" s="188">
        <v>11430.5995375611</v>
      </c>
      <c r="W80" s="188">
        <v>32756.447087313001</v>
      </c>
      <c r="X80" s="188"/>
      <c r="Y80" s="187"/>
      <c r="Z80" s="178"/>
    </row>
    <row r="81" spans="1:26" x14ac:dyDescent="0.3">
      <c r="A81" s="184">
        <v>66</v>
      </c>
      <c r="B81" s="185">
        <v>42366</v>
      </c>
      <c r="C81" s="186" t="s">
        <v>513</v>
      </c>
      <c r="D81" s="186" t="s">
        <v>514</v>
      </c>
      <c r="E81" s="187">
        <v>414681.94754197402</v>
      </c>
      <c r="F81" s="187">
        <v>375196.60301580298</v>
      </c>
      <c r="G81" s="187">
        <v>236331.168605479</v>
      </c>
      <c r="H81" s="187">
        <v>621.96803791445404</v>
      </c>
      <c r="I81" s="187">
        <v>156867.54982176499</v>
      </c>
      <c r="J81" s="187">
        <v>4.3528720899886402</v>
      </c>
      <c r="K81" s="187">
        <v>80975.764621015405</v>
      </c>
      <c r="L81" s="187">
        <v>15345.975811247499</v>
      </c>
      <c r="M81" s="187">
        <v>3549.0951765026002</v>
      </c>
      <c r="N81" s="187">
        <v>64863.800416646598</v>
      </c>
      <c r="O81" s="187">
        <v>1417.4045294658199</v>
      </c>
      <c r="P81" s="187">
        <v>2463349.04916718</v>
      </c>
      <c r="Q81" s="187">
        <v>1618.43654597776</v>
      </c>
      <c r="R81" s="187">
        <v>17176.883836939502</v>
      </c>
      <c r="S81" s="187">
        <v>3832000</v>
      </c>
      <c r="T81" s="187"/>
      <c r="U81" s="188">
        <v>184962.47668672301</v>
      </c>
      <c r="V81" s="188">
        <v>12394.4238748383</v>
      </c>
      <c r="W81" s="188">
        <v>34832.320916686098</v>
      </c>
      <c r="X81" s="188"/>
      <c r="Y81" s="187"/>
      <c r="Z81" s="178"/>
    </row>
    <row r="82" spans="1:26" x14ac:dyDescent="0.3">
      <c r="A82" s="184">
        <v>67</v>
      </c>
      <c r="B82" s="185">
        <v>42373</v>
      </c>
      <c r="C82" s="186" t="s">
        <v>536</v>
      </c>
      <c r="D82" s="186" t="s">
        <v>514</v>
      </c>
      <c r="E82" s="187">
        <v>586253.48456393799</v>
      </c>
      <c r="F82" s="187">
        <v>536685.34596680605</v>
      </c>
      <c r="G82" s="187">
        <v>290569.666571585</v>
      </c>
      <c r="H82" s="187">
        <v>327.46212195663799</v>
      </c>
      <c r="I82" s="187">
        <v>202126.153089425</v>
      </c>
      <c r="J82" s="187">
        <v>4.3528720899886402</v>
      </c>
      <c r="K82" s="187">
        <v>99898.565471467402</v>
      </c>
      <c r="L82" s="187">
        <v>54910.7683041563</v>
      </c>
      <c r="M82" s="187">
        <v>3918.25816202343</v>
      </c>
      <c r="N82" s="187">
        <v>70594.295327246495</v>
      </c>
      <c r="O82" s="187">
        <v>1478.31965514426</v>
      </c>
      <c r="P82" s="187">
        <v>1978703.2400843599</v>
      </c>
      <c r="Q82" s="187">
        <v>0</v>
      </c>
      <c r="R82" s="187">
        <v>530.08780980466202</v>
      </c>
      <c r="S82" s="187">
        <v>3826000</v>
      </c>
      <c r="T82" s="187"/>
      <c r="U82" s="188">
        <v>208492.12512869001</v>
      </c>
      <c r="V82" s="188">
        <v>12194.772029686201</v>
      </c>
      <c r="W82" s="188">
        <v>34644.893109239398</v>
      </c>
      <c r="X82" s="188"/>
      <c r="Y82" s="187"/>
      <c r="Z82" s="178"/>
    </row>
    <row r="83" spans="1:26" x14ac:dyDescent="0.3">
      <c r="A83" s="184">
        <v>68</v>
      </c>
      <c r="B83" s="185">
        <v>42368</v>
      </c>
      <c r="C83" s="186" t="s">
        <v>516</v>
      </c>
      <c r="D83" s="186" t="s">
        <v>514</v>
      </c>
      <c r="E83" s="187">
        <v>543225.31936108298</v>
      </c>
      <c r="F83" s="187">
        <v>499577.37452349102</v>
      </c>
      <c r="G83" s="187">
        <v>286805.04869867797</v>
      </c>
      <c r="H83" s="187">
        <v>550.34719714734297</v>
      </c>
      <c r="I83" s="187">
        <v>186924.91800038499</v>
      </c>
      <c r="J83" s="187">
        <v>3.7310332199902598</v>
      </c>
      <c r="K83" s="187">
        <v>97094.299171205799</v>
      </c>
      <c r="L83" s="187">
        <v>36769.7815747758</v>
      </c>
      <c r="M83" s="187">
        <v>3758.5199690331401</v>
      </c>
      <c r="N83" s="187">
        <v>70922.371036413999</v>
      </c>
      <c r="O83" s="187">
        <v>1571.8054103869599</v>
      </c>
      <c r="P83" s="187">
        <v>2071045.3690762001</v>
      </c>
      <c r="Q83" s="187">
        <v>1348.69712110865</v>
      </c>
      <c r="R83" s="187">
        <v>14402.417826868101</v>
      </c>
      <c r="S83" s="187">
        <v>3814000</v>
      </c>
      <c r="T83" s="187"/>
      <c r="U83" s="188">
        <v>189312.82122362001</v>
      </c>
      <c r="V83" s="188">
        <v>13181.0137800623</v>
      </c>
      <c r="W83" s="188">
        <v>35439.630543908403</v>
      </c>
      <c r="X83" s="188"/>
      <c r="Y83" s="187"/>
      <c r="Z83" s="178"/>
    </row>
    <row r="84" spans="1:26" x14ac:dyDescent="0.3">
      <c r="A84" s="184">
        <v>69</v>
      </c>
      <c r="B84" s="185">
        <v>42370</v>
      </c>
      <c r="C84" s="186" t="s">
        <v>519</v>
      </c>
      <c r="D84" s="186" t="s">
        <v>514</v>
      </c>
      <c r="E84" s="187">
        <v>382060.04782129801</v>
      </c>
      <c r="F84" s="187">
        <v>317566.02149431501</v>
      </c>
      <c r="G84" s="187">
        <v>164962.013387193</v>
      </c>
      <c r="H84" s="187">
        <v>553.44605053671398</v>
      </c>
      <c r="I84" s="187">
        <v>114930.40149716201</v>
      </c>
      <c r="J84" s="187">
        <v>4.3528720899886402</v>
      </c>
      <c r="K84" s="187">
        <v>75521.275008468496</v>
      </c>
      <c r="L84" s="187">
        <v>19524.990064210298</v>
      </c>
      <c r="M84" s="187">
        <v>3785.6994856839201</v>
      </c>
      <c r="N84" s="187">
        <v>61779.622071905003</v>
      </c>
      <c r="O84" s="187">
        <v>1597.17210599077</v>
      </c>
      <c r="P84" s="187">
        <v>2652919.6377582299</v>
      </c>
      <c r="Q84" s="187">
        <v>1618.43654597776</v>
      </c>
      <c r="R84" s="187">
        <v>17176.883836939502</v>
      </c>
      <c r="S84" s="187">
        <v>3814000</v>
      </c>
      <c r="T84" s="187"/>
      <c r="U84" s="188">
        <v>182422.402514179</v>
      </c>
      <c r="V84" s="188">
        <v>10817.552760475901</v>
      </c>
      <c r="W84" s="188">
        <v>34334.398421496</v>
      </c>
      <c r="X84" s="188"/>
      <c r="Y84" s="187"/>
      <c r="Z84" s="178"/>
    </row>
    <row r="85" spans="1:26" x14ac:dyDescent="0.3">
      <c r="A85" s="184">
        <v>70</v>
      </c>
      <c r="B85" s="185">
        <v>42380</v>
      </c>
      <c r="C85" s="186" t="s">
        <v>513</v>
      </c>
      <c r="D85" s="186" t="s">
        <v>514</v>
      </c>
      <c r="E85" s="187">
        <v>406014.63153929298</v>
      </c>
      <c r="F85" s="187">
        <v>378080.12325854099</v>
      </c>
      <c r="G85" s="187">
        <v>243692.752589974</v>
      </c>
      <c r="H85" s="187">
        <v>322.811130607069</v>
      </c>
      <c r="I85" s="187">
        <v>160217.70299390701</v>
      </c>
      <c r="J85" s="187">
        <v>4.3528720899886402</v>
      </c>
      <c r="K85" s="187">
        <v>81353.454949980398</v>
      </c>
      <c r="L85" s="187">
        <v>14863.1498638868</v>
      </c>
      <c r="M85" s="187">
        <v>3907.4168941458702</v>
      </c>
      <c r="N85" s="187">
        <v>65521.458263529501</v>
      </c>
      <c r="O85" s="187">
        <v>1468.3733386004201</v>
      </c>
      <c r="P85" s="187">
        <v>2437758.4519225298</v>
      </c>
      <c r="Q85" s="187">
        <v>1618.43654597776</v>
      </c>
      <c r="R85" s="187">
        <v>17176.883836939502</v>
      </c>
      <c r="S85" s="187">
        <v>3812000</v>
      </c>
      <c r="T85" s="187"/>
      <c r="U85" s="188">
        <v>211183.15775739701</v>
      </c>
      <c r="V85" s="188">
        <v>12994.9139973155</v>
      </c>
      <c r="W85" s="188">
        <v>34374.044264421304</v>
      </c>
      <c r="X85" s="188"/>
      <c r="Y85" s="187"/>
      <c r="Z85" s="178"/>
    </row>
    <row r="86" spans="1:26" x14ac:dyDescent="0.3">
      <c r="A86" s="184">
        <v>71</v>
      </c>
      <c r="B86" s="185">
        <v>42352</v>
      </c>
      <c r="C86" s="186" t="s">
        <v>519</v>
      </c>
      <c r="D86" s="186" t="s">
        <v>514</v>
      </c>
      <c r="E86" s="187">
        <v>418445.16353768</v>
      </c>
      <c r="F86" s="187">
        <v>384693.258315126</v>
      </c>
      <c r="G86" s="187">
        <v>251673.37972229699</v>
      </c>
      <c r="H86" s="187">
        <v>464.26707397484898</v>
      </c>
      <c r="I86" s="187">
        <v>154320.90247586</v>
      </c>
      <c r="J86" s="187">
        <v>4.3528720899886402</v>
      </c>
      <c r="K86" s="187">
        <v>86513.618814251895</v>
      </c>
      <c r="L86" s="187">
        <v>16812.719848316799</v>
      </c>
      <c r="M86" s="187">
        <v>6654.6959702618797</v>
      </c>
      <c r="N86" s="187">
        <v>69364.4389178618</v>
      </c>
      <c r="O86" s="187">
        <v>1268.35497387087</v>
      </c>
      <c r="P86" s="187">
        <v>2397989.5270954901</v>
      </c>
      <c r="Q86" s="187">
        <v>1618.43654597776</v>
      </c>
      <c r="R86" s="187">
        <v>17176.883836939502</v>
      </c>
      <c r="S86" s="187">
        <v>3807000</v>
      </c>
      <c r="T86" s="187"/>
      <c r="U86" s="188">
        <v>206786.987454741</v>
      </c>
      <c r="V86" s="188">
        <v>13080.394641897899</v>
      </c>
      <c r="W86" s="188">
        <v>28702.725758508899</v>
      </c>
      <c r="X86" s="188"/>
      <c r="Y86" s="187"/>
      <c r="Z86" s="178"/>
    </row>
    <row r="87" spans="1:26" x14ac:dyDescent="0.3">
      <c r="A87" s="184">
        <v>72</v>
      </c>
      <c r="B87" s="185">
        <v>42376</v>
      </c>
      <c r="C87" s="186" t="s">
        <v>519</v>
      </c>
      <c r="D87" s="186" t="s">
        <v>514</v>
      </c>
      <c r="E87" s="187">
        <v>458847.231106169</v>
      </c>
      <c r="F87" s="187">
        <v>413174.132563436</v>
      </c>
      <c r="G87" s="187">
        <v>275594.68661082099</v>
      </c>
      <c r="H87" s="187">
        <v>386.36883450755403</v>
      </c>
      <c r="I87" s="187">
        <v>171093.77736017399</v>
      </c>
      <c r="J87" s="187">
        <v>4.3528720899886402</v>
      </c>
      <c r="K87" s="187">
        <v>92537.818093982496</v>
      </c>
      <c r="L87" s="187">
        <v>16746.1067504333</v>
      </c>
      <c r="M87" s="187">
        <v>10146.5512882898</v>
      </c>
      <c r="N87" s="187">
        <v>68387.815183097802</v>
      </c>
      <c r="O87" s="187">
        <v>1437.65665045333</v>
      </c>
      <c r="P87" s="187">
        <v>2277848.1823036298</v>
      </c>
      <c r="Q87" s="187">
        <v>1618.43654597776</v>
      </c>
      <c r="R87" s="187">
        <v>17176.883836939502</v>
      </c>
      <c r="S87" s="187">
        <v>3805000</v>
      </c>
      <c r="T87" s="187"/>
      <c r="U87" s="188">
        <v>211988.89355711799</v>
      </c>
      <c r="V87" s="188">
        <v>14042.6429168296</v>
      </c>
      <c r="W87" s="188">
        <v>35367.193988414801</v>
      </c>
      <c r="X87" s="188"/>
      <c r="Y87" s="187"/>
      <c r="Z87" s="178"/>
    </row>
    <row r="88" spans="1:26" x14ac:dyDescent="0.3">
      <c r="A88" s="184">
        <v>73</v>
      </c>
      <c r="B88" s="185">
        <v>42370</v>
      </c>
      <c r="C88" s="186" t="s">
        <v>513</v>
      </c>
      <c r="D88" s="186" t="s">
        <v>514</v>
      </c>
      <c r="E88" s="187">
        <v>377691.81963959802</v>
      </c>
      <c r="F88" s="187">
        <v>306233.76864218398</v>
      </c>
      <c r="G88" s="187">
        <v>152112.04441123601</v>
      </c>
      <c r="H88" s="187">
        <v>482.74216132324</v>
      </c>
      <c r="I88" s="187">
        <v>115466.46918744899</v>
      </c>
      <c r="J88" s="187">
        <v>4.3528720899886402</v>
      </c>
      <c r="K88" s="187">
        <v>73265.753970261503</v>
      </c>
      <c r="L88" s="187">
        <v>21496.661570757798</v>
      </c>
      <c r="M88" s="187">
        <v>3773.2905602916699</v>
      </c>
      <c r="N88" s="187">
        <v>61235.37386611</v>
      </c>
      <c r="O88" s="187">
        <v>1628.38382202106</v>
      </c>
      <c r="P88" s="187">
        <v>2672814.0189137598</v>
      </c>
      <c r="Q88" s="187">
        <v>1618.43654597776</v>
      </c>
      <c r="R88" s="187">
        <v>17176.883836939502</v>
      </c>
      <c r="S88" s="187">
        <v>3805000</v>
      </c>
      <c r="T88" s="187"/>
      <c r="U88" s="188">
        <v>183068.36877577801</v>
      </c>
      <c r="V88" s="188">
        <v>11141.0291880641</v>
      </c>
      <c r="W88" s="188">
        <v>34051.008959867599</v>
      </c>
      <c r="X88" s="188"/>
      <c r="Y88" s="187"/>
      <c r="Z88" s="178"/>
    </row>
    <row r="89" spans="1:26" x14ac:dyDescent="0.3">
      <c r="A89" s="184">
        <v>74</v>
      </c>
      <c r="B89" s="185">
        <v>42380</v>
      </c>
      <c r="C89" s="186" t="s">
        <v>536</v>
      </c>
      <c r="D89" s="186" t="s">
        <v>514</v>
      </c>
      <c r="E89" s="187">
        <v>558551.03403981298</v>
      </c>
      <c r="F89" s="187">
        <v>541337.94873463095</v>
      </c>
      <c r="G89" s="187">
        <v>321541.54749119602</v>
      </c>
      <c r="H89" s="187">
        <v>335.29591838371999</v>
      </c>
      <c r="I89" s="187">
        <v>202375.41023673301</v>
      </c>
      <c r="J89" s="187">
        <v>4.3528720899886402</v>
      </c>
      <c r="K89" s="187">
        <v>94579.691445649994</v>
      </c>
      <c r="L89" s="187">
        <v>51597.304482274798</v>
      </c>
      <c r="M89" s="187">
        <v>5153.8674918318902</v>
      </c>
      <c r="N89" s="187">
        <v>70602.916577112002</v>
      </c>
      <c r="O89" s="187">
        <v>1412.0566370653</v>
      </c>
      <c r="P89" s="187">
        <v>1954978.48626342</v>
      </c>
      <c r="Q89" s="187">
        <v>0</v>
      </c>
      <c r="R89" s="187">
        <v>530.08780980466202</v>
      </c>
      <c r="S89" s="187">
        <v>3803000</v>
      </c>
      <c r="T89" s="187"/>
      <c r="U89" s="188">
        <v>217094.478051051</v>
      </c>
      <c r="V89" s="188">
        <v>12984.2444699895</v>
      </c>
      <c r="W89" s="188">
        <v>35277.568752945903</v>
      </c>
      <c r="X89" s="188"/>
      <c r="Y89" s="187"/>
      <c r="Z89" s="178"/>
    </row>
    <row r="90" spans="1:26" x14ac:dyDescent="0.3">
      <c r="A90" s="184">
        <v>75</v>
      </c>
      <c r="B90" s="185">
        <v>42368</v>
      </c>
      <c r="C90" s="186" t="s">
        <v>537</v>
      </c>
      <c r="D90" s="186" t="s">
        <v>514</v>
      </c>
      <c r="E90" s="187">
        <v>599924.68172467605</v>
      </c>
      <c r="F90" s="187">
        <v>512033.32350537501</v>
      </c>
      <c r="G90" s="187">
        <v>298544.584179723</v>
      </c>
      <c r="H90" s="187">
        <v>542.473218749956</v>
      </c>
      <c r="I90" s="187">
        <v>189144.238224525</v>
      </c>
      <c r="J90" s="187">
        <v>4.3528720899886402</v>
      </c>
      <c r="K90" s="187">
        <v>95265.938602811701</v>
      </c>
      <c r="L90" s="187">
        <v>30508.9239272212</v>
      </c>
      <c r="M90" s="187">
        <v>3717.66925730295</v>
      </c>
      <c r="N90" s="187">
        <v>72329.151371610002</v>
      </c>
      <c r="O90" s="187">
        <v>1442.39420905513</v>
      </c>
      <c r="P90" s="187">
        <v>1994012.18109706</v>
      </c>
      <c r="Q90" s="187">
        <v>0</v>
      </c>
      <c r="R90" s="187">
        <v>530.08780980466202</v>
      </c>
      <c r="S90" s="187">
        <v>3798000</v>
      </c>
      <c r="T90" s="187"/>
      <c r="U90" s="188">
        <v>187861.01741770399</v>
      </c>
      <c r="V90" s="188">
        <v>12520.6021819615</v>
      </c>
      <c r="W90" s="188">
        <v>34960.819013022199</v>
      </c>
      <c r="X90" s="188"/>
      <c r="Y90" s="187"/>
      <c r="Z90" s="178"/>
    </row>
    <row r="91" spans="1:26" x14ac:dyDescent="0.3">
      <c r="A91" s="184">
        <v>76</v>
      </c>
      <c r="B91" s="185">
        <v>42361</v>
      </c>
      <c r="C91" s="186" t="s">
        <v>527</v>
      </c>
      <c r="D91" s="186" t="s">
        <v>514</v>
      </c>
      <c r="E91" s="187">
        <v>475822.48991720198</v>
      </c>
      <c r="F91" s="187">
        <v>408156.06692326401</v>
      </c>
      <c r="G91" s="187">
        <v>255497.87432570101</v>
      </c>
      <c r="H91" s="187">
        <v>487.33814700498499</v>
      </c>
      <c r="I91" s="187">
        <v>162101.36116488901</v>
      </c>
      <c r="J91" s="187">
        <v>3.7310332199902598</v>
      </c>
      <c r="K91" s="187">
        <v>87502.414628308907</v>
      </c>
      <c r="L91" s="187">
        <v>19644.484786749999</v>
      </c>
      <c r="M91" s="187">
        <v>1593.45260652193</v>
      </c>
      <c r="N91" s="187">
        <v>69827.228017784801</v>
      </c>
      <c r="O91" s="187">
        <v>1241.7901872044099</v>
      </c>
      <c r="P91" s="187">
        <v>2305154.6375344899</v>
      </c>
      <c r="Q91" s="187">
        <v>836.19275490068901</v>
      </c>
      <c r="R91" s="187">
        <v>9130.9379727563592</v>
      </c>
      <c r="S91" s="187">
        <v>3797000</v>
      </c>
      <c r="T91" s="187"/>
      <c r="U91" s="188">
        <v>199476.892638283</v>
      </c>
      <c r="V91" s="188">
        <v>9527.8775332608202</v>
      </c>
      <c r="W91" s="188">
        <v>33905.810382750802</v>
      </c>
      <c r="X91" s="188"/>
      <c r="Y91" s="187"/>
      <c r="Z91" s="178"/>
    </row>
    <row r="92" spans="1:26" x14ac:dyDescent="0.3">
      <c r="A92" s="184">
        <v>77</v>
      </c>
      <c r="B92" s="185">
        <v>42359</v>
      </c>
      <c r="C92" s="186" t="s">
        <v>527</v>
      </c>
      <c r="D92" s="186" t="s">
        <v>514</v>
      </c>
      <c r="E92" s="187">
        <v>475854.53480762901</v>
      </c>
      <c r="F92" s="187">
        <v>414735.84386366798</v>
      </c>
      <c r="G92" s="187">
        <v>262572.95844555402</v>
      </c>
      <c r="H92" s="187">
        <v>456.04677672780201</v>
      </c>
      <c r="I92" s="187">
        <v>159507.945986701</v>
      </c>
      <c r="J92" s="187">
        <v>4.3528720899886402</v>
      </c>
      <c r="K92" s="187">
        <v>86857.010465776999</v>
      </c>
      <c r="L92" s="187">
        <v>18816.5660857205</v>
      </c>
      <c r="M92" s="187">
        <v>7719.9090718990201</v>
      </c>
      <c r="N92" s="187">
        <v>72531.175654172504</v>
      </c>
      <c r="O92" s="187">
        <v>1106.9771763451899</v>
      </c>
      <c r="P92" s="187">
        <v>2283565.1397000002</v>
      </c>
      <c r="Q92" s="187">
        <v>863.16561837595395</v>
      </c>
      <c r="R92" s="187">
        <v>9408.3734753445897</v>
      </c>
      <c r="S92" s="187">
        <v>3794000</v>
      </c>
      <c r="T92" s="187"/>
      <c r="U92" s="188">
        <v>210423.013710864</v>
      </c>
      <c r="V92" s="188">
        <v>12841.838942006099</v>
      </c>
      <c r="W92" s="188">
        <v>28333.433580270099</v>
      </c>
      <c r="X92" s="188"/>
      <c r="Y92" s="187"/>
      <c r="Z92" s="178"/>
    </row>
    <row r="93" spans="1:26" x14ac:dyDescent="0.3">
      <c r="A93" s="184">
        <v>78</v>
      </c>
      <c r="B93" s="185">
        <v>42372</v>
      </c>
      <c r="C93" s="186" t="s">
        <v>538</v>
      </c>
      <c r="D93" s="186" t="s">
        <v>514</v>
      </c>
      <c r="E93" s="187">
        <v>377793.09559285798</v>
      </c>
      <c r="F93" s="187">
        <v>303818.00816468301</v>
      </c>
      <c r="G93" s="187">
        <v>168303.67123221399</v>
      </c>
      <c r="H93" s="187">
        <v>354.52339187435001</v>
      </c>
      <c r="I93" s="187">
        <v>130944.06989450799</v>
      </c>
      <c r="J93" s="187">
        <v>4.3528720899886402</v>
      </c>
      <c r="K93" s="187">
        <v>76537.211261457705</v>
      </c>
      <c r="L93" s="187">
        <v>22474.483899788102</v>
      </c>
      <c r="M93" s="187">
        <v>3852.2434933042</v>
      </c>
      <c r="N93" s="187">
        <v>62622.0413444769</v>
      </c>
      <c r="O93" s="187">
        <v>1405.7252720382301</v>
      </c>
      <c r="P93" s="187">
        <v>2625095.2531977901</v>
      </c>
      <c r="Q93" s="187">
        <v>1618.43654597776</v>
      </c>
      <c r="R93" s="187">
        <v>17176.883836939502</v>
      </c>
      <c r="S93" s="187">
        <v>3792000</v>
      </c>
      <c r="T93" s="187"/>
      <c r="U93" s="188">
        <v>187395.52571938801</v>
      </c>
      <c r="V93" s="188">
        <v>12085.0386888789</v>
      </c>
      <c r="W93" s="188">
        <v>33436.844202288303</v>
      </c>
      <c r="X93" s="188"/>
      <c r="Y93" s="187"/>
      <c r="Z93" s="178"/>
    </row>
    <row r="94" spans="1:26" x14ac:dyDescent="0.3">
      <c r="A94" s="184">
        <v>79</v>
      </c>
      <c r="B94" s="185">
        <v>42373</v>
      </c>
      <c r="C94" s="186" t="s">
        <v>537</v>
      </c>
      <c r="D94" s="186" t="s">
        <v>514</v>
      </c>
      <c r="E94" s="187">
        <v>581034.25948716002</v>
      </c>
      <c r="F94" s="187">
        <v>534535.91295896296</v>
      </c>
      <c r="G94" s="187">
        <v>290953.57982310001</v>
      </c>
      <c r="H94" s="187">
        <v>430.16888100553001</v>
      </c>
      <c r="I94" s="187">
        <v>209966.74756523699</v>
      </c>
      <c r="J94" s="187">
        <v>4.3528720899886402</v>
      </c>
      <c r="K94" s="187">
        <v>98470.969699876994</v>
      </c>
      <c r="L94" s="187">
        <v>51744.194971450699</v>
      </c>
      <c r="M94" s="187">
        <v>3905.51331002089</v>
      </c>
      <c r="N94" s="187">
        <v>70908.212643777704</v>
      </c>
      <c r="O94" s="187">
        <v>1421.3456896969999</v>
      </c>
      <c r="P94" s="187">
        <v>1947094.65428782</v>
      </c>
      <c r="Q94" s="187">
        <v>0</v>
      </c>
      <c r="R94" s="187">
        <v>530.08780980466202</v>
      </c>
      <c r="S94" s="187">
        <v>3791000</v>
      </c>
      <c r="T94" s="187"/>
      <c r="U94" s="188">
        <v>208868.010361856</v>
      </c>
      <c r="V94" s="188">
        <v>11894.293669745201</v>
      </c>
      <c r="W94" s="188">
        <v>35030.895939075403</v>
      </c>
      <c r="X94" s="188"/>
      <c r="Y94" s="187"/>
      <c r="Z94" s="178"/>
    </row>
    <row r="95" spans="1:26" x14ac:dyDescent="0.3">
      <c r="A95" s="184">
        <v>80</v>
      </c>
      <c r="B95" s="185">
        <v>42371</v>
      </c>
      <c r="C95" s="186" t="s">
        <v>535</v>
      </c>
      <c r="D95" s="186" t="s">
        <v>514</v>
      </c>
      <c r="E95" s="187">
        <v>418419.44578635402</v>
      </c>
      <c r="F95" s="187">
        <v>376743.91573689802</v>
      </c>
      <c r="G95" s="187">
        <v>175134.717325334</v>
      </c>
      <c r="H95" s="187">
        <v>562.24100451331799</v>
      </c>
      <c r="I95" s="187">
        <v>138925.08790536999</v>
      </c>
      <c r="J95" s="187">
        <v>4.3528720899886402</v>
      </c>
      <c r="K95" s="187">
        <v>80671.176494309693</v>
      </c>
      <c r="L95" s="187">
        <v>31429.709735118598</v>
      </c>
      <c r="M95" s="187">
        <v>4083.6154910403998</v>
      </c>
      <c r="N95" s="187">
        <v>58947.139437522499</v>
      </c>
      <c r="O95" s="187">
        <v>1472.3086022769101</v>
      </c>
      <c r="P95" s="187">
        <v>2504076.2017993699</v>
      </c>
      <c r="Q95" s="187">
        <v>0</v>
      </c>
      <c r="R95" s="187">
        <v>530.08780980466202</v>
      </c>
      <c r="S95" s="187">
        <v>3791000</v>
      </c>
      <c r="T95" s="187"/>
      <c r="U95" s="188">
        <v>182497.306885297</v>
      </c>
      <c r="V95" s="188">
        <v>11319.55972402</v>
      </c>
      <c r="W95" s="188">
        <v>33609.656546347796</v>
      </c>
      <c r="X95" s="188"/>
      <c r="Y95" s="187"/>
      <c r="Z95" s="178"/>
    </row>
    <row r="96" spans="1:26" x14ac:dyDescent="0.3">
      <c r="A96" s="184">
        <v>81</v>
      </c>
      <c r="B96" s="185">
        <v>42338</v>
      </c>
      <c r="C96" s="186" t="s">
        <v>537</v>
      </c>
      <c r="D96" s="186" t="s">
        <v>514</v>
      </c>
      <c r="E96" s="187">
        <v>536163.06862842594</v>
      </c>
      <c r="F96" s="187">
        <v>524949.87092446699</v>
      </c>
      <c r="G96" s="187">
        <v>278512.66100594902</v>
      </c>
      <c r="H96" s="187">
        <v>220.305264006599</v>
      </c>
      <c r="I96" s="187">
        <v>204373.21810279501</v>
      </c>
      <c r="J96" s="187">
        <v>3.7310332199902598</v>
      </c>
      <c r="K96" s="187">
        <v>95434.875083281193</v>
      </c>
      <c r="L96" s="187">
        <v>53335.885067938099</v>
      </c>
      <c r="M96" s="187">
        <v>8761.1186902917598</v>
      </c>
      <c r="N96" s="187">
        <v>71711.108524109106</v>
      </c>
      <c r="O96" s="187">
        <v>1477.3566387160299</v>
      </c>
      <c r="P96" s="187">
        <v>2014526.7132270001</v>
      </c>
      <c r="Q96" s="187">
        <v>0</v>
      </c>
      <c r="R96" s="187">
        <v>530.08780980466202</v>
      </c>
      <c r="S96" s="187">
        <v>3790000</v>
      </c>
      <c r="T96" s="187"/>
      <c r="U96" s="188">
        <v>195748.77734888301</v>
      </c>
      <c r="V96" s="188">
        <v>11971.1267090896</v>
      </c>
      <c r="W96" s="188">
        <v>34258.727546338501</v>
      </c>
      <c r="X96" s="188"/>
      <c r="Y96" s="187"/>
      <c r="Z96" s="178"/>
    </row>
    <row r="97" spans="1:26" x14ac:dyDescent="0.3">
      <c r="A97" s="184">
        <v>82</v>
      </c>
      <c r="B97" s="185">
        <v>42367</v>
      </c>
      <c r="C97" s="186" t="s">
        <v>529</v>
      </c>
      <c r="D97" s="186" t="s">
        <v>514</v>
      </c>
      <c r="E97" s="187">
        <v>405416.47890540399</v>
      </c>
      <c r="F97" s="187">
        <v>368925.13030963403</v>
      </c>
      <c r="G97" s="187">
        <v>241317.926059174</v>
      </c>
      <c r="H97" s="187">
        <v>608.02797222454501</v>
      </c>
      <c r="I97" s="187">
        <v>153778.72120200199</v>
      </c>
      <c r="J97" s="187">
        <v>4.3528720899886402</v>
      </c>
      <c r="K97" s="187">
        <v>77729.032880088402</v>
      </c>
      <c r="L97" s="187">
        <v>17308.880203066601</v>
      </c>
      <c r="M97" s="187">
        <v>3645.4043177134799</v>
      </c>
      <c r="N97" s="187">
        <v>58622.7280140121</v>
      </c>
      <c r="O97" s="187">
        <v>1585.29478894507</v>
      </c>
      <c r="P97" s="187">
        <v>2441262.70209273</v>
      </c>
      <c r="Q97" s="187">
        <v>1618.43654597776</v>
      </c>
      <c r="R97" s="187">
        <v>17176.883836939502</v>
      </c>
      <c r="S97" s="187">
        <v>3789000</v>
      </c>
      <c r="T97" s="187"/>
      <c r="U97" s="188">
        <v>190538.518015226</v>
      </c>
      <c r="V97" s="188">
        <v>13053.4875248805</v>
      </c>
      <c r="W97" s="188">
        <v>34877.916687295197</v>
      </c>
      <c r="X97" s="188"/>
      <c r="Y97" s="187"/>
      <c r="Z97" s="178"/>
    </row>
    <row r="98" spans="1:26" x14ac:dyDescent="0.3">
      <c r="A98" s="184">
        <v>83</v>
      </c>
      <c r="B98" s="185">
        <v>42355</v>
      </c>
      <c r="C98" s="186" t="s">
        <v>527</v>
      </c>
      <c r="D98" s="186" t="s">
        <v>514</v>
      </c>
      <c r="E98" s="187">
        <v>521423.163389761</v>
      </c>
      <c r="F98" s="187">
        <v>453229.19586655899</v>
      </c>
      <c r="G98" s="187">
        <v>274993.81320503697</v>
      </c>
      <c r="H98" s="187">
        <v>543.27022874677698</v>
      </c>
      <c r="I98" s="187">
        <v>184410.863558849</v>
      </c>
      <c r="J98" s="187">
        <v>3.7310332199902598</v>
      </c>
      <c r="K98" s="187">
        <v>93161.958558780898</v>
      </c>
      <c r="L98" s="187">
        <v>21930.462077562701</v>
      </c>
      <c r="M98" s="187">
        <v>10583.194804102</v>
      </c>
      <c r="N98" s="187">
        <v>68923.584639025095</v>
      </c>
      <c r="O98" s="187">
        <v>1277.1392248780201</v>
      </c>
      <c r="P98" s="187">
        <v>2143943.6576884598</v>
      </c>
      <c r="Q98" s="187">
        <v>890.14010028776602</v>
      </c>
      <c r="R98" s="187">
        <v>9685.8256247288391</v>
      </c>
      <c r="S98" s="187">
        <v>3785000</v>
      </c>
      <c r="T98" s="187"/>
      <c r="U98" s="188">
        <v>201693.805626986</v>
      </c>
      <c r="V98" s="188">
        <v>12491.662774024901</v>
      </c>
      <c r="W98" s="188">
        <v>29019.0483241373</v>
      </c>
      <c r="X98" s="188"/>
      <c r="Y98" s="187"/>
      <c r="Z98" s="178"/>
    </row>
    <row r="99" spans="1:26" x14ac:dyDescent="0.3">
      <c r="A99" s="184">
        <v>84</v>
      </c>
      <c r="B99" s="185">
        <v>42352</v>
      </c>
      <c r="C99" s="186" t="s">
        <v>529</v>
      </c>
      <c r="D99" s="186" t="s">
        <v>514</v>
      </c>
      <c r="E99" s="187">
        <v>383607.73029850097</v>
      </c>
      <c r="F99" s="187">
        <v>372922.16404507501</v>
      </c>
      <c r="G99" s="187">
        <v>243377.56075861899</v>
      </c>
      <c r="H99" s="187">
        <v>453.988621307183</v>
      </c>
      <c r="I99" s="187">
        <v>153114.997209806</v>
      </c>
      <c r="J99" s="187">
        <v>3.7310332199902598</v>
      </c>
      <c r="K99" s="187">
        <v>79326.642021377498</v>
      </c>
      <c r="L99" s="187">
        <v>16235.008733658</v>
      </c>
      <c r="M99" s="187">
        <v>5655.4262801842096</v>
      </c>
      <c r="N99" s="187">
        <v>63383.571511167902</v>
      </c>
      <c r="O99" s="187">
        <v>1334.53976163166</v>
      </c>
      <c r="P99" s="187">
        <v>2445789.3193425299</v>
      </c>
      <c r="Q99" s="187">
        <v>1618.43654597776</v>
      </c>
      <c r="R99" s="187">
        <v>17176.883836939502</v>
      </c>
      <c r="S99" s="187">
        <v>3784000</v>
      </c>
      <c r="T99" s="187"/>
      <c r="U99" s="188">
        <v>206686.62658586001</v>
      </c>
      <c r="V99" s="188">
        <v>12435.9199373831</v>
      </c>
      <c r="W99" s="188">
        <v>28927.938149451598</v>
      </c>
      <c r="X99" s="188"/>
      <c r="Y99" s="187"/>
      <c r="Z99" s="178"/>
    </row>
    <row r="100" spans="1:26" x14ac:dyDescent="0.3">
      <c r="A100" s="184">
        <v>85</v>
      </c>
      <c r="B100" s="185">
        <v>42369</v>
      </c>
      <c r="C100" s="186" t="s">
        <v>540</v>
      </c>
      <c r="D100" s="186" t="s">
        <v>514</v>
      </c>
      <c r="E100" s="187">
        <v>520712.374170336</v>
      </c>
      <c r="F100" s="187">
        <v>452499.67570481898</v>
      </c>
      <c r="G100" s="187">
        <v>247681.96495598101</v>
      </c>
      <c r="H100" s="187">
        <v>443.83890811112701</v>
      </c>
      <c r="I100" s="187">
        <v>173972.07975254901</v>
      </c>
      <c r="J100" s="187">
        <v>3.7310332199902598</v>
      </c>
      <c r="K100" s="187">
        <v>91245.226005262797</v>
      </c>
      <c r="L100" s="187">
        <v>28489.673732356201</v>
      </c>
      <c r="M100" s="187">
        <v>3902.8971542983199</v>
      </c>
      <c r="N100" s="187">
        <v>68253.865185187606</v>
      </c>
      <c r="O100" s="187">
        <v>1353.7136612438301</v>
      </c>
      <c r="P100" s="187">
        <v>2193910.8719268302</v>
      </c>
      <c r="Q100" s="187">
        <v>0</v>
      </c>
      <c r="R100" s="187">
        <v>530.08780980466202</v>
      </c>
      <c r="S100" s="187">
        <v>3783000</v>
      </c>
      <c r="T100" s="187"/>
      <c r="U100" s="188">
        <v>185267.395064613</v>
      </c>
      <c r="V100" s="188">
        <v>10773.7133420753</v>
      </c>
      <c r="W100" s="188">
        <v>34772.435148819503</v>
      </c>
      <c r="X100" s="188"/>
      <c r="Y100" s="187"/>
      <c r="Z100" s="178"/>
    </row>
    <row r="101" spans="1:26" x14ac:dyDescent="0.3">
      <c r="A101" s="184">
        <v>86</v>
      </c>
      <c r="B101" s="185">
        <v>42365</v>
      </c>
      <c r="C101" s="186" t="s">
        <v>519</v>
      </c>
      <c r="D101" s="186" t="s">
        <v>514</v>
      </c>
      <c r="E101" s="187">
        <v>389171.15726793697</v>
      </c>
      <c r="F101" s="187">
        <v>324135.52292431198</v>
      </c>
      <c r="G101" s="187">
        <v>189346.63964861</v>
      </c>
      <c r="H101" s="187">
        <v>545.01212061727097</v>
      </c>
      <c r="I101" s="187">
        <v>134680.331083217</v>
      </c>
      <c r="J101" s="187">
        <v>4.3528720899886402</v>
      </c>
      <c r="K101" s="187">
        <v>76147.097864783893</v>
      </c>
      <c r="L101" s="187">
        <v>18225.585947802701</v>
      </c>
      <c r="M101" s="187">
        <v>2324.9684290095202</v>
      </c>
      <c r="N101" s="187">
        <v>61270.785115557497</v>
      </c>
      <c r="O101" s="187">
        <v>1421.7865581291501</v>
      </c>
      <c r="P101" s="187">
        <v>2566931.43978502</v>
      </c>
      <c r="Q101" s="187">
        <v>1618.43654597776</v>
      </c>
      <c r="R101" s="187">
        <v>17176.883836939502</v>
      </c>
      <c r="S101" s="187">
        <v>3783000</v>
      </c>
      <c r="T101" s="187"/>
      <c r="U101" s="188">
        <v>186841.52639755199</v>
      </c>
      <c r="V101" s="188">
        <v>10008.8876135833</v>
      </c>
      <c r="W101" s="188">
        <v>33622.959974399702</v>
      </c>
      <c r="X101" s="188"/>
      <c r="Y101" s="187"/>
      <c r="Z101" s="178"/>
    </row>
    <row r="102" spans="1:26" x14ac:dyDescent="0.3">
      <c r="A102" s="184">
        <v>87</v>
      </c>
      <c r="B102" s="185">
        <v>42353</v>
      </c>
      <c r="C102" s="186" t="s">
        <v>516</v>
      </c>
      <c r="D102" s="186" t="s">
        <v>514</v>
      </c>
      <c r="E102" s="187">
        <v>526796.37385855103</v>
      </c>
      <c r="F102" s="187">
        <v>518371.35601338599</v>
      </c>
      <c r="G102" s="187">
        <v>317733.43190301</v>
      </c>
      <c r="H102" s="187">
        <v>354.75705576149699</v>
      </c>
      <c r="I102" s="187">
        <v>191459.81631833001</v>
      </c>
      <c r="J102" s="187">
        <v>4.3528720899886402</v>
      </c>
      <c r="K102" s="187">
        <v>94340.080416723795</v>
      </c>
      <c r="L102" s="187">
        <v>54277.662427736803</v>
      </c>
      <c r="M102" s="187">
        <v>7342.4802558461897</v>
      </c>
      <c r="N102" s="187">
        <v>72026.084412052398</v>
      </c>
      <c r="O102" s="187">
        <v>1378.8345997562401</v>
      </c>
      <c r="P102" s="187">
        <v>1979294.5987068</v>
      </c>
      <c r="Q102" s="187">
        <v>1159.8795251568699</v>
      </c>
      <c r="R102" s="187">
        <v>12460.2916348003</v>
      </c>
      <c r="S102" s="187">
        <v>3777000</v>
      </c>
      <c r="T102" s="187"/>
      <c r="U102" s="188">
        <v>212932.41188790201</v>
      </c>
      <c r="V102" s="188">
        <v>13188.2512242543</v>
      </c>
      <c r="W102" s="188">
        <v>29070.339752016302</v>
      </c>
      <c r="X102" s="188"/>
      <c r="Y102" s="187"/>
      <c r="Z102" s="178"/>
    </row>
    <row r="103" spans="1:26" x14ac:dyDescent="0.3">
      <c r="A103" s="184">
        <v>88</v>
      </c>
      <c r="B103" s="185">
        <v>42371</v>
      </c>
      <c r="C103" s="186" t="s">
        <v>538</v>
      </c>
      <c r="D103" s="186" t="s">
        <v>514</v>
      </c>
      <c r="E103" s="187">
        <v>413628.846633573</v>
      </c>
      <c r="F103" s="187">
        <v>334252.83656530298</v>
      </c>
      <c r="G103" s="187">
        <v>167005.66987226601</v>
      </c>
      <c r="H103" s="187">
        <v>533.75608396567895</v>
      </c>
      <c r="I103" s="187">
        <v>131266.22575143201</v>
      </c>
      <c r="J103" s="187">
        <v>4.3528720899886402</v>
      </c>
      <c r="K103" s="187">
        <v>76615.396095140401</v>
      </c>
      <c r="L103" s="187">
        <v>25934.386173920801</v>
      </c>
      <c r="M103" s="187">
        <v>2767.11910531166</v>
      </c>
      <c r="N103" s="187">
        <v>62231.214743431199</v>
      </c>
      <c r="O103" s="187">
        <v>1455.3486974047901</v>
      </c>
      <c r="P103" s="187">
        <v>2540509.52702324</v>
      </c>
      <c r="Q103" s="187">
        <v>1618.43654597776</v>
      </c>
      <c r="R103" s="187">
        <v>17176.883836939502</v>
      </c>
      <c r="S103" s="187">
        <v>3775000</v>
      </c>
      <c r="T103" s="187"/>
      <c r="U103" s="188">
        <v>186133.139826689</v>
      </c>
      <c r="V103" s="188">
        <v>11923.7204127492</v>
      </c>
      <c r="W103" s="188">
        <v>34036.108713616799</v>
      </c>
      <c r="X103" s="188"/>
      <c r="Y103" s="187"/>
      <c r="Z103" s="178"/>
    </row>
    <row r="104" spans="1:26" x14ac:dyDescent="0.3">
      <c r="A104" s="184">
        <v>89</v>
      </c>
      <c r="B104" s="185">
        <v>42337</v>
      </c>
      <c r="C104" s="186" t="s">
        <v>538</v>
      </c>
      <c r="D104" s="186" t="s">
        <v>514</v>
      </c>
      <c r="E104" s="187">
        <v>377261.46336594003</v>
      </c>
      <c r="F104" s="187">
        <v>341843.62768381101</v>
      </c>
      <c r="G104" s="187">
        <v>195920.18141825701</v>
      </c>
      <c r="H104" s="187">
        <v>228.68559711763399</v>
      </c>
      <c r="I104" s="187">
        <v>129652.957843229</v>
      </c>
      <c r="J104" s="187">
        <v>4.9747109599870099</v>
      </c>
      <c r="K104" s="187">
        <v>85757.704067958504</v>
      </c>
      <c r="L104" s="187">
        <v>21819.563836686899</v>
      </c>
      <c r="M104" s="187">
        <v>8512.9910804180399</v>
      </c>
      <c r="N104" s="187">
        <v>64994.595057463201</v>
      </c>
      <c r="O104" s="187">
        <v>1471.4183840667899</v>
      </c>
      <c r="P104" s="187">
        <v>2527736.5165711702</v>
      </c>
      <c r="Q104" s="187">
        <v>1618.43654597776</v>
      </c>
      <c r="R104" s="187">
        <v>17176.883836939502</v>
      </c>
      <c r="S104" s="187">
        <v>3774000</v>
      </c>
      <c r="T104" s="187"/>
      <c r="U104" s="188">
        <v>175898.28469701999</v>
      </c>
      <c r="V104" s="188">
        <v>8389.8775691403498</v>
      </c>
      <c r="W104" s="188">
        <v>34913.504374415599</v>
      </c>
      <c r="X104" s="188"/>
      <c r="Y104" s="187"/>
      <c r="Z104" s="178"/>
    </row>
    <row r="105" spans="1:26" x14ac:dyDescent="0.3">
      <c r="A105" s="184">
        <v>89</v>
      </c>
      <c r="B105" s="185">
        <v>42359</v>
      </c>
      <c r="C105" s="186" t="s">
        <v>529</v>
      </c>
      <c r="D105" s="186" t="s">
        <v>514</v>
      </c>
      <c r="E105" s="187">
        <v>394522.83835333999</v>
      </c>
      <c r="F105" s="187">
        <v>364637.50270931103</v>
      </c>
      <c r="G105" s="187">
        <v>232646.472760626</v>
      </c>
      <c r="H105" s="187">
        <v>363.45431071587501</v>
      </c>
      <c r="I105" s="187">
        <v>149267.057353821</v>
      </c>
      <c r="J105" s="187">
        <v>3.7310332199902598</v>
      </c>
      <c r="K105" s="187">
        <v>76934.243333624501</v>
      </c>
      <c r="L105" s="187">
        <v>15490.881458217</v>
      </c>
      <c r="M105" s="187">
        <v>7691.4571059668397</v>
      </c>
      <c r="N105" s="187">
        <v>69174.1301708307</v>
      </c>
      <c r="O105" s="187">
        <v>1214.04407023009</v>
      </c>
      <c r="P105" s="187">
        <v>2443258.8669571802</v>
      </c>
      <c r="Q105" s="187">
        <v>1618.43654597776</v>
      </c>
      <c r="R105" s="187">
        <v>17176.883836939502</v>
      </c>
      <c r="S105" s="187">
        <v>3774000</v>
      </c>
      <c r="T105" s="187"/>
      <c r="U105" s="188">
        <v>207673.498288734</v>
      </c>
      <c r="V105" s="188">
        <v>11964.6772960704</v>
      </c>
      <c r="W105" s="188">
        <v>28235.020759299099</v>
      </c>
      <c r="X105" s="188"/>
      <c r="Y105" s="187"/>
      <c r="Z105" s="178"/>
    </row>
    <row r="106" spans="1:26" x14ac:dyDescent="0.3">
      <c r="A106" s="184">
        <v>91</v>
      </c>
      <c r="B106" s="185">
        <v>42376</v>
      </c>
      <c r="C106" s="186" t="s">
        <v>513</v>
      </c>
      <c r="D106" s="186" t="s">
        <v>514</v>
      </c>
      <c r="E106" s="187">
        <v>409731.02732187498</v>
      </c>
      <c r="F106" s="187">
        <v>377474.93046524399</v>
      </c>
      <c r="G106" s="187">
        <v>249953.40708106299</v>
      </c>
      <c r="H106" s="187">
        <v>356.764253683422</v>
      </c>
      <c r="I106" s="187">
        <v>161630.34823881299</v>
      </c>
      <c r="J106" s="187">
        <v>4.3528720899886402</v>
      </c>
      <c r="K106" s="187">
        <v>83251.270124015602</v>
      </c>
      <c r="L106" s="187">
        <v>14317.7161828423</v>
      </c>
      <c r="M106" s="187">
        <v>9401.5678626078497</v>
      </c>
      <c r="N106" s="187">
        <v>64917.980951515601</v>
      </c>
      <c r="O106" s="187">
        <v>1440.2357873237499</v>
      </c>
      <c r="P106" s="187">
        <v>2381725.0784760099</v>
      </c>
      <c r="Q106" s="187">
        <v>1618.43654597776</v>
      </c>
      <c r="R106" s="187">
        <v>17176.883836939502</v>
      </c>
      <c r="S106" s="187">
        <v>3773000</v>
      </c>
      <c r="T106" s="187"/>
      <c r="U106" s="188">
        <v>212567.42350090001</v>
      </c>
      <c r="V106" s="188">
        <v>13518.788825903801</v>
      </c>
      <c r="W106" s="188">
        <v>35318.933463868801</v>
      </c>
      <c r="X106" s="188"/>
      <c r="Y106" s="187"/>
      <c r="Z106" s="178"/>
    </row>
    <row r="107" spans="1:26" x14ac:dyDescent="0.3">
      <c r="A107" s="184">
        <v>92</v>
      </c>
      <c r="B107" s="185">
        <v>42353</v>
      </c>
      <c r="C107" s="186" t="s">
        <v>527</v>
      </c>
      <c r="D107" s="186" t="s">
        <v>514</v>
      </c>
      <c r="E107" s="187">
        <v>534261.43679137598</v>
      </c>
      <c r="F107" s="187">
        <v>474658.08703395602</v>
      </c>
      <c r="G107" s="187">
        <v>280687.829208337</v>
      </c>
      <c r="H107" s="187">
        <v>408.84893917148798</v>
      </c>
      <c r="I107" s="187">
        <v>186712.038079636</v>
      </c>
      <c r="J107" s="187">
        <v>3.7310332199902598</v>
      </c>
      <c r="K107" s="187">
        <v>96292.446738483399</v>
      </c>
      <c r="L107" s="187">
        <v>24305.803296530099</v>
      </c>
      <c r="M107" s="187">
        <v>6921.69654787738</v>
      </c>
      <c r="N107" s="187">
        <v>70343.210331163602</v>
      </c>
      <c r="O107" s="187">
        <v>1220.6070163848599</v>
      </c>
      <c r="P107" s="187">
        <v>2084303.87262755</v>
      </c>
      <c r="Q107" s="187">
        <v>917.11458219957694</v>
      </c>
      <c r="R107" s="187">
        <v>9963.2777741130994</v>
      </c>
      <c r="S107" s="187">
        <v>3771000</v>
      </c>
      <c r="T107" s="187"/>
      <c r="U107" s="188">
        <v>212342.86300444001</v>
      </c>
      <c r="V107" s="188">
        <v>13122.9483252271</v>
      </c>
      <c r="W107" s="188">
        <v>28847.039474585599</v>
      </c>
      <c r="X107" s="188"/>
      <c r="Y107" s="187"/>
      <c r="Z107" s="178"/>
    </row>
    <row r="108" spans="1:26" x14ac:dyDescent="0.3">
      <c r="A108" s="184">
        <v>93</v>
      </c>
      <c r="B108" s="185">
        <v>42355</v>
      </c>
      <c r="C108" s="186" t="s">
        <v>529</v>
      </c>
      <c r="D108" s="186" t="s">
        <v>514</v>
      </c>
      <c r="E108" s="187">
        <v>405445.55659832299</v>
      </c>
      <c r="F108" s="187">
        <v>372875.042759559</v>
      </c>
      <c r="G108" s="187">
        <v>251978.013718742</v>
      </c>
      <c r="H108" s="187">
        <v>444.06392440296298</v>
      </c>
      <c r="I108" s="187">
        <v>162156.906965842</v>
      </c>
      <c r="J108" s="187">
        <v>4.3528720899886402</v>
      </c>
      <c r="K108" s="187">
        <v>80002.110295214501</v>
      </c>
      <c r="L108" s="187">
        <v>14693.6639859064</v>
      </c>
      <c r="M108" s="187">
        <v>10564.6170445936</v>
      </c>
      <c r="N108" s="187">
        <v>66521.156819362004</v>
      </c>
      <c r="O108" s="187">
        <v>1311.1554796402099</v>
      </c>
      <c r="P108" s="187">
        <v>2383208.0391534101</v>
      </c>
      <c r="Q108" s="187">
        <v>1618.43654597776</v>
      </c>
      <c r="R108" s="187">
        <v>17176.883836939502</v>
      </c>
      <c r="S108" s="187">
        <v>3768000</v>
      </c>
      <c r="T108" s="187"/>
      <c r="U108" s="188">
        <v>201218.35313278201</v>
      </c>
      <c r="V108" s="188">
        <v>12355.488913605101</v>
      </c>
      <c r="W108" s="188">
        <v>28491.915243805801</v>
      </c>
      <c r="X108" s="188"/>
      <c r="Y108" s="187"/>
      <c r="Z108" s="178"/>
    </row>
    <row r="109" spans="1:26" x14ac:dyDescent="0.3">
      <c r="A109" s="184">
        <v>94</v>
      </c>
      <c r="B109" s="185">
        <v>42369</v>
      </c>
      <c r="C109" s="186" t="s">
        <v>527</v>
      </c>
      <c r="D109" s="186" t="s">
        <v>514</v>
      </c>
      <c r="E109" s="187">
        <v>442007.87446793797</v>
      </c>
      <c r="F109" s="187">
        <v>393377.47093810199</v>
      </c>
      <c r="G109" s="187">
        <v>225306.765643555</v>
      </c>
      <c r="H109" s="187">
        <v>611.06384957219996</v>
      </c>
      <c r="I109" s="187">
        <v>143500.64232118599</v>
      </c>
      <c r="J109" s="187">
        <v>4.3528720899886402</v>
      </c>
      <c r="K109" s="187">
        <v>90907.342485829897</v>
      </c>
      <c r="L109" s="187">
        <v>21432.847576510299</v>
      </c>
      <c r="M109" s="187">
        <v>3465.1135239299501</v>
      </c>
      <c r="N109" s="187">
        <v>65232.112018043503</v>
      </c>
      <c r="O109" s="187">
        <v>1383.27720946101</v>
      </c>
      <c r="P109" s="187">
        <v>2371630.52962344</v>
      </c>
      <c r="Q109" s="187">
        <v>674.34910030291405</v>
      </c>
      <c r="R109" s="187">
        <v>7466.2583700428704</v>
      </c>
      <c r="S109" s="187">
        <v>3767000</v>
      </c>
      <c r="T109" s="187"/>
      <c r="U109" s="188">
        <v>183689.16342448001</v>
      </c>
      <c r="V109" s="188">
        <v>10887.210568615699</v>
      </c>
      <c r="W109" s="188">
        <v>35395.997740894098</v>
      </c>
      <c r="X109" s="188"/>
      <c r="Y109" s="187"/>
      <c r="Z109" s="178"/>
    </row>
    <row r="110" spans="1:26" x14ac:dyDescent="0.3">
      <c r="A110" s="184">
        <v>95</v>
      </c>
      <c r="B110" s="185">
        <v>42360</v>
      </c>
      <c r="C110" s="186" t="s">
        <v>519</v>
      </c>
      <c r="D110" s="186" t="s">
        <v>514</v>
      </c>
      <c r="E110" s="187">
        <v>431212.30984984501</v>
      </c>
      <c r="F110" s="187">
        <v>378787.927981771</v>
      </c>
      <c r="G110" s="187">
        <v>244071.827456372</v>
      </c>
      <c r="H110" s="187">
        <v>506.90428556523199</v>
      </c>
      <c r="I110" s="187">
        <v>150780.89062848</v>
      </c>
      <c r="J110" s="187">
        <v>4.3528720899886402</v>
      </c>
      <c r="K110" s="187">
        <v>82772.389382423993</v>
      </c>
      <c r="L110" s="187">
        <v>13241.4799795868</v>
      </c>
      <c r="M110" s="187">
        <v>2615.99284905791</v>
      </c>
      <c r="N110" s="187">
        <v>67158.783237986005</v>
      </c>
      <c r="O110" s="187">
        <v>1270.47531032087</v>
      </c>
      <c r="P110" s="187">
        <v>2373781.3457835801</v>
      </c>
      <c r="Q110" s="187">
        <v>1618.43654597776</v>
      </c>
      <c r="R110" s="187">
        <v>17176.883836939502</v>
      </c>
      <c r="S110" s="187">
        <v>3765000</v>
      </c>
      <c r="T110" s="187"/>
      <c r="U110" s="188">
        <v>205048.172319723</v>
      </c>
      <c r="V110" s="188">
        <v>9135.8423936421295</v>
      </c>
      <c r="W110" s="188">
        <v>29860.215536372802</v>
      </c>
      <c r="X110" s="188"/>
      <c r="Y110" s="187"/>
      <c r="Z110" s="178"/>
    </row>
    <row r="111" spans="1:26" x14ac:dyDescent="0.3">
      <c r="A111" s="184">
        <v>96</v>
      </c>
      <c r="B111" s="185">
        <v>42333</v>
      </c>
      <c r="C111" s="186" t="s">
        <v>516</v>
      </c>
      <c r="D111" s="186" t="s">
        <v>514</v>
      </c>
      <c r="E111" s="187">
        <v>600471.11640849104</v>
      </c>
      <c r="F111" s="187">
        <v>620139.14171523903</v>
      </c>
      <c r="G111" s="187">
        <v>342177.22222509002</v>
      </c>
      <c r="H111" s="187">
        <v>1023.2092406025999</v>
      </c>
      <c r="I111" s="187">
        <v>219656.83014465199</v>
      </c>
      <c r="J111" s="187">
        <v>4.3528720899886402</v>
      </c>
      <c r="K111" s="187">
        <v>114035.801921627</v>
      </c>
      <c r="L111" s="187">
        <v>58180.340584289297</v>
      </c>
      <c r="M111" s="187">
        <v>3488.3128192284998</v>
      </c>
      <c r="N111" s="187">
        <v>65563.149691450497</v>
      </c>
      <c r="O111" s="187">
        <v>1147.46631344722</v>
      </c>
      <c r="P111" s="187">
        <v>1726494.55740237</v>
      </c>
      <c r="Q111" s="187">
        <v>539.47884811977303</v>
      </c>
      <c r="R111" s="187">
        <v>6079.0198133006897</v>
      </c>
      <c r="S111" s="187">
        <v>3759000</v>
      </c>
      <c r="T111" s="187"/>
      <c r="U111" s="188">
        <v>206247.11028274399</v>
      </c>
      <c r="V111" s="188">
        <v>9533.7255540692295</v>
      </c>
      <c r="W111" s="188">
        <v>34690.163413718699</v>
      </c>
      <c r="X111" s="188"/>
      <c r="Y111" s="187"/>
      <c r="Z111" s="178"/>
    </row>
    <row r="112" spans="1:26" x14ac:dyDescent="0.3">
      <c r="A112" s="184">
        <v>97</v>
      </c>
      <c r="B112" s="185">
        <v>42376</v>
      </c>
      <c r="C112" s="186" t="s">
        <v>516</v>
      </c>
      <c r="D112" s="186" t="s">
        <v>514</v>
      </c>
      <c r="E112" s="187">
        <v>552702.58681870496</v>
      </c>
      <c r="F112" s="187">
        <v>522234.48621604597</v>
      </c>
      <c r="G112" s="187">
        <v>326576.58185424702</v>
      </c>
      <c r="H112" s="187">
        <v>455.43200822757598</v>
      </c>
      <c r="I112" s="187">
        <v>201085.08151990001</v>
      </c>
      <c r="J112" s="187">
        <v>4.3528720899886402</v>
      </c>
      <c r="K112" s="187">
        <v>97685.512480501406</v>
      </c>
      <c r="L112" s="187">
        <v>54418.680344444198</v>
      </c>
      <c r="M112" s="187">
        <v>7554.5212040993001</v>
      </c>
      <c r="N112" s="187">
        <v>74523.956694512206</v>
      </c>
      <c r="O112" s="187">
        <v>1504.2275009974701</v>
      </c>
      <c r="P112" s="187">
        <v>1902807.88606896</v>
      </c>
      <c r="Q112" s="187">
        <v>1321.7231797546499</v>
      </c>
      <c r="R112" s="187">
        <v>14124.971237513701</v>
      </c>
      <c r="S112" s="187">
        <v>3757000</v>
      </c>
      <c r="T112" s="187"/>
      <c r="U112" s="188">
        <v>213400.70156259101</v>
      </c>
      <c r="V112" s="188">
        <v>14943.7876693785</v>
      </c>
      <c r="W112" s="188">
        <v>34949.020865820203</v>
      </c>
      <c r="X112" s="188"/>
      <c r="Y112" s="187"/>
      <c r="Z112" s="178"/>
    </row>
    <row r="113" spans="1:26" x14ac:dyDescent="0.3">
      <c r="A113" s="184">
        <v>98</v>
      </c>
      <c r="B113" s="185">
        <v>42372</v>
      </c>
      <c r="C113" s="186" t="s">
        <v>543</v>
      </c>
      <c r="D113" s="186" t="s">
        <v>514</v>
      </c>
      <c r="E113" s="187">
        <v>379859.530550375</v>
      </c>
      <c r="F113" s="187">
        <v>329881.32964077999</v>
      </c>
      <c r="G113" s="187">
        <v>175424.86998835701</v>
      </c>
      <c r="H113" s="187">
        <v>247.66201088581701</v>
      </c>
      <c r="I113" s="187">
        <v>129363.07838005701</v>
      </c>
      <c r="J113" s="187">
        <v>3.7310332199902598</v>
      </c>
      <c r="K113" s="187">
        <v>77879.713354340798</v>
      </c>
      <c r="L113" s="187">
        <v>22427.1367800644</v>
      </c>
      <c r="M113" s="187">
        <v>3971.1207949700602</v>
      </c>
      <c r="N113" s="187">
        <v>62426.663668953501</v>
      </c>
      <c r="O113" s="187">
        <v>1306.76961417758</v>
      </c>
      <c r="P113" s="187">
        <v>2572678.3063740102</v>
      </c>
      <c r="Q113" s="187">
        <v>0</v>
      </c>
      <c r="R113" s="187">
        <v>530.08780980466202</v>
      </c>
      <c r="S113" s="187">
        <v>3756000</v>
      </c>
      <c r="T113" s="187"/>
      <c r="U113" s="188">
        <v>183536.35321668099</v>
      </c>
      <c r="V113" s="188">
        <v>11430.568431067401</v>
      </c>
      <c r="W113" s="188">
        <v>33258.315859325798</v>
      </c>
      <c r="X113" s="188"/>
      <c r="Y113" s="187"/>
      <c r="Z113" s="178"/>
    </row>
    <row r="114" spans="1:26" x14ac:dyDescent="0.3">
      <c r="A114" s="184">
        <v>99</v>
      </c>
      <c r="B114" s="185">
        <v>42328</v>
      </c>
      <c r="C114" s="186" t="s">
        <v>516</v>
      </c>
      <c r="D114" s="186" t="s">
        <v>514</v>
      </c>
      <c r="E114" s="187">
        <v>514051.74562877603</v>
      </c>
      <c r="F114" s="187">
        <v>516568.259163782</v>
      </c>
      <c r="G114" s="187">
        <v>313086.71074982698</v>
      </c>
      <c r="H114" s="187">
        <v>986.498244551619</v>
      </c>
      <c r="I114" s="187">
        <v>200094.98982117401</v>
      </c>
      <c r="J114" s="187">
        <v>4.3528720899886402</v>
      </c>
      <c r="K114" s="187">
        <v>99701.532299612794</v>
      </c>
      <c r="L114" s="187">
        <v>52293.865778265797</v>
      </c>
      <c r="M114" s="187">
        <v>5705.2757532324804</v>
      </c>
      <c r="N114" s="187">
        <v>70558.8942563702</v>
      </c>
      <c r="O114" s="187">
        <v>1245.96230255919</v>
      </c>
      <c r="P114" s="187">
        <v>1975214.3582563601</v>
      </c>
      <c r="Q114" s="187">
        <v>350.66125216799298</v>
      </c>
      <c r="R114" s="187">
        <v>4136.8936212328199</v>
      </c>
      <c r="S114" s="187">
        <v>3754000</v>
      </c>
      <c r="T114" s="187"/>
      <c r="U114" s="188">
        <v>205748.89752255401</v>
      </c>
      <c r="V114" s="188">
        <v>13659.732348685</v>
      </c>
      <c r="W114" s="188">
        <v>35476.377704115999</v>
      </c>
      <c r="X114" s="188"/>
      <c r="Y114" s="187"/>
      <c r="Z114" s="178"/>
    </row>
    <row r="115" spans="1:26" x14ac:dyDescent="0.3">
      <c r="A115" s="184">
        <v>100</v>
      </c>
      <c r="B115" s="185">
        <v>42370</v>
      </c>
      <c r="C115" s="186" t="s">
        <v>529</v>
      </c>
      <c r="D115" s="186" t="s">
        <v>514</v>
      </c>
      <c r="E115" s="187">
        <v>387033.53292022803</v>
      </c>
      <c r="F115" s="187">
        <v>307797.67119442398</v>
      </c>
      <c r="G115" s="187">
        <v>157612.79234542599</v>
      </c>
      <c r="H115" s="187">
        <v>554.59804417319401</v>
      </c>
      <c r="I115" s="187">
        <v>119688.078382331</v>
      </c>
      <c r="J115" s="187">
        <v>4.3528720899886402</v>
      </c>
      <c r="K115" s="187">
        <v>73730.006343564804</v>
      </c>
      <c r="L115" s="187">
        <v>22220.762143299598</v>
      </c>
      <c r="M115" s="187">
        <v>3734.0787632359302</v>
      </c>
      <c r="N115" s="187">
        <v>60404.9551290651</v>
      </c>
      <c r="O115" s="187">
        <v>1659.35842385519</v>
      </c>
      <c r="P115" s="187">
        <v>2599764.4930553902</v>
      </c>
      <c r="Q115" s="187">
        <v>1618.43654597776</v>
      </c>
      <c r="R115" s="187">
        <v>17176.883836939502</v>
      </c>
      <c r="S115" s="187">
        <v>3753000</v>
      </c>
      <c r="T115" s="187"/>
      <c r="U115" s="188">
        <v>184606.53339425099</v>
      </c>
      <c r="V115" s="188">
        <v>11233.9857599566</v>
      </c>
      <c r="W115" s="188">
        <v>33964.862143660001</v>
      </c>
      <c r="X115" s="188"/>
      <c r="Y115" s="187"/>
      <c r="Z115" s="178"/>
    </row>
    <row r="116" spans="1:26" x14ac:dyDescent="0.3">
      <c r="A116" s="184">
        <v>101</v>
      </c>
      <c r="B116" s="185">
        <v>42372</v>
      </c>
      <c r="C116" s="186" t="s">
        <v>535</v>
      </c>
      <c r="D116" s="186" t="s">
        <v>514</v>
      </c>
      <c r="E116" s="187">
        <v>406569.80748378899</v>
      </c>
      <c r="F116" s="187">
        <v>355484.72986982501</v>
      </c>
      <c r="G116" s="187">
        <v>184629.714865927</v>
      </c>
      <c r="H116" s="187">
        <v>314.65971806664402</v>
      </c>
      <c r="I116" s="187">
        <v>139063.46720451201</v>
      </c>
      <c r="J116" s="187">
        <v>4.3528720899886402</v>
      </c>
      <c r="K116" s="187">
        <v>84966.750183111901</v>
      </c>
      <c r="L116" s="187">
        <v>32767.659028128201</v>
      </c>
      <c r="M116" s="187">
        <v>3593.6410809459699</v>
      </c>
      <c r="N116" s="187">
        <v>60913.425656846899</v>
      </c>
      <c r="O116" s="187">
        <v>1520.29302776129</v>
      </c>
      <c r="P116" s="187">
        <v>2481641.4111991902</v>
      </c>
      <c r="Q116" s="187">
        <v>0</v>
      </c>
      <c r="R116" s="187">
        <v>530.08780980466202</v>
      </c>
      <c r="S116" s="187">
        <v>3752000</v>
      </c>
      <c r="T116" s="187"/>
      <c r="U116" s="188">
        <v>184702.478547693</v>
      </c>
      <c r="V116" s="188">
        <v>11692.3295752308</v>
      </c>
      <c r="W116" s="188">
        <v>33248.317946653799</v>
      </c>
      <c r="X116" s="188"/>
      <c r="Y116" s="187"/>
      <c r="Z116" s="178"/>
    </row>
    <row r="117" spans="1:26" x14ac:dyDescent="0.3">
      <c r="A117" s="184">
        <v>102</v>
      </c>
      <c r="B117" s="185">
        <v>42334</v>
      </c>
      <c r="C117" s="186" t="s">
        <v>536</v>
      </c>
      <c r="D117" s="186" t="s">
        <v>514</v>
      </c>
      <c r="E117" s="187">
        <v>455527.88713697402</v>
      </c>
      <c r="F117" s="187">
        <v>445153.71971159999</v>
      </c>
      <c r="G117" s="187">
        <v>197389.76285962501</v>
      </c>
      <c r="H117" s="187">
        <v>1146.0105289912201</v>
      </c>
      <c r="I117" s="187">
        <v>150695.20878883899</v>
      </c>
      <c r="J117" s="187">
        <v>4.3528720899886402</v>
      </c>
      <c r="K117" s="187">
        <v>110999.892710423</v>
      </c>
      <c r="L117" s="187">
        <v>27488.472497941701</v>
      </c>
      <c r="M117" s="187">
        <v>6679.1982536245896</v>
      </c>
      <c r="N117" s="187">
        <v>60655.470125156899</v>
      </c>
      <c r="O117" s="187">
        <v>922.24942608486504</v>
      </c>
      <c r="P117" s="187">
        <v>2293807.68727885</v>
      </c>
      <c r="Q117" s="187">
        <v>0</v>
      </c>
      <c r="R117" s="187">
        <v>530.08780980466202</v>
      </c>
      <c r="S117" s="187">
        <v>3751000</v>
      </c>
      <c r="T117" s="187"/>
      <c r="U117" s="188">
        <v>183666.88135809201</v>
      </c>
      <c r="V117" s="188">
        <v>8022.7898374383603</v>
      </c>
      <c r="W117" s="188">
        <v>35066.178501699302</v>
      </c>
      <c r="X117" s="188"/>
      <c r="Y117" s="187"/>
      <c r="Z117" s="178"/>
    </row>
    <row r="118" spans="1:26" x14ac:dyDescent="0.3">
      <c r="A118" s="184">
        <v>103</v>
      </c>
      <c r="B118" s="185">
        <v>42373</v>
      </c>
      <c r="C118" s="186" t="s">
        <v>538</v>
      </c>
      <c r="D118" s="186" t="s">
        <v>514</v>
      </c>
      <c r="E118" s="187">
        <v>404473.02742844401</v>
      </c>
      <c r="F118" s="187">
        <v>387599.37075713102</v>
      </c>
      <c r="G118" s="187">
        <v>234042.65141306401</v>
      </c>
      <c r="H118" s="187">
        <v>502.96284524372999</v>
      </c>
      <c r="I118" s="187">
        <v>165101.955975805</v>
      </c>
      <c r="J118" s="187">
        <v>3.7310332199902598</v>
      </c>
      <c r="K118" s="187">
        <v>82735.674797633197</v>
      </c>
      <c r="L118" s="187">
        <v>20475.2157612542</v>
      </c>
      <c r="M118" s="187">
        <v>4142.3619294642403</v>
      </c>
      <c r="N118" s="187">
        <v>61823.817428358401</v>
      </c>
      <c r="O118" s="187">
        <v>1550.9847565193199</v>
      </c>
      <c r="P118" s="187">
        <v>2369752.9254909498</v>
      </c>
      <c r="Q118" s="187">
        <v>1618.43654597776</v>
      </c>
      <c r="R118" s="187">
        <v>17176.883836939502</v>
      </c>
      <c r="S118" s="187">
        <v>3751000</v>
      </c>
      <c r="T118" s="187"/>
      <c r="U118" s="188">
        <v>208567.93502670701</v>
      </c>
      <c r="V118" s="188">
        <v>13120.6982888523</v>
      </c>
      <c r="W118" s="188">
        <v>34880.367854084499</v>
      </c>
      <c r="X118" s="188"/>
      <c r="Y118" s="187"/>
      <c r="Z118" s="178"/>
    </row>
    <row r="119" spans="1:26" x14ac:dyDescent="0.3">
      <c r="A119" s="184">
        <v>104</v>
      </c>
      <c r="B119" s="185">
        <v>42374</v>
      </c>
      <c r="C119" s="186" t="s">
        <v>529</v>
      </c>
      <c r="D119" s="186" t="s">
        <v>514</v>
      </c>
      <c r="E119" s="187">
        <v>388521.13843244198</v>
      </c>
      <c r="F119" s="187">
        <v>358211.43722238397</v>
      </c>
      <c r="G119" s="187">
        <v>237279.468711939</v>
      </c>
      <c r="H119" s="187">
        <v>451.93527557981798</v>
      </c>
      <c r="I119" s="187">
        <v>158010.57044949499</v>
      </c>
      <c r="J119" s="187">
        <v>4.3528720899886402</v>
      </c>
      <c r="K119" s="187">
        <v>77998.733574551297</v>
      </c>
      <c r="L119" s="187">
        <v>14476.307460804101</v>
      </c>
      <c r="M119" s="187">
        <v>4875.9238503963297</v>
      </c>
      <c r="N119" s="187">
        <v>70270.026403733893</v>
      </c>
      <c r="O119" s="187">
        <v>1465.53628804296</v>
      </c>
      <c r="P119" s="187">
        <v>2419639.24907562</v>
      </c>
      <c r="Q119" s="187">
        <v>1618.43654597776</v>
      </c>
      <c r="R119" s="187">
        <v>17176.883836939502</v>
      </c>
      <c r="S119" s="187">
        <v>3750000</v>
      </c>
      <c r="T119" s="187"/>
      <c r="U119" s="188">
        <v>207683.74396948901</v>
      </c>
      <c r="V119" s="188">
        <v>13680.200421514401</v>
      </c>
      <c r="W119" s="188">
        <v>35911.424211372701</v>
      </c>
      <c r="X119" s="188"/>
      <c r="Y119" s="187"/>
      <c r="Z119" s="178"/>
    </row>
    <row r="120" spans="1:26" x14ac:dyDescent="0.3">
      <c r="A120" s="184">
        <v>105</v>
      </c>
      <c r="B120" s="185">
        <v>42353</v>
      </c>
      <c r="C120" s="186" t="s">
        <v>529</v>
      </c>
      <c r="D120" s="186" t="s">
        <v>514</v>
      </c>
      <c r="E120" s="187">
        <v>404401.130068461</v>
      </c>
      <c r="F120" s="187">
        <v>367755.30650677299</v>
      </c>
      <c r="G120" s="187">
        <v>251132.74605368901</v>
      </c>
      <c r="H120" s="187">
        <v>388.50736699470701</v>
      </c>
      <c r="I120" s="187">
        <v>162297.32186421801</v>
      </c>
      <c r="J120" s="187">
        <v>4.3528720899886402</v>
      </c>
      <c r="K120" s="187">
        <v>80456.130234623299</v>
      </c>
      <c r="L120" s="187">
        <v>14630.0276769435</v>
      </c>
      <c r="M120" s="187">
        <v>8717.6009248677492</v>
      </c>
      <c r="N120" s="187">
        <v>65219.9995182325</v>
      </c>
      <c r="O120" s="187">
        <v>1404.7935760084199</v>
      </c>
      <c r="P120" s="187">
        <v>2373796.7629541801</v>
      </c>
      <c r="Q120" s="187">
        <v>1618.43654597776</v>
      </c>
      <c r="R120" s="187">
        <v>17176.883836939502</v>
      </c>
      <c r="S120" s="187">
        <v>3749000</v>
      </c>
      <c r="T120" s="187"/>
      <c r="U120" s="188">
        <v>210578.896605444</v>
      </c>
      <c r="V120" s="188">
        <v>12459.467553085</v>
      </c>
      <c r="W120" s="188">
        <v>28362.8272401096</v>
      </c>
      <c r="X120" s="188"/>
      <c r="Y120" s="187"/>
      <c r="Z120" s="178"/>
    </row>
    <row r="121" spans="1:26" x14ac:dyDescent="0.3">
      <c r="A121" s="184">
        <v>106</v>
      </c>
      <c r="B121" s="185">
        <v>42333</v>
      </c>
      <c r="C121" s="186" t="s">
        <v>519</v>
      </c>
      <c r="D121" s="186" t="s">
        <v>514</v>
      </c>
      <c r="E121" s="187">
        <v>451820.21932374302</v>
      </c>
      <c r="F121" s="187">
        <v>439696.02442369302</v>
      </c>
      <c r="G121" s="187">
        <v>277721.53062045301</v>
      </c>
      <c r="H121" s="187">
        <v>978.45417237448396</v>
      </c>
      <c r="I121" s="187">
        <v>166399.158815498</v>
      </c>
      <c r="J121" s="187">
        <v>3.7310332199902598</v>
      </c>
      <c r="K121" s="187">
        <v>101614.138392671</v>
      </c>
      <c r="L121" s="187">
        <v>17662.6948022631</v>
      </c>
      <c r="M121" s="187">
        <v>8647.9826797835995</v>
      </c>
      <c r="N121" s="187">
        <v>67674.083587089801</v>
      </c>
      <c r="O121" s="187">
        <v>1137.8049499285801</v>
      </c>
      <c r="P121" s="187">
        <v>2194848.85681637</v>
      </c>
      <c r="Q121" s="187">
        <v>1618.43654597776</v>
      </c>
      <c r="R121" s="187">
        <v>17176.883836939502</v>
      </c>
      <c r="S121" s="187">
        <v>3747000</v>
      </c>
      <c r="T121" s="187"/>
      <c r="U121" s="188">
        <v>198169.12865604501</v>
      </c>
      <c r="V121" s="188">
        <v>9010.9394527590903</v>
      </c>
      <c r="W121" s="188">
        <v>35896.229011441901</v>
      </c>
      <c r="X121" s="188"/>
      <c r="Y121" s="187"/>
      <c r="Z121" s="178"/>
    </row>
    <row r="122" spans="1:26" x14ac:dyDescent="0.3">
      <c r="A122" s="184">
        <v>107</v>
      </c>
      <c r="B122" s="185">
        <v>42380</v>
      </c>
      <c r="C122" s="186" t="s">
        <v>537</v>
      </c>
      <c r="D122" s="186" t="s">
        <v>514</v>
      </c>
      <c r="E122" s="187">
        <v>569909.00423157704</v>
      </c>
      <c r="F122" s="187">
        <v>550129.53314318706</v>
      </c>
      <c r="G122" s="187">
        <v>328724.93260315002</v>
      </c>
      <c r="H122" s="187">
        <v>273.17478507154902</v>
      </c>
      <c r="I122" s="187">
        <v>208055.20474332501</v>
      </c>
      <c r="J122" s="187">
        <v>4.3528720899886402</v>
      </c>
      <c r="K122" s="187">
        <v>95880.359855930306</v>
      </c>
      <c r="L122" s="187">
        <v>48878.3266701955</v>
      </c>
      <c r="M122" s="187">
        <v>5107.8557258163301</v>
      </c>
      <c r="N122" s="187">
        <v>71148.223354319096</v>
      </c>
      <c r="O122" s="187">
        <v>1394.5434657354999</v>
      </c>
      <c r="P122" s="187">
        <v>1866964.4007398</v>
      </c>
      <c r="Q122" s="187">
        <v>0</v>
      </c>
      <c r="R122" s="187">
        <v>530.08780980466202</v>
      </c>
      <c r="S122" s="187">
        <v>3747000</v>
      </c>
      <c r="T122" s="187"/>
      <c r="U122" s="188">
        <v>215740.14556750801</v>
      </c>
      <c r="V122" s="188">
        <v>13401.890622723</v>
      </c>
      <c r="W122" s="188">
        <v>35336.681538754499</v>
      </c>
      <c r="X122" s="188"/>
      <c r="Y122" s="187"/>
      <c r="Z122" s="178"/>
    </row>
    <row r="123" spans="1:26" x14ac:dyDescent="0.3">
      <c r="A123" s="184">
        <v>108</v>
      </c>
      <c r="B123" s="185">
        <v>42354</v>
      </c>
      <c r="C123" s="186" t="s">
        <v>538</v>
      </c>
      <c r="D123" s="186" t="s">
        <v>514</v>
      </c>
      <c r="E123" s="187">
        <v>395045.72779679799</v>
      </c>
      <c r="F123" s="187">
        <v>362262.67473721999</v>
      </c>
      <c r="G123" s="187">
        <v>248737.25148126399</v>
      </c>
      <c r="H123" s="187">
        <v>453.46550161886302</v>
      </c>
      <c r="I123" s="187">
        <v>161647.16644264699</v>
      </c>
      <c r="J123" s="187">
        <v>4.3528720899886402</v>
      </c>
      <c r="K123" s="187">
        <v>81285.464581456297</v>
      </c>
      <c r="L123" s="187">
        <v>16158.2553438959</v>
      </c>
      <c r="M123" s="187">
        <v>7591.9515721610696</v>
      </c>
      <c r="N123" s="187">
        <v>62517.385274681001</v>
      </c>
      <c r="O123" s="187">
        <v>1309.66114728497</v>
      </c>
      <c r="P123" s="187">
        <v>2388191.32286597</v>
      </c>
      <c r="Q123" s="187">
        <v>1618.43654597776</v>
      </c>
      <c r="R123" s="187">
        <v>17176.883836939502</v>
      </c>
      <c r="S123" s="187">
        <v>3744000</v>
      </c>
      <c r="T123" s="187"/>
      <c r="U123" s="188">
        <v>199074.43171680401</v>
      </c>
      <c r="V123" s="188">
        <v>12846.8367186544</v>
      </c>
      <c r="W123" s="188">
        <v>28166.3270642971</v>
      </c>
      <c r="X123" s="188"/>
      <c r="Y123" s="187"/>
      <c r="Z123" s="178"/>
    </row>
    <row r="124" spans="1:26" x14ac:dyDescent="0.3">
      <c r="A124" s="184">
        <v>109</v>
      </c>
      <c r="B124" s="185">
        <v>42384</v>
      </c>
      <c r="C124" s="186" t="s">
        <v>516</v>
      </c>
      <c r="D124" s="186" t="s">
        <v>514</v>
      </c>
      <c r="E124" s="187">
        <v>507294.00151682401</v>
      </c>
      <c r="F124" s="187">
        <v>492627.01087827201</v>
      </c>
      <c r="G124" s="187">
        <v>310524.569105745</v>
      </c>
      <c r="H124" s="187">
        <v>345.87090662597802</v>
      </c>
      <c r="I124" s="187">
        <v>193323.54204751999</v>
      </c>
      <c r="J124" s="187">
        <v>4.3528720899886402</v>
      </c>
      <c r="K124" s="187">
        <v>92120.033607383797</v>
      </c>
      <c r="L124" s="187">
        <v>51487.2355797368</v>
      </c>
      <c r="M124" s="187">
        <v>7867.6760620498699</v>
      </c>
      <c r="N124" s="187">
        <v>73033.620467762594</v>
      </c>
      <c r="O124" s="187">
        <v>1506.9189551187001</v>
      </c>
      <c r="P124" s="187">
        <v>1997636.15576123</v>
      </c>
      <c r="Q124" s="187">
        <v>1213.82740948332</v>
      </c>
      <c r="R124" s="187">
        <v>13015.1848301558</v>
      </c>
      <c r="S124" s="187">
        <v>3742000</v>
      </c>
      <c r="T124" s="187"/>
      <c r="U124" s="188">
        <v>210924.29915783499</v>
      </c>
      <c r="V124" s="188">
        <v>13886.768277090699</v>
      </c>
      <c r="W124" s="188">
        <v>35574.678646104898</v>
      </c>
      <c r="X124" s="188"/>
      <c r="Y124" s="187"/>
      <c r="Z124" s="178"/>
    </row>
    <row r="125" spans="1:26" x14ac:dyDescent="0.3">
      <c r="A125" s="184">
        <v>110</v>
      </c>
      <c r="B125" s="185">
        <v>42353</v>
      </c>
      <c r="C125" s="186" t="s">
        <v>535</v>
      </c>
      <c r="D125" s="186" t="s">
        <v>514</v>
      </c>
      <c r="E125" s="187">
        <v>556007.07884581701</v>
      </c>
      <c r="F125" s="187">
        <v>542213.42293200595</v>
      </c>
      <c r="G125" s="187">
        <v>322147.08521040302</v>
      </c>
      <c r="H125" s="187">
        <v>280.92062035919997</v>
      </c>
      <c r="I125" s="187">
        <v>198509.42745922101</v>
      </c>
      <c r="J125" s="187">
        <v>3.7310332199902598</v>
      </c>
      <c r="K125" s="187">
        <v>96137.900911437901</v>
      </c>
      <c r="L125" s="187">
        <v>55133.217825961699</v>
      </c>
      <c r="M125" s="187">
        <v>6732.8039969515703</v>
      </c>
      <c r="N125" s="187">
        <v>73564.656888049401</v>
      </c>
      <c r="O125" s="187">
        <v>1256.32963714728</v>
      </c>
      <c r="P125" s="187">
        <v>1888483.3368296199</v>
      </c>
      <c r="Q125" s="187">
        <v>0</v>
      </c>
      <c r="R125" s="187">
        <v>530.08780980466202</v>
      </c>
      <c r="S125" s="187">
        <v>3741000</v>
      </c>
      <c r="T125" s="187"/>
      <c r="U125" s="188">
        <v>211935.79305278999</v>
      </c>
      <c r="V125" s="188">
        <v>12818.218744485701</v>
      </c>
      <c r="W125" s="188">
        <v>28882.576307623302</v>
      </c>
      <c r="X125" s="188"/>
      <c r="Y125" s="187"/>
      <c r="Z125" s="178"/>
    </row>
    <row r="126" spans="1:26" x14ac:dyDescent="0.3">
      <c r="A126" s="184">
        <v>111</v>
      </c>
      <c r="B126" s="185">
        <v>42331</v>
      </c>
      <c r="C126" s="186" t="s">
        <v>516</v>
      </c>
      <c r="D126" s="186" t="s">
        <v>514</v>
      </c>
      <c r="E126" s="187">
        <v>583326.24817212205</v>
      </c>
      <c r="F126" s="187">
        <v>612678.48551588401</v>
      </c>
      <c r="G126" s="187">
        <v>360344.99627965601</v>
      </c>
      <c r="H126" s="187">
        <v>1132.61103843104</v>
      </c>
      <c r="I126" s="187">
        <v>224836.157308833</v>
      </c>
      <c r="J126" s="187">
        <v>3.7310332199902598</v>
      </c>
      <c r="K126" s="187">
        <v>113917.490519963</v>
      </c>
      <c r="L126" s="187">
        <v>65104.292783090998</v>
      </c>
      <c r="M126" s="187">
        <v>3486.3074391610098</v>
      </c>
      <c r="N126" s="187">
        <v>76309.9702380776</v>
      </c>
      <c r="O126" s="187">
        <v>1225.7763966499599</v>
      </c>
      <c r="P126" s="187">
        <v>1692624.27569317</v>
      </c>
      <c r="Q126" s="187">
        <v>485.53096379332698</v>
      </c>
      <c r="R126" s="187">
        <v>5524.1266179451204</v>
      </c>
      <c r="S126" s="187">
        <v>3741000</v>
      </c>
      <c r="T126" s="187"/>
      <c r="U126" s="188">
        <v>208301.32348897701</v>
      </c>
      <c r="V126" s="188">
        <v>13184.445863196301</v>
      </c>
      <c r="W126" s="188">
        <v>34414.564797570201</v>
      </c>
      <c r="X126" s="188"/>
      <c r="Y126" s="187"/>
      <c r="Z126" s="178"/>
    </row>
    <row r="127" spans="1:26" x14ac:dyDescent="0.3">
      <c r="A127" s="184">
        <v>112</v>
      </c>
      <c r="B127" s="185">
        <v>42333</v>
      </c>
      <c r="C127" s="186" t="s">
        <v>535</v>
      </c>
      <c r="D127" s="186" t="s">
        <v>514</v>
      </c>
      <c r="E127" s="187">
        <v>622234.84978253394</v>
      </c>
      <c r="F127" s="187">
        <v>654382.61932264699</v>
      </c>
      <c r="G127" s="187">
        <v>342122.71184645803</v>
      </c>
      <c r="H127" s="187">
        <v>984.41102062146899</v>
      </c>
      <c r="I127" s="187">
        <v>219774.561348916</v>
      </c>
      <c r="J127" s="187">
        <v>4.3528720899886402</v>
      </c>
      <c r="K127" s="187">
        <v>116094.293473761</v>
      </c>
      <c r="L127" s="187">
        <v>59761.934403368301</v>
      </c>
      <c r="M127" s="187">
        <v>4625.26152155405</v>
      </c>
      <c r="N127" s="187">
        <v>64474.113815583099</v>
      </c>
      <c r="O127" s="187">
        <v>1087.3557847736699</v>
      </c>
      <c r="P127" s="187">
        <v>1654923.44699789</v>
      </c>
      <c r="Q127" s="187">
        <v>0</v>
      </c>
      <c r="R127" s="187">
        <v>530.08780980466202</v>
      </c>
      <c r="S127" s="187">
        <v>3741000</v>
      </c>
      <c r="T127" s="187"/>
      <c r="U127" s="188">
        <v>204887.37516118601</v>
      </c>
      <c r="V127" s="188">
        <v>9410.07724176388</v>
      </c>
      <c r="W127" s="188">
        <v>34729.768573377798</v>
      </c>
      <c r="X127" s="188"/>
      <c r="Y127" s="187"/>
      <c r="Z127" s="178"/>
    </row>
    <row r="128" spans="1:26" x14ac:dyDescent="0.3">
      <c r="A128" s="184">
        <v>113</v>
      </c>
      <c r="B128" s="185">
        <v>42372</v>
      </c>
      <c r="C128" s="186" t="s">
        <v>544</v>
      </c>
      <c r="D128" s="186" t="s">
        <v>514</v>
      </c>
      <c r="E128" s="187">
        <v>385112.90901833097</v>
      </c>
      <c r="F128" s="187">
        <v>322193.234390228</v>
      </c>
      <c r="G128" s="187">
        <v>175664.693987337</v>
      </c>
      <c r="H128" s="187">
        <v>296.40388206016797</v>
      </c>
      <c r="I128" s="187">
        <v>130741.582761932</v>
      </c>
      <c r="J128" s="187">
        <v>4.3528720899886402</v>
      </c>
      <c r="K128" s="187">
        <v>79480.224793885995</v>
      </c>
      <c r="L128" s="187">
        <v>23276.255689027301</v>
      </c>
      <c r="M128" s="187">
        <v>3937.1718481422099</v>
      </c>
      <c r="N128" s="187">
        <v>62297.9759923897</v>
      </c>
      <c r="O128" s="187">
        <v>1299.2277187806801</v>
      </c>
      <c r="P128" s="187">
        <v>2554165.8792359899</v>
      </c>
      <c r="Q128" s="187">
        <v>0</v>
      </c>
      <c r="R128" s="187">
        <v>530.08780980466202</v>
      </c>
      <c r="S128" s="187">
        <v>3739000</v>
      </c>
      <c r="T128" s="187"/>
      <c r="U128" s="188">
        <v>183007.11852936001</v>
      </c>
      <c r="V128" s="188">
        <v>11246.417988589999</v>
      </c>
      <c r="W128" s="188">
        <v>33157.319650950201</v>
      </c>
      <c r="X128" s="188"/>
      <c r="Y128" s="187"/>
      <c r="Z128" s="178"/>
    </row>
    <row r="129" spans="1:26" x14ac:dyDescent="0.3">
      <c r="A129" s="184">
        <v>114</v>
      </c>
      <c r="B129" s="185">
        <v>42373</v>
      </c>
      <c r="C129" s="186" t="s">
        <v>540</v>
      </c>
      <c r="D129" s="186" t="s">
        <v>514</v>
      </c>
      <c r="E129" s="187">
        <v>578984.46100088605</v>
      </c>
      <c r="F129" s="187">
        <v>547907.32069692702</v>
      </c>
      <c r="G129" s="187">
        <v>299404.59083467501</v>
      </c>
      <c r="H129" s="187">
        <v>522.88942704053898</v>
      </c>
      <c r="I129" s="187">
        <v>212806.45547886699</v>
      </c>
      <c r="J129" s="187">
        <v>4.3528720899886402</v>
      </c>
      <c r="K129" s="187">
        <v>98994.266156997401</v>
      </c>
      <c r="L129" s="187">
        <v>49804.354856691898</v>
      </c>
      <c r="M129" s="187">
        <v>3816.7268889616598</v>
      </c>
      <c r="N129" s="187">
        <v>70621.533183964406</v>
      </c>
      <c r="O129" s="187">
        <v>1407.39339120765</v>
      </c>
      <c r="P129" s="187">
        <v>1874195.5674018899</v>
      </c>
      <c r="Q129" s="187">
        <v>0</v>
      </c>
      <c r="R129" s="187">
        <v>530.08780980466202</v>
      </c>
      <c r="S129" s="187">
        <v>3739000</v>
      </c>
      <c r="T129" s="187"/>
      <c r="U129" s="188">
        <v>208857.469621775</v>
      </c>
      <c r="V129" s="188">
        <v>12149.895728163499</v>
      </c>
      <c r="W129" s="188">
        <v>35173.887449000198</v>
      </c>
      <c r="X129" s="188"/>
      <c r="Y129" s="187"/>
      <c r="Z129" s="178"/>
    </row>
    <row r="130" spans="1:26" x14ac:dyDescent="0.3">
      <c r="A130" s="184">
        <v>115</v>
      </c>
      <c r="B130" s="185">
        <v>42374</v>
      </c>
      <c r="C130" s="186" t="s">
        <v>516</v>
      </c>
      <c r="D130" s="186" t="s">
        <v>514</v>
      </c>
      <c r="E130" s="187">
        <v>534356.71132233401</v>
      </c>
      <c r="F130" s="187">
        <v>494695.51454768702</v>
      </c>
      <c r="G130" s="187">
        <v>299958.89628160797</v>
      </c>
      <c r="H130" s="187">
        <v>428.765136756277</v>
      </c>
      <c r="I130" s="187">
        <v>195801.56826332599</v>
      </c>
      <c r="J130" s="187">
        <v>3.7310332199902598</v>
      </c>
      <c r="K130" s="187">
        <v>94763.905328941706</v>
      </c>
      <c r="L130" s="187">
        <v>52177.489349294403</v>
      </c>
      <c r="M130" s="187">
        <v>3930.1173893261098</v>
      </c>
      <c r="N130" s="187">
        <v>73059.952431637503</v>
      </c>
      <c r="O130" s="187">
        <v>1508.9281859387199</v>
      </c>
      <c r="P130" s="187">
        <v>1967867.7263126599</v>
      </c>
      <c r="Q130" s="187">
        <v>1321.7231797546499</v>
      </c>
      <c r="R130" s="187">
        <v>14124.971237513701</v>
      </c>
      <c r="S130" s="187">
        <v>3734000</v>
      </c>
      <c r="T130" s="187"/>
      <c r="U130" s="188">
        <v>212294.575019474</v>
      </c>
      <c r="V130" s="188">
        <v>14280.5972245106</v>
      </c>
      <c r="W130" s="188">
        <v>34660.8409495952</v>
      </c>
      <c r="X130" s="188"/>
      <c r="Y130" s="187"/>
      <c r="Z130" s="178"/>
    </row>
    <row r="131" spans="1:26" x14ac:dyDescent="0.3">
      <c r="A131" s="184">
        <v>116</v>
      </c>
      <c r="B131" s="185">
        <v>42333</v>
      </c>
      <c r="C131" s="186" t="s">
        <v>513</v>
      </c>
      <c r="D131" s="186" t="s">
        <v>514</v>
      </c>
      <c r="E131" s="187">
        <v>412861.80790342099</v>
      </c>
      <c r="F131" s="187">
        <v>398914.32942984899</v>
      </c>
      <c r="G131" s="187">
        <v>245878.26330313401</v>
      </c>
      <c r="H131" s="187">
        <v>1069.5468254443399</v>
      </c>
      <c r="I131" s="187">
        <v>159905.304789888</v>
      </c>
      <c r="J131" s="187">
        <v>4.3528720899886402</v>
      </c>
      <c r="K131" s="187">
        <v>91625.667813466905</v>
      </c>
      <c r="L131" s="187">
        <v>16795.766945203799</v>
      </c>
      <c r="M131" s="187">
        <v>8686.5124440244999</v>
      </c>
      <c r="N131" s="187">
        <v>65062.730413543097</v>
      </c>
      <c r="O131" s="187">
        <v>1189.2732901371301</v>
      </c>
      <c r="P131" s="187">
        <v>2312211.12358688</v>
      </c>
      <c r="Q131" s="187">
        <v>1618.43654597776</v>
      </c>
      <c r="R131" s="187">
        <v>17176.883836939502</v>
      </c>
      <c r="S131" s="187">
        <v>3733000</v>
      </c>
      <c r="T131" s="187"/>
      <c r="U131" s="188">
        <v>196300.90457016401</v>
      </c>
      <c r="V131" s="188">
        <v>8322.6460675061498</v>
      </c>
      <c r="W131" s="188">
        <v>35870.049329633301</v>
      </c>
      <c r="X131" s="188"/>
      <c r="Y131" s="187"/>
      <c r="Z131" s="178"/>
    </row>
    <row r="132" spans="1:26" x14ac:dyDescent="0.3">
      <c r="A132" s="184">
        <v>117</v>
      </c>
      <c r="B132" s="185">
        <v>42331</v>
      </c>
      <c r="C132" s="186" t="s">
        <v>519</v>
      </c>
      <c r="D132" s="186" t="s">
        <v>514</v>
      </c>
      <c r="E132" s="187">
        <v>468791.45454185602</v>
      </c>
      <c r="F132" s="187">
        <v>452498.27291346202</v>
      </c>
      <c r="G132" s="187">
        <v>290787.11771325598</v>
      </c>
      <c r="H132" s="187">
        <v>282.87621187196402</v>
      </c>
      <c r="I132" s="187">
        <v>184885.29229585599</v>
      </c>
      <c r="J132" s="187">
        <v>4.9747109599870099</v>
      </c>
      <c r="K132" s="187">
        <v>102143.393412134</v>
      </c>
      <c r="L132" s="187">
        <v>17889.185136978202</v>
      </c>
      <c r="M132" s="187">
        <v>4583.6982382262904</v>
      </c>
      <c r="N132" s="187">
        <v>66534.582354866798</v>
      </c>
      <c r="O132" s="187">
        <v>1132.9482688056501</v>
      </c>
      <c r="P132" s="187">
        <v>2124670.8838188099</v>
      </c>
      <c r="Q132" s="187">
        <v>1618.43654597776</v>
      </c>
      <c r="R132" s="187">
        <v>17176.883836939502</v>
      </c>
      <c r="S132" s="187">
        <v>3733000</v>
      </c>
      <c r="T132" s="187"/>
      <c r="U132" s="188">
        <v>203608.476120657</v>
      </c>
      <c r="V132" s="188">
        <v>12202.7663985573</v>
      </c>
      <c r="W132" s="188">
        <v>35576.428026552101</v>
      </c>
      <c r="X132" s="188"/>
      <c r="Y132" s="187"/>
      <c r="Z132" s="178"/>
    </row>
    <row r="133" spans="1:26" x14ac:dyDescent="0.3">
      <c r="A133" s="184">
        <v>118</v>
      </c>
      <c r="B133" s="185">
        <v>42360</v>
      </c>
      <c r="C133" s="186" t="s">
        <v>513</v>
      </c>
      <c r="D133" s="186" t="s">
        <v>514</v>
      </c>
      <c r="E133" s="187">
        <v>399399.35362939199</v>
      </c>
      <c r="F133" s="187">
        <v>369932.03123780602</v>
      </c>
      <c r="G133" s="187">
        <v>232122.11498885401</v>
      </c>
      <c r="H133" s="187">
        <v>409.69738030520898</v>
      </c>
      <c r="I133" s="187">
        <v>150216.41474695099</v>
      </c>
      <c r="J133" s="187">
        <v>4.3528720899886402</v>
      </c>
      <c r="K133" s="187">
        <v>77460.982960281399</v>
      </c>
      <c r="L133" s="187">
        <v>12481.3303358758</v>
      </c>
      <c r="M133" s="187">
        <v>2594.1779785775302</v>
      </c>
      <c r="N133" s="187">
        <v>65339.343266370597</v>
      </c>
      <c r="O133" s="187">
        <v>1303.4414936982901</v>
      </c>
      <c r="P133" s="187">
        <v>2401941.4387268801</v>
      </c>
      <c r="Q133" s="187">
        <v>1618.43654597776</v>
      </c>
      <c r="R133" s="187">
        <v>17176.883836939502</v>
      </c>
      <c r="S133" s="187">
        <v>3732000</v>
      </c>
      <c r="T133" s="187"/>
      <c r="U133" s="188">
        <v>204225.343427977</v>
      </c>
      <c r="V133" s="188">
        <v>8394.1910029281098</v>
      </c>
      <c r="W133" s="188">
        <v>29717.173172365299</v>
      </c>
      <c r="X133" s="188"/>
      <c r="Y133" s="187"/>
      <c r="Z133" s="178"/>
    </row>
    <row r="134" spans="1:26" x14ac:dyDescent="0.3">
      <c r="A134" s="184">
        <v>119</v>
      </c>
      <c r="B134" s="185">
        <v>42361</v>
      </c>
      <c r="C134" s="186" t="s">
        <v>529</v>
      </c>
      <c r="D134" s="186" t="s">
        <v>514</v>
      </c>
      <c r="E134" s="187">
        <v>379595.06145537703</v>
      </c>
      <c r="F134" s="187">
        <v>342280.082754515</v>
      </c>
      <c r="G134" s="187">
        <v>217125.58415553</v>
      </c>
      <c r="H134" s="187">
        <v>338.94387700109502</v>
      </c>
      <c r="I134" s="187">
        <v>137177.92893565699</v>
      </c>
      <c r="J134" s="187">
        <v>4.3528720899886402</v>
      </c>
      <c r="K134" s="187">
        <v>73625.018431397097</v>
      </c>
      <c r="L134" s="187">
        <v>13972.8948478684</v>
      </c>
      <c r="M134" s="187">
        <v>1587.9149072492601</v>
      </c>
      <c r="N134" s="187">
        <v>65722.362903252404</v>
      </c>
      <c r="O134" s="187">
        <v>1318.86946558212</v>
      </c>
      <c r="P134" s="187">
        <v>2477455.6650115601</v>
      </c>
      <c r="Q134" s="187">
        <v>1618.43654597776</v>
      </c>
      <c r="R134" s="187">
        <v>17176.883836939502</v>
      </c>
      <c r="S134" s="187">
        <v>3729000</v>
      </c>
      <c r="T134" s="187"/>
      <c r="U134" s="188">
        <v>198237.61294319399</v>
      </c>
      <c r="V134" s="188">
        <v>8351.0151897256401</v>
      </c>
      <c r="W134" s="188">
        <v>34047.906860818803</v>
      </c>
      <c r="X134" s="188"/>
      <c r="Y134" s="187"/>
      <c r="Z134" s="178"/>
    </row>
    <row r="135" spans="1:26" x14ac:dyDescent="0.3">
      <c r="A135" s="184">
        <v>120</v>
      </c>
      <c r="B135" s="185">
        <v>42365</v>
      </c>
      <c r="C135" s="186" t="s">
        <v>513</v>
      </c>
      <c r="D135" s="186" t="s">
        <v>514</v>
      </c>
      <c r="E135" s="187">
        <v>382809.933172722</v>
      </c>
      <c r="F135" s="187">
        <v>322445.33686775301</v>
      </c>
      <c r="G135" s="187">
        <v>191449.76467262901</v>
      </c>
      <c r="H135" s="187">
        <v>612.59188593609599</v>
      </c>
      <c r="I135" s="187">
        <v>135692.10201976399</v>
      </c>
      <c r="J135" s="187">
        <v>4.3528720899886402</v>
      </c>
      <c r="K135" s="187">
        <v>78970.221557726705</v>
      </c>
      <c r="L135" s="187">
        <v>18520.523176223898</v>
      </c>
      <c r="M135" s="187">
        <v>1544.43786020226</v>
      </c>
      <c r="N135" s="187">
        <v>61872.409927600303</v>
      </c>
      <c r="O135" s="187">
        <v>1402.4309153926999</v>
      </c>
      <c r="P135" s="187">
        <v>2511880.57468904</v>
      </c>
      <c r="Q135" s="187">
        <v>1618.43654597776</v>
      </c>
      <c r="R135" s="187">
        <v>17176.883836939502</v>
      </c>
      <c r="S135" s="187">
        <v>3726000</v>
      </c>
      <c r="T135" s="187"/>
      <c r="U135" s="188">
        <v>187255.230096821</v>
      </c>
      <c r="V135" s="188">
        <v>10059.4252969523</v>
      </c>
      <c r="W135" s="188">
        <v>33493.027792929497</v>
      </c>
      <c r="X135" s="188"/>
      <c r="Y135" s="187"/>
      <c r="Z135" s="178"/>
    </row>
    <row r="136" spans="1:26" x14ac:dyDescent="0.3">
      <c r="A136" s="184">
        <v>121</v>
      </c>
      <c r="B136" s="185">
        <v>42371</v>
      </c>
      <c r="C136" s="186" t="s">
        <v>540</v>
      </c>
      <c r="D136" s="186" t="s">
        <v>514</v>
      </c>
      <c r="E136" s="187">
        <v>411081.32510892698</v>
      </c>
      <c r="F136" s="187">
        <v>346678.92504000303</v>
      </c>
      <c r="G136" s="187">
        <v>174081.41988970499</v>
      </c>
      <c r="H136" s="187">
        <v>461.70422119396397</v>
      </c>
      <c r="I136" s="187">
        <v>133924.35818287099</v>
      </c>
      <c r="J136" s="187">
        <v>4.3528720899886402</v>
      </c>
      <c r="K136" s="187">
        <v>75529.706867787507</v>
      </c>
      <c r="L136" s="187">
        <v>24464.817457195499</v>
      </c>
      <c r="M136" s="187">
        <v>2420.6464353768201</v>
      </c>
      <c r="N136" s="187">
        <v>58723.271941015002</v>
      </c>
      <c r="O136" s="187">
        <v>1294.89726477728</v>
      </c>
      <c r="P136" s="187">
        <v>2495804.4869092498</v>
      </c>
      <c r="Q136" s="187">
        <v>0</v>
      </c>
      <c r="R136" s="187">
        <v>530.08780980466202</v>
      </c>
      <c r="S136" s="187">
        <v>3725000</v>
      </c>
      <c r="T136" s="187"/>
      <c r="U136" s="188">
        <v>184660.41733196299</v>
      </c>
      <c r="V136" s="188">
        <v>11193.8065389768</v>
      </c>
      <c r="W136" s="188">
        <v>34438.628949535698</v>
      </c>
      <c r="X136" s="188"/>
      <c r="Y136" s="187"/>
      <c r="Z136" s="178"/>
    </row>
    <row r="137" spans="1:26" x14ac:dyDescent="0.3">
      <c r="A137" s="184">
        <v>122</v>
      </c>
      <c r="B137" s="185">
        <v>42368</v>
      </c>
      <c r="C137" s="186" t="s">
        <v>527</v>
      </c>
      <c r="D137" s="186" t="s">
        <v>514</v>
      </c>
      <c r="E137" s="187">
        <v>489975.85607395199</v>
      </c>
      <c r="F137" s="187">
        <v>427029.62255596998</v>
      </c>
      <c r="G137" s="187">
        <v>249557.12745573299</v>
      </c>
      <c r="H137" s="187">
        <v>429.62842169550299</v>
      </c>
      <c r="I137" s="187">
        <v>160873.729266776</v>
      </c>
      <c r="J137" s="187">
        <v>4.3528720899886402</v>
      </c>
      <c r="K137" s="187">
        <v>88081.202854597796</v>
      </c>
      <c r="L137" s="187">
        <v>21893.6927539795</v>
      </c>
      <c r="M137" s="187">
        <v>1657.0852501863601</v>
      </c>
      <c r="N137" s="187">
        <v>70232.009440041307</v>
      </c>
      <c r="O137" s="187">
        <v>1453.6319922401501</v>
      </c>
      <c r="P137" s="187">
        <v>2204367.0452263299</v>
      </c>
      <c r="Q137" s="187">
        <v>701.321963778179</v>
      </c>
      <c r="R137" s="187">
        <v>7743.6938726311</v>
      </c>
      <c r="S137" s="187">
        <v>3724000</v>
      </c>
      <c r="T137" s="187"/>
      <c r="U137" s="188">
        <v>184958.325507231</v>
      </c>
      <c r="V137" s="188">
        <v>12341.3147213266</v>
      </c>
      <c r="W137" s="188">
        <v>36245.779634750397</v>
      </c>
      <c r="X137" s="188"/>
      <c r="Y137" s="187"/>
      <c r="Z137" s="178"/>
    </row>
    <row r="138" spans="1:26" x14ac:dyDescent="0.3">
      <c r="A138" s="184">
        <v>123</v>
      </c>
      <c r="B138" s="185">
        <v>42368</v>
      </c>
      <c r="C138" s="186" t="s">
        <v>545</v>
      </c>
      <c r="D138" s="186" t="s">
        <v>514</v>
      </c>
      <c r="E138" s="187">
        <v>365063.19476858003</v>
      </c>
      <c r="F138" s="187">
        <v>336308.44022561499</v>
      </c>
      <c r="G138" s="187">
        <v>213596.759189551</v>
      </c>
      <c r="H138" s="187">
        <v>459.19714111578099</v>
      </c>
      <c r="I138" s="187">
        <v>148674.57657246001</v>
      </c>
      <c r="J138" s="187">
        <v>4.3528720899886402</v>
      </c>
      <c r="K138" s="187">
        <v>73561.9370645655</v>
      </c>
      <c r="L138" s="187">
        <v>18465.7796947305</v>
      </c>
      <c r="M138" s="187">
        <v>3878.0385851368201</v>
      </c>
      <c r="N138" s="187">
        <v>64913.390415872898</v>
      </c>
      <c r="O138" s="187">
        <v>1755.5376121998099</v>
      </c>
      <c r="P138" s="187">
        <v>2474523.4754751702</v>
      </c>
      <c r="Q138" s="187">
        <v>1618.43654597776</v>
      </c>
      <c r="R138" s="187">
        <v>17176.883836939502</v>
      </c>
      <c r="S138" s="187">
        <v>3720000</v>
      </c>
      <c r="T138" s="187"/>
      <c r="U138" s="188">
        <v>188951.57703772801</v>
      </c>
      <c r="V138" s="188">
        <v>12683.7868477109</v>
      </c>
      <c r="W138" s="188">
        <v>35170.225955041002</v>
      </c>
      <c r="X138" s="188"/>
      <c r="Y138" s="187"/>
      <c r="Z138" s="178"/>
    </row>
    <row r="139" spans="1:26" x14ac:dyDescent="0.3">
      <c r="A139" s="184">
        <v>124</v>
      </c>
      <c r="B139" s="185">
        <v>42338</v>
      </c>
      <c r="C139" s="186" t="s">
        <v>538</v>
      </c>
      <c r="D139" s="186" t="s">
        <v>514</v>
      </c>
      <c r="E139" s="187">
        <v>342513.364283634</v>
      </c>
      <c r="F139" s="187">
        <v>347114.248842765</v>
      </c>
      <c r="G139" s="187">
        <v>220359.292225023</v>
      </c>
      <c r="H139" s="187">
        <v>268.42595546405499</v>
      </c>
      <c r="I139" s="187">
        <v>158208.199957762</v>
      </c>
      <c r="J139" s="187">
        <v>3.7310332199902598</v>
      </c>
      <c r="K139" s="187">
        <v>77230.349198178505</v>
      </c>
      <c r="L139" s="187">
        <v>16325.357292893699</v>
      </c>
      <c r="M139" s="187">
        <v>7663.96202189426</v>
      </c>
      <c r="N139" s="187">
        <v>64722.236847426502</v>
      </c>
      <c r="O139" s="187">
        <v>1632.2608471230501</v>
      </c>
      <c r="P139" s="187">
        <v>2462163.2511117002</v>
      </c>
      <c r="Q139" s="187">
        <v>1618.43654597776</v>
      </c>
      <c r="R139" s="187">
        <v>17176.883836939502</v>
      </c>
      <c r="S139" s="187">
        <v>3717000</v>
      </c>
      <c r="T139" s="187"/>
      <c r="U139" s="188">
        <v>189686.59016920201</v>
      </c>
      <c r="V139" s="188">
        <v>11909.5773269643</v>
      </c>
      <c r="W139" s="188">
        <v>33850.0844788545</v>
      </c>
      <c r="X139" s="188"/>
      <c r="Y139" s="187"/>
      <c r="Z139" s="178"/>
    </row>
    <row r="140" spans="1:26" x14ac:dyDescent="0.3">
      <c r="A140" s="184">
        <v>125</v>
      </c>
      <c r="B140" s="185">
        <v>42334</v>
      </c>
      <c r="C140" s="186" t="s">
        <v>537</v>
      </c>
      <c r="D140" s="186" t="s">
        <v>514</v>
      </c>
      <c r="E140" s="187">
        <v>485356.72783983202</v>
      </c>
      <c r="F140" s="187">
        <v>448816.40790369001</v>
      </c>
      <c r="G140" s="187">
        <v>215610.397598724</v>
      </c>
      <c r="H140" s="187">
        <v>247.71406394890201</v>
      </c>
      <c r="I140" s="187">
        <v>161693.92983378199</v>
      </c>
      <c r="J140" s="187">
        <v>3.1091943499918799</v>
      </c>
      <c r="K140" s="187">
        <v>117203.796398716</v>
      </c>
      <c r="L140" s="187">
        <v>25039.6535621205</v>
      </c>
      <c r="M140" s="187">
        <v>7604.0449301315302</v>
      </c>
      <c r="N140" s="187">
        <v>59913.065493881797</v>
      </c>
      <c r="O140" s="187">
        <v>920.36707215927402</v>
      </c>
      <c r="P140" s="187">
        <v>2193060.6982988599</v>
      </c>
      <c r="Q140" s="187">
        <v>0</v>
      </c>
      <c r="R140" s="187">
        <v>530.08780980466202</v>
      </c>
      <c r="S140" s="187">
        <v>3716000</v>
      </c>
      <c r="T140" s="187"/>
      <c r="U140" s="188">
        <v>184621.71368788101</v>
      </c>
      <c r="V140" s="188">
        <v>7962.4950838907198</v>
      </c>
      <c r="W140" s="188">
        <v>35141.951085022403</v>
      </c>
      <c r="X140" s="188"/>
      <c r="Y140" s="187"/>
      <c r="Z140" s="178"/>
    </row>
    <row r="141" spans="1:26" x14ac:dyDescent="0.3">
      <c r="A141" s="184">
        <v>125</v>
      </c>
      <c r="B141" s="185">
        <v>42366</v>
      </c>
      <c r="C141" s="186" t="s">
        <v>529</v>
      </c>
      <c r="D141" s="186" t="s">
        <v>514</v>
      </c>
      <c r="E141" s="187">
        <v>378695.69665370998</v>
      </c>
      <c r="F141" s="187">
        <v>348851.05066871998</v>
      </c>
      <c r="G141" s="187">
        <v>226589.22066435299</v>
      </c>
      <c r="H141" s="187">
        <v>596.21858756745098</v>
      </c>
      <c r="I141" s="187">
        <v>149361.90391562501</v>
      </c>
      <c r="J141" s="187">
        <v>4.3528720899886402</v>
      </c>
      <c r="K141" s="187">
        <v>74897.764196629898</v>
      </c>
      <c r="L141" s="187">
        <v>14602.6859134487</v>
      </c>
      <c r="M141" s="187">
        <v>3555.1113167050698</v>
      </c>
      <c r="N141" s="187">
        <v>64776.610775149697</v>
      </c>
      <c r="O141" s="187">
        <v>1412.4873682698601</v>
      </c>
      <c r="P141" s="187">
        <v>2433861.5766848102</v>
      </c>
      <c r="Q141" s="187">
        <v>1618.43654597776</v>
      </c>
      <c r="R141" s="187">
        <v>17176.883836939502</v>
      </c>
      <c r="S141" s="187">
        <v>3716000</v>
      </c>
      <c r="T141" s="187"/>
      <c r="U141" s="188">
        <v>187042.70598599399</v>
      </c>
      <c r="V141" s="188">
        <v>13062.000335312599</v>
      </c>
      <c r="W141" s="188">
        <v>34857.870007868303</v>
      </c>
      <c r="X141" s="188"/>
      <c r="Y141" s="187"/>
      <c r="Z141" s="178"/>
    </row>
    <row r="142" spans="1:26" x14ac:dyDescent="0.3">
      <c r="A142" s="184">
        <v>127</v>
      </c>
      <c r="B142" s="185">
        <v>42328</v>
      </c>
      <c r="C142" s="186" t="s">
        <v>535</v>
      </c>
      <c r="D142" s="186" t="s">
        <v>514</v>
      </c>
      <c r="E142" s="187">
        <v>562739.17956904904</v>
      </c>
      <c r="F142" s="187">
        <v>570791.37938036094</v>
      </c>
      <c r="G142" s="187">
        <v>342034.02891205298</v>
      </c>
      <c r="H142" s="187">
        <v>1002.33100372798</v>
      </c>
      <c r="I142" s="187">
        <v>212518.612713076</v>
      </c>
      <c r="J142" s="187">
        <v>3.1091943499918799</v>
      </c>
      <c r="K142" s="187">
        <v>104950.28491452801</v>
      </c>
      <c r="L142" s="187">
        <v>56539.594206131398</v>
      </c>
      <c r="M142" s="187">
        <v>6163.9173722216201</v>
      </c>
      <c r="N142" s="187">
        <v>71743.3745950343</v>
      </c>
      <c r="O142" s="187">
        <v>1160.68438990814</v>
      </c>
      <c r="P142" s="187">
        <v>1782823.4159397599</v>
      </c>
      <c r="Q142" s="187">
        <v>0</v>
      </c>
      <c r="R142" s="187">
        <v>530.08780980466202</v>
      </c>
      <c r="S142" s="187">
        <v>3713000</v>
      </c>
      <c r="T142" s="187"/>
      <c r="U142" s="188">
        <v>204508.03061177701</v>
      </c>
      <c r="V142" s="188">
        <v>13543.953979276101</v>
      </c>
      <c r="W142" s="188">
        <v>35406.982222771898</v>
      </c>
      <c r="X142" s="188"/>
      <c r="Y142" s="187"/>
      <c r="Z142" s="178"/>
    </row>
    <row r="143" spans="1:26" x14ac:dyDescent="0.3">
      <c r="A143" s="184">
        <v>128</v>
      </c>
      <c r="B143" s="185">
        <v>42375</v>
      </c>
      <c r="C143" s="186" t="s">
        <v>513</v>
      </c>
      <c r="D143" s="186" t="s">
        <v>514</v>
      </c>
      <c r="E143" s="187">
        <v>392226.71630092798</v>
      </c>
      <c r="F143" s="187">
        <v>360106.50516365102</v>
      </c>
      <c r="G143" s="187">
        <v>241570.87007448499</v>
      </c>
      <c r="H143" s="187">
        <v>342.24275191742299</v>
      </c>
      <c r="I143" s="187">
        <v>160406.472030131</v>
      </c>
      <c r="J143" s="187">
        <v>4.3528720899886402</v>
      </c>
      <c r="K143" s="187">
        <v>79176.605069297395</v>
      </c>
      <c r="L143" s="187">
        <v>13581.477855037499</v>
      </c>
      <c r="M143" s="187">
        <v>5996.8702305589404</v>
      </c>
      <c r="N143" s="187">
        <v>69071.031422439104</v>
      </c>
      <c r="O143" s="187">
        <v>1428.6255115086699</v>
      </c>
      <c r="P143" s="187">
        <v>2369292.9103350402</v>
      </c>
      <c r="Q143" s="187">
        <v>1618.43654597776</v>
      </c>
      <c r="R143" s="187">
        <v>17176.883836939502</v>
      </c>
      <c r="S143" s="187">
        <v>3712000</v>
      </c>
      <c r="T143" s="187"/>
      <c r="U143" s="188">
        <v>209148.754223884</v>
      </c>
      <c r="V143" s="188">
        <v>13775.966946667701</v>
      </c>
      <c r="W143" s="188">
        <v>35374.842442462999</v>
      </c>
      <c r="X143" s="188"/>
      <c r="Y143" s="187"/>
      <c r="Z143" s="178"/>
    </row>
    <row r="144" spans="1:26" x14ac:dyDescent="0.3">
      <c r="A144" s="184">
        <v>129</v>
      </c>
      <c r="B144" s="185">
        <v>42376</v>
      </c>
      <c r="C144" s="186" t="s">
        <v>535</v>
      </c>
      <c r="D144" s="186" t="s">
        <v>514</v>
      </c>
      <c r="E144" s="187">
        <v>544419.52501157799</v>
      </c>
      <c r="F144" s="187">
        <v>520965.82042461302</v>
      </c>
      <c r="G144" s="187">
        <v>309289.527526572</v>
      </c>
      <c r="H144" s="187">
        <v>437.31163229472799</v>
      </c>
      <c r="I144" s="187">
        <v>202802.982548448</v>
      </c>
      <c r="J144" s="187">
        <v>4.3528720899886402</v>
      </c>
      <c r="K144" s="187">
        <v>94405.226557999704</v>
      </c>
      <c r="L144" s="187">
        <v>50272.812483313501</v>
      </c>
      <c r="M144" s="187">
        <v>6868.8949924962499</v>
      </c>
      <c r="N144" s="187">
        <v>73301.774927864899</v>
      </c>
      <c r="O144" s="187">
        <v>1443.0645180848601</v>
      </c>
      <c r="P144" s="187">
        <v>1905258.61869484</v>
      </c>
      <c r="Q144" s="187">
        <v>0</v>
      </c>
      <c r="R144" s="187">
        <v>530.08780980466202</v>
      </c>
      <c r="S144" s="187">
        <v>3710000</v>
      </c>
      <c r="T144" s="187"/>
      <c r="U144" s="188">
        <v>212910.384183002</v>
      </c>
      <c r="V144" s="188">
        <v>14090.4847040813</v>
      </c>
      <c r="W144" s="188">
        <v>34778.202001805301</v>
      </c>
      <c r="X144" s="188"/>
      <c r="Y144" s="187"/>
      <c r="Z144" s="178"/>
    </row>
    <row r="145" spans="1:26" x14ac:dyDescent="0.3">
      <c r="A145" s="184">
        <v>130</v>
      </c>
      <c r="B145" s="185">
        <v>42374</v>
      </c>
      <c r="C145" s="186" t="s">
        <v>535</v>
      </c>
      <c r="D145" s="186" t="s">
        <v>514</v>
      </c>
      <c r="E145" s="187">
        <v>551424.15795366606</v>
      </c>
      <c r="F145" s="187">
        <v>509641.92354833602</v>
      </c>
      <c r="G145" s="187">
        <v>303505.82203681098</v>
      </c>
      <c r="H145" s="187">
        <v>399.87933365602402</v>
      </c>
      <c r="I145" s="187">
        <v>201551.01332615301</v>
      </c>
      <c r="J145" s="187">
        <v>4.3528720899886402</v>
      </c>
      <c r="K145" s="187">
        <v>93657.344871851994</v>
      </c>
      <c r="L145" s="187">
        <v>49526.902442776598</v>
      </c>
      <c r="M145" s="187">
        <v>4910.1171074862104</v>
      </c>
      <c r="N145" s="187">
        <v>75405.929895038498</v>
      </c>
      <c r="O145" s="187">
        <v>1475.4326858086599</v>
      </c>
      <c r="P145" s="187">
        <v>1916967.0361165199</v>
      </c>
      <c r="Q145" s="187">
        <v>0</v>
      </c>
      <c r="R145" s="187">
        <v>530.08780980466202</v>
      </c>
      <c r="S145" s="187">
        <v>3709000</v>
      </c>
      <c r="T145" s="187"/>
      <c r="U145" s="188">
        <v>211971.61732482299</v>
      </c>
      <c r="V145" s="188">
        <v>13913.9553525511</v>
      </c>
      <c r="W145" s="188">
        <v>34828.0491737337</v>
      </c>
      <c r="X145" s="188"/>
      <c r="Y145" s="187"/>
      <c r="Z145" s="178"/>
    </row>
    <row r="146" spans="1:26" x14ac:dyDescent="0.3">
      <c r="A146" s="184">
        <v>131</v>
      </c>
      <c r="B146" s="185">
        <v>42373</v>
      </c>
      <c r="C146" s="186" t="s">
        <v>541</v>
      </c>
      <c r="D146" s="186" t="s">
        <v>514</v>
      </c>
      <c r="E146" s="187">
        <v>569888.58237392502</v>
      </c>
      <c r="F146" s="187">
        <v>533948.54153033299</v>
      </c>
      <c r="G146" s="187">
        <v>299201.13640200801</v>
      </c>
      <c r="H146" s="187">
        <v>569.95294689011996</v>
      </c>
      <c r="I146" s="187">
        <v>213616.64356148601</v>
      </c>
      <c r="J146" s="187">
        <v>4.3528720899886402</v>
      </c>
      <c r="K146" s="187">
        <v>97858.815409020695</v>
      </c>
      <c r="L146" s="187">
        <v>48451.116873656902</v>
      </c>
      <c r="M146" s="187">
        <v>2417.65363466696</v>
      </c>
      <c r="N146" s="187">
        <v>70475.277293388994</v>
      </c>
      <c r="O146" s="187">
        <v>1430.91761540481</v>
      </c>
      <c r="P146" s="187">
        <v>1868606.92167733</v>
      </c>
      <c r="Q146" s="187">
        <v>0</v>
      </c>
      <c r="R146" s="187">
        <v>530.08780980466202</v>
      </c>
      <c r="S146" s="187">
        <v>3707000</v>
      </c>
      <c r="T146" s="187"/>
      <c r="U146" s="188">
        <v>208864.255986287</v>
      </c>
      <c r="V146" s="188">
        <v>12398.996529406601</v>
      </c>
      <c r="W146" s="188">
        <v>35526.5706838072</v>
      </c>
      <c r="X146" s="188"/>
      <c r="Y146" s="187"/>
      <c r="Z146" s="178"/>
    </row>
    <row r="147" spans="1:26" x14ac:dyDescent="0.3">
      <c r="A147" s="184">
        <v>132</v>
      </c>
      <c r="B147" s="185">
        <v>42370</v>
      </c>
      <c r="C147" s="186" t="s">
        <v>536</v>
      </c>
      <c r="D147" s="186" t="s">
        <v>514</v>
      </c>
      <c r="E147" s="187">
        <v>421322.01707367698</v>
      </c>
      <c r="F147" s="187">
        <v>365160.28094372398</v>
      </c>
      <c r="G147" s="187">
        <v>176997.50001819801</v>
      </c>
      <c r="H147" s="187">
        <v>295.16354952491298</v>
      </c>
      <c r="I147" s="187">
        <v>128084.914307436</v>
      </c>
      <c r="J147" s="187">
        <v>4.3528720899886402</v>
      </c>
      <c r="K147" s="187">
        <v>82996.793084493998</v>
      </c>
      <c r="L147" s="187">
        <v>31561.6913514435</v>
      </c>
      <c r="M147" s="187">
        <v>3646.4833547041098</v>
      </c>
      <c r="N147" s="187">
        <v>58135.530700184201</v>
      </c>
      <c r="O147" s="187">
        <v>1567.4163543228201</v>
      </c>
      <c r="P147" s="187">
        <v>2436697.7685803999</v>
      </c>
      <c r="Q147" s="187">
        <v>0</v>
      </c>
      <c r="R147" s="187">
        <v>530.08780980466202</v>
      </c>
      <c r="S147" s="187">
        <v>3707000</v>
      </c>
      <c r="T147" s="187"/>
      <c r="U147" s="188">
        <v>183772.38032904</v>
      </c>
      <c r="V147" s="188">
        <v>10845.040532041599</v>
      </c>
      <c r="W147" s="188">
        <v>33769.541782567801</v>
      </c>
      <c r="X147" s="188"/>
      <c r="Y147" s="187"/>
      <c r="Z147" s="178"/>
    </row>
    <row r="148" spans="1:26" x14ac:dyDescent="0.3">
      <c r="A148" s="184">
        <v>133</v>
      </c>
      <c r="B148" s="185">
        <v>42366</v>
      </c>
      <c r="C148" s="186" t="s">
        <v>527</v>
      </c>
      <c r="D148" s="186" t="s">
        <v>514</v>
      </c>
      <c r="E148" s="187">
        <v>463419.94133026601</v>
      </c>
      <c r="F148" s="187">
        <v>401753.53567381599</v>
      </c>
      <c r="G148" s="187">
        <v>245305.57196858901</v>
      </c>
      <c r="H148" s="187">
        <v>771.56056833626496</v>
      </c>
      <c r="I148" s="187">
        <v>159469.51860796101</v>
      </c>
      <c r="J148" s="187">
        <v>4.3528720899886402</v>
      </c>
      <c r="K148" s="187">
        <v>86739.593688601803</v>
      </c>
      <c r="L148" s="187">
        <v>19481.039758061899</v>
      </c>
      <c r="M148" s="187">
        <v>3570.4112468646699</v>
      </c>
      <c r="N148" s="187">
        <v>69247.609276827294</v>
      </c>
      <c r="O148" s="187">
        <v>1267.9813907820601</v>
      </c>
      <c r="P148" s="187">
        <v>2246219.4411501</v>
      </c>
      <c r="Q148" s="187">
        <v>728.29644568999004</v>
      </c>
      <c r="R148" s="187">
        <v>8021.1460220153604</v>
      </c>
      <c r="S148" s="187">
        <v>3706000</v>
      </c>
      <c r="T148" s="187"/>
      <c r="U148" s="188">
        <v>184226.46645821401</v>
      </c>
      <c r="V148" s="188">
        <v>12624.4460266356</v>
      </c>
      <c r="W148" s="188">
        <v>35077.793574203301</v>
      </c>
      <c r="X148" s="188"/>
      <c r="Y148" s="187"/>
      <c r="Z148" s="178"/>
    </row>
    <row r="149" spans="1:26" x14ac:dyDescent="0.3">
      <c r="A149" s="184">
        <v>134</v>
      </c>
      <c r="B149" s="185">
        <v>42384</v>
      </c>
      <c r="C149" s="186" t="s">
        <v>535</v>
      </c>
      <c r="D149" s="186" t="s">
        <v>514</v>
      </c>
      <c r="E149" s="187">
        <v>517211.69439194602</v>
      </c>
      <c r="F149" s="187">
        <v>502960.68065933097</v>
      </c>
      <c r="G149" s="187">
        <v>307420.25920502102</v>
      </c>
      <c r="H149" s="187">
        <v>296.27457515183698</v>
      </c>
      <c r="I149" s="187">
        <v>193892.57039916399</v>
      </c>
      <c r="J149" s="187">
        <v>4.3528720899886402</v>
      </c>
      <c r="K149" s="187">
        <v>90767.470796635098</v>
      </c>
      <c r="L149" s="187">
        <v>47624.058399597699</v>
      </c>
      <c r="M149" s="187">
        <v>7646.5141973476602</v>
      </c>
      <c r="N149" s="187">
        <v>77143.330582219394</v>
      </c>
      <c r="O149" s="187">
        <v>1442.08694201301</v>
      </c>
      <c r="P149" s="187">
        <v>1954060.6191696799</v>
      </c>
      <c r="Q149" s="187">
        <v>0</v>
      </c>
      <c r="R149" s="187">
        <v>530.08780980466202</v>
      </c>
      <c r="S149" s="187">
        <v>3701000</v>
      </c>
      <c r="T149" s="187"/>
      <c r="U149" s="188">
        <v>209780.984965107</v>
      </c>
      <c r="V149" s="188">
        <v>12731.9085934056</v>
      </c>
      <c r="W149" s="188">
        <v>35596.545901694801</v>
      </c>
      <c r="X149" s="188"/>
      <c r="Y149" s="187"/>
      <c r="Z149" s="178"/>
    </row>
    <row r="150" spans="1:26" x14ac:dyDescent="0.3">
      <c r="A150" s="184">
        <v>135</v>
      </c>
      <c r="B150" s="185">
        <v>42380</v>
      </c>
      <c r="C150" s="186" t="s">
        <v>529</v>
      </c>
      <c r="D150" s="186" t="s">
        <v>514</v>
      </c>
      <c r="E150" s="187">
        <v>390337.07108304801</v>
      </c>
      <c r="F150" s="187">
        <v>365911.72696747299</v>
      </c>
      <c r="G150" s="187">
        <v>238616.839230679</v>
      </c>
      <c r="H150" s="187">
        <v>413.05519923422798</v>
      </c>
      <c r="I150" s="187">
        <v>157070.696252408</v>
      </c>
      <c r="J150" s="187">
        <v>4.3528720899886402</v>
      </c>
      <c r="K150" s="187">
        <v>78029.739837184796</v>
      </c>
      <c r="L150" s="187">
        <v>14278.877971731599</v>
      </c>
      <c r="M150" s="187">
        <v>3061.44171389746</v>
      </c>
      <c r="N150" s="187">
        <v>64884.004880617103</v>
      </c>
      <c r="O150" s="187">
        <v>1455.8728445752299</v>
      </c>
      <c r="P150" s="187">
        <v>2367141.0007641399</v>
      </c>
      <c r="Q150" s="187">
        <v>1618.43654597776</v>
      </c>
      <c r="R150" s="187">
        <v>17176.883836939502</v>
      </c>
      <c r="S150" s="187">
        <v>3700000</v>
      </c>
      <c r="T150" s="187"/>
      <c r="U150" s="188">
        <v>209883.26880684099</v>
      </c>
      <c r="V150" s="188">
        <v>12723.5513154418</v>
      </c>
      <c r="W150" s="188">
        <v>34031.918337196803</v>
      </c>
      <c r="X150" s="188"/>
      <c r="Y150" s="187"/>
      <c r="Z150" s="178"/>
    </row>
    <row r="151" spans="1:26" x14ac:dyDescent="0.3">
      <c r="A151" s="184">
        <v>136</v>
      </c>
      <c r="B151" s="185">
        <v>42369</v>
      </c>
      <c r="C151" s="186" t="s">
        <v>538</v>
      </c>
      <c r="D151" s="186" t="s">
        <v>514</v>
      </c>
      <c r="E151" s="187">
        <v>394096.016668625</v>
      </c>
      <c r="F151" s="187">
        <v>324258.12608046498</v>
      </c>
      <c r="G151" s="187">
        <v>183822.911230078</v>
      </c>
      <c r="H151" s="187">
        <v>541.76974236153103</v>
      </c>
      <c r="I151" s="187">
        <v>128956.807125279</v>
      </c>
      <c r="J151" s="187">
        <v>4.3528720899886402</v>
      </c>
      <c r="K151" s="187">
        <v>75339.377060279294</v>
      </c>
      <c r="L151" s="187">
        <v>22427.643482035699</v>
      </c>
      <c r="M151" s="187">
        <v>3685.0843761047699</v>
      </c>
      <c r="N151" s="187">
        <v>59527.0940713319</v>
      </c>
      <c r="O151" s="187">
        <v>1789.4327048791399</v>
      </c>
      <c r="P151" s="187">
        <v>2481756.0642035599</v>
      </c>
      <c r="Q151" s="187">
        <v>1618.43654597776</v>
      </c>
      <c r="R151" s="187">
        <v>17176.883836939502</v>
      </c>
      <c r="S151" s="187">
        <v>3695000</v>
      </c>
      <c r="T151" s="187"/>
      <c r="U151" s="188">
        <v>185045.429055335</v>
      </c>
      <c r="V151" s="188">
        <v>10782.423160300499</v>
      </c>
      <c r="W151" s="188">
        <v>34963.544791858498</v>
      </c>
      <c r="X151" s="188"/>
      <c r="Y151" s="187"/>
      <c r="Z151" s="178"/>
    </row>
    <row r="152" spans="1:26" x14ac:dyDescent="0.3">
      <c r="A152" s="184">
        <v>136</v>
      </c>
      <c r="B152" s="185">
        <v>42380</v>
      </c>
      <c r="C152" s="186" t="s">
        <v>540</v>
      </c>
      <c r="D152" s="186" t="s">
        <v>514</v>
      </c>
      <c r="E152" s="187">
        <v>593472.29917445499</v>
      </c>
      <c r="F152" s="187">
        <v>561194.75982132496</v>
      </c>
      <c r="G152" s="187">
        <v>324265.969309584</v>
      </c>
      <c r="H152" s="187">
        <v>307.799958195437</v>
      </c>
      <c r="I152" s="187">
        <v>214547.99966452099</v>
      </c>
      <c r="J152" s="187">
        <v>4.3528720899886402</v>
      </c>
      <c r="K152" s="187">
        <v>98801.880919752599</v>
      </c>
      <c r="L152" s="187">
        <v>47915.723146911201</v>
      </c>
      <c r="M152" s="187">
        <v>5198.5660901890396</v>
      </c>
      <c r="N152" s="187">
        <v>72230.632980289796</v>
      </c>
      <c r="O152" s="187">
        <v>1373.0118327656501</v>
      </c>
      <c r="P152" s="187">
        <v>1775156.91642012</v>
      </c>
      <c r="Q152" s="187">
        <v>0</v>
      </c>
      <c r="R152" s="187">
        <v>530.08780980466202</v>
      </c>
      <c r="S152" s="187">
        <v>3695000</v>
      </c>
      <c r="T152" s="187"/>
      <c r="U152" s="188">
        <v>215487.02536312499</v>
      </c>
      <c r="V152" s="188">
        <v>13358.2896874405</v>
      </c>
      <c r="W152" s="188">
        <v>35227.406285704397</v>
      </c>
      <c r="X152" s="188"/>
      <c r="Y152" s="187"/>
      <c r="Z152" s="178"/>
    </row>
    <row r="153" spans="1:26" x14ac:dyDescent="0.3">
      <c r="A153" s="184">
        <v>138</v>
      </c>
      <c r="B153" s="185">
        <v>42324</v>
      </c>
      <c r="C153" s="186" t="s">
        <v>519</v>
      </c>
      <c r="D153" s="186" t="s">
        <v>514</v>
      </c>
      <c r="E153" s="187">
        <v>393319.35775511398</v>
      </c>
      <c r="F153" s="187">
        <v>401481.50843885302</v>
      </c>
      <c r="G153" s="187">
        <v>252558.356537368</v>
      </c>
      <c r="H153" s="187">
        <v>324.68801516813699</v>
      </c>
      <c r="I153" s="187">
        <v>168845.58297538999</v>
      </c>
      <c r="J153" s="187">
        <v>4.9747109599870099</v>
      </c>
      <c r="K153" s="187">
        <v>89119.756609912394</v>
      </c>
      <c r="L153" s="187">
        <v>15342.3208304461</v>
      </c>
      <c r="M153" s="187">
        <v>8640.8060658364793</v>
      </c>
      <c r="N153" s="187">
        <v>69259.467312356501</v>
      </c>
      <c r="O153" s="187">
        <v>1300.8937580010099</v>
      </c>
      <c r="P153" s="187">
        <v>2275006.9666076801</v>
      </c>
      <c r="Q153" s="187">
        <v>1618.43654597776</v>
      </c>
      <c r="R153" s="187">
        <v>17176.883836939502</v>
      </c>
      <c r="S153" s="187">
        <v>3694000</v>
      </c>
      <c r="T153" s="187"/>
      <c r="U153" s="188">
        <v>197388.086269622</v>
      </c>
      <c r="V153" s="188">
        <v>11833.5115811302</v>
      </c>
      <c r="W153" s="188">
        <v>35303.402626991701</v>
      </c>
      <c r="X153" s="188"/>
      <c r="Y153" s="187"/>
      <c r="Z153" s="178"/>
    </row>
    <row r="154" spans="1:26" x14ac:dyDescent="0.3">
      <c r="A154" s="184">
        <v>139</v>
      </c>
      <c r="B154" s="185">
        <v>42337</v>
      </c>
      <c r="C154" s="186" t="s">
        <v>536</v>
      </c>
      <c r="D154" s="186" t="s">
        <v>514</v>
      </c>
      <c r="E154" s="187">
        <v>378111.230765371</v>
      </c>
      <c r="F154" s="187">
        <v>354738.54665005603</v>
      </c>
      <c r="G154" s="187">
        <v>188065.70565464499</v>
      </c>
      <c r="H154" s="187">
        <v>216.107615831424</v>
      </c>
      <c r="I154" s="187">
        <v>130647.887384074</v>
      </c>
      <c r="J154" s="187">
        <v>3.7310332199902598</v>
      </c>
      <c r="K154" s="187">
        <v>86468.497965671297</v>
      </c>
      <c r="L154" s="187">
        <v>24191.0222147678</v>
      </c>
      <c r="M154" s="187">
        <v>8675.9562047859708</v>
      </c>
      <c r="N154" s="187">
        <v>61512.3531475032</v>
      </c>
      <c r="O154" s="187">
        <v>1391.7771334470599</v>
      </c>
      <c r="P154" s="187">
        <v>2459447.0964208199</v>
      </c>
      <c r="Q154" s="187">
        <v>0</v>
      </c>
      <c r="R154" s="187">
        <v>530.08780980466202</v>
      </c>
      <c r="S154" s="187">
        <v>3694000</v>
      </c>
      <c r="T154" s="187"/>
      <c r="U154" s="188">
        <v>180314.99723348199</v>
      </c>
      <c r="V154" s="188">
        <v>8278.9518127426509</v>
      </c>
      <c r="W154" s="188">
        <v>34200.997991581098</v>
      </c>
      <c r="X154" s="188"/>
      <c r="Y154" s="187"/>
      <c r="Z154" s="178"/>
    </row>
    <row r="155" spans="1:26" x14ac:dyDescent="0.3">
      <c r="A155" s="184">
        <v>140</v>
      </c>
      <c r="B155" s="185">
        <v>42331</v>
      </c>
      <c r="C155" s="186" t="s">
        <v>513</v>
      </c>
      <c r="D155" s="186" t="s">
        <v>514</v>
      </c>
      <c r="E155" s="187">
        <v>433610.39789831301</v>
      </c>
      <c r="F155" s="187">
        <v>419223.06843748799</v>
      </c>
      <c r="G155" s="187">
        <v>272655.55315018701</v>
      </c>
      <c r="H155" s="187">
        <v>259.25818132428702</v>
      </c>
      <c r="I155" s="187">
        <v>181381.201601765</v>
      </c>
      <c r="J155" s="187">
        <v>4.9747109599870099</v>
      </c>
      <c r="K155" s="187">
        <v>95181.940585266304</v>
      </c>
      <c r="L155" s="187">
        <v>16559.152329794</v>
      </c>
      <c r="M155" s="187">
        <v>4574.5569625886801</v>
      </c>
      <c r="N155" s="187">
        <v>66460.441641737794</v>
      </c>
      <c r="O155" s="187">
        <v>1203.2609477609899</v>
      </c>
      <c r="P155" s="187">
        <v>2180090.8731698999</v>
      </c>
      <c r="Q155" s="187">
        <v>1618.43654597776</v>
      </c>
      <c r="R155" s="187">
        <v>17176.883836939502</v>
      </c>
      <c r="S155" s="187">
        <v>3690000</v>
      </c>
      <c r="T155" s="187"/>
      <c r="U155" s="188">
        <v>202110.765153307</v>
      </c>
      <c r="V155" s="188">
        <v>11920.1016906532</v>
      </c>
      <c r="W155" s="188">
        <v>35415.159559280801</v>
      </c>
      <c r="X155" s="188"/>
      <c r="Y155" s="187"/>
      <c r="Z155" s="178"/>
    </row>
    <row r="156" spans="1:26" x14ac:dyDescent="0.3">
      <c r="A156" s="184">
        <v>140</v>
      </c>
      <c r="B156" s="185">
        <v>42380</v>
      </c>
      <c r="C156" s="186" t="s">
        <v>539</v>
      </c>
      <c r="D156" s="186" t="s">
        <v>514</v>
      </c>
      <c r="E156" s="187">
        <v>478495.25676656899</v>
      </c>
      <c r="F156" s="187">
        <v>471317.81575134199</v>
      </c>
      <c r="G156" s="187">
        <v>287893.62901439599</v>
      </c>
      <c r="H156" s="187">
        <v>257.30531797927102</v>
      </c>
      <c r="I156" s="187">
        <v>187659.185290152</v>
      </c>
      <c r="J156" s="187">
        <v>4.3528720899886402</v>
      </c>
      <c r="K156" s="187">
        <v>89893.996151928106</v>
      </c>
      <c r="L156" s="187">
        <v>51906.737379641098</v>
      </c>
      <c r="M156" s="187">
        <v>3823.90350290878</v>
      </c>
      <c r="N156" s="187">
        <v>66384.092178643201</v>
      </c>
      <c r="O156" s="187">
        <v>1545.1608990699799</v>
      </c>
      <c r="P156" s="187">
        <v>2032023.2444923599</v>
      </c>
      <c r="Q156" s="187">
        <v>1618.43654597776</v>
      </c>
      <c r="R156" s="187">
        <v>17176.883836939502</v>
      </c>
      <c r="S156" s="187">
        <v>3690000</v>
      </c>
      <c r="T156" s="187"/>
      <c r="U156" s="188">
        <v>215268.14221508699</v>
      </c>
      <c r="V156" s="188">
        <v>13392.081708388299</v>
      </c>
      <c r="W156" s="188">
        <v>33870.944823605598</v>
      </c>
      <c r="X156" s="188"/>
      <c r="Y156" s="187"/>
      <c r="Z156" s="178"/>
    </row>
    <row r="157" spans="1:26" x14ac:dyDescent="0.3">
      <c r="A157" s="184">
        <v>142</v>
      </c>
      <c r="B157" s="185">
        <v>42369</v>
      </c>
      <c r="C157" s="186" t="s">
        <v>539</v>
      </c>
      <c r="D157" s="186" t="s">
        <v>514</v>
      </c>
      <c r="E157" s="187">
        <v>465942.433895547</v>
      </c>
      <c r="F157" s="187">
        <v>416963.38392885699</v>
      </c>
      <c r="G157" s="187">
        <v>250107.361102467</v>
      </c>
      <c r="H157" s="187">
        <v>386.32679165075501</v>
      </c>
      <c r="I157" s="187">
        <v>161984.64482490401</v>
      </c>
      <c r="J157" s="187">
        <v>4.3528720899886402</v>
      </c>
      <c r="K157" s="187">
        <v>84581.804475548197</v>
      </c>
      <c r="L157" s="187">
        <v>35545.9191269886</v>
      </c>
      <c r="M157" s="187">
        <v>3823.9849396627901</v>
      </c>
      <c r="N157" s="187">
        <v>68287.454470377794</v>
      </c>
      <c r="O157" s="187">
        <v>1669.7346638563699</v>
      </c>
      <c r="P157" s="187">
        <v>2180907.2785251299</v>
      </c>
      <c r="Q157" s="187">
        <v>1618.43654597776</v>
      </c>
      <c r="R157" s="187">
        <v>17176.883836939502</v>
      </c>
      <c r="S157" s="187">
        <v>3689000</v>
      </c>
      <c r="T157" s="187"/>
      <c r="U157" s="188">
        <v>187874.36630861799</v>
      </c>
      <c r="V157" s="188">
        <v>11656.8059594691</v>
      </c>
      <c r="W157" s="188">
        <v>35295.5507566124</v>
      </c>
      <c r="X157" s="188"/>
      <c r="Y157" s="187"/>
      <c r="Z157" s="178"/>
    </row>
    <row r="158" spans="1:26" x14ac:dyDescent="0.3">
      <c r="A158" s="184">
        <v>143</v>
      </c>
      <c r="B158" s="185">
        <v>42370</v>
      </c>
      <c r="C158" s="186" t="s">
        <v>538</v>
      </c>
      <c r="D158" s="186" t="s">
        <v>514</v>
      </c>
      <c r="E158" s="187">
        <v>376230.333367777</v>
      </c>
      <c r="F158" s="187">
        <v>304508.28376953403</v>
      </c>
      <c r="G158" s="187">
        <v>156904.65229371699</v>
      </c>
      <c r="H158" s="187">
        <v>595.20925562245895</v>
      </c>
      <c r="I158" s="187">
        <v>117776.707146881</v>
      </c>
      <c r="J158" s="187">
        <v>4.3528720899886402</v>
      </c>
      <c r="K158" s="187">
        <v>72512.950038116804</v>
      </c>
      <c r="L158" s="187">
        <v>22617.9536282558</v>
      </c>
      <c r="M158" s="187">
        <v>3357.34215959219</v>
      </c>
      <c r="N158" s="187">
        <v>59728.466925333203</v>
      </c>
      <c r="O158" s="187">
        <v>1671.4554077571099</v>
      </c>
      <c r="P158" s="187">
        <v>2553296.97275241</v>
      </c>
      <c r="Q158" s="187">
        <v>1618.43654597776</v>
      </c>
      <c r="R158" s="187">
        <v>17176.883836939502</v>
      </c>
      <c r="S158" s="187">
        <v>3688000</v>
      </c>
      <c r="T158" s="187"/>
      <c r="U158" s="188">
        <v>185098.74322331301</v>
      </c>
      <c r="V158" s="188">
        <v>11153.8139569591</v>
      </c>
      <c r="W158" s="188">
        <v>33899.636697102796</v>
      </c>
      <c r="X158" s="188"/>
      <c r="Y158" s="187"/>
      <c r="Z158" s="178"/>
    </row>
    <row r="159" spans="1:26" x14ac:dyDescent="0.3">
      <c r="A159" s="184">
        <v>143</v>
      </c>
      <c r="B159" s="185">
        <v>42383</v>
      </c>
      <c r="C159" s="186" t="s">
        <v>513</v>
      </c>
      <c r="D159" s="186" t="s">
        <v>514</v>
      </c>
      <c r="E159" s="187">
        <v>412313.38677563902</v>
      </c>
      <c r="F159" s="187">
        <v>404711.18602307601</v>
      </c>
      <c r="G159" s="187">
        <v>259230.33492073001</v>
      </c>
      <c r="H159" s="187">
        <v>407.069708960882</v>
      </c>
      <c r="I159" s="187">
        <v>170800.363682272</v>
      </c>
      <c r="J159" s="187">
        <v>4.3528720899886402</v>
      </c>
      <c r="K159" s="187">
        <v>85875.495322388306</v>
      </c>
      <c r="L159" s="187">
        <v>15328.9418343569</v>
      </c>
      <c r="M159" s="187">
        <v>7722.9629501743902</v>
      </c>
      <c r="N159" s="187">
        <v>68203.206435977903</v>
      </c>
      <c r="O159" s="187">
        <v>1428.8792652975401</v>
      </c>
      <c r="P159" s="187">
        <v>2243178.4998261202</v>
      </c>
      <c r="Q159" s="187">
        <v>1618.43654597776</v>
      </c>
      <c r="R159" s="187">
        <v>17176.883836939502</v>
      </c>
      <c r="S159" s="187">
        <v>3688000</v>
      </c>
      <c r="T159" s="187"/>
      <c r="U159" s="188">
        <v>202738.48860895401</v>
      </c>
      <c r="V159" s="188">
        <v>13567.9889300454</v>
      </c>
      <c r="W159" s="188">
        <v>35403.137654114696</v>
      </c>
      <c r="X159" s="188"/>
      <c r="Y159" s="187"/>
      <c r="Z159" s="178"/>
    </row>
    <row r="160" spans="1:26" x14ac:dyDescent="0.3">
      <c r="A160" s="184">
        <v>145</v>
      </c>
      <c r="B160" s="185">
        <v>42356</v>
      </c>
      <c r="C160" s="186" t="s">
        <v>519</v>
      </c>
      <c r="D160" s="186" t="s">
        <v>514</v>
      </c>
      <c r="E160" s="187">
        <v>427730.10266208998</v>
      </c>
      <c r="F160" s="187">
        <v>371905.63020949601</v>
      </c>
      <c r="G160" s="187">
        <v>260589.16430422201</v>
      </c>
      <c r="H160" s="187">
        <v>435.07785095768901</v>
      </c>
      <c r="I160" s="187">
        <v>155107.25811061799</v>
      </c>
      <c r="J160" s="187">
        <v>4.3528720899886402</v>
      </c>
      <c r="K160" s="187">
        <v>86023.215458778301</v>
      </c>
      <c r="L160" s="187">
        <v>14819.279475789601</v>
      </c>
      <c r="M160" s="187">
        <v>11790.688094588601</v>
      </c>
      <c r="N160" s="187">
        <v>64383.208995572801</v>
      </c>
      <c r="O160" s="187">
        <v>1261.9232866391901</v>
      </c>
      <c r="P160" s="187">
        <v>2275154.7782962401</v>
      </c>
      <c r="Q160" s="187">
        <v>1618.43654597776</v>
      </c>
      <c r="R160" s="187">
        <v>17176.883836939502</v>
      </c>
      <c r="S160" s="187">
        <v>3688000</v>
      </c>
      <c r="T160" s="187"/>
      <c r="U160" s="188">
        <v>202226.184222304</v>
      </c>
      <c r="V160" s="188">
        <v>13651.0743746158</v>
      </c>
      <c r="W160" s="188">
        <v>27262.7720633229</v>
      </c>
      <c r="X160" s="188"/>
      <c r="Y160" s="187"/>
      <c r="Z160" s="178"/>
    </row>
    <row r="161" spans="1:26" x14ac:dyDescent="0.3">
      <c r="A161" s="184">
        <v>146</v>
      </c>
      <c r="B161" s="185">
        <v>42370</v>
      </c>
      <c r="C161" s="186" t="s">
        <v>537</v>
      </c>
      <c r="D161" s="186" t="s">
        <v>514</v>
      </c>
      <c r="E161" s="187">
        <v>405918.43821667897</v>
      </c>
      <c r="F161" s="187">
        <v>346631.00190404401</v>
      </c>
      <c r="G161" s="187">
        <v>172892.786427224</v>
      </c>
      <c r="H161" s="187">
        <v>287.37588848399702</v>
      </c>
      <c r="I161" s="187">
        <v>123215.919351573</v>
      </c>
      <c r="J161" s="187">
        <v>4.3528720899886402</v>
      </c>
      <c r="K161" s="187">
        <v>79618.480848976804</v>
      </c>
      <c r="L161" s="187">
        <v>27803.784537141899</v>
      </c>
      <c r="M161" s="187">
        <v>2481.47969062217</v>
      </c>
      <c r="N161" s="187">
        <v>58055.099630010402</v>
      </c>
      <c r="O161" s="187">
        <v>1405.3841603876299</v>
      </c>
      <c r="P161" s="187">
        <v>2468155.8086629598</v>
      </c>
      <c r="Q161" s="187">
        <v>0</v>
      </c>
      <c r="R161" s="187">
        <v>530.08780980466202</v>
      </c>
      <c r="S161" s="187">
        <v>3687000</v>
      </c>
      <c r="T161" s="187"/>
      <c r="U161" s="188">
        <v>181784.38250547901</v>
      </c>
      <c r="V161" s="188">
        <v>10800.9004175356</v>
      </c>
      <c r="W161" s="188">
        <v>33960.580229890998</v>
      </c>
      <c r="X161" s="188"/>
      <c r="Y161" s="187"/>
      <c r="Z161" s="178"/>
    </row>
    <row r="162" spans="1:26" x14ac:dyDescent="0.3">
      <c r="A162" s="184">
        <v>147</v>
      </c>
      <c r="B162" s="185">
        <v>42375</v>
      </c>
      <c r="C162" s="186" t="s">
        <v>516</v>
      </c>
      <c r="D162" s="186" t="s">
        <v>514</v>
      </c>
      <c r="E162" s="187">
        <v>532139.53311052499</v>
      </c>
      <c r="F162" s="187">
        <v>498662.76397143299</v>
      </c>
      <c r="G162" s="187">
        <v>310434.33534933999</v>
      </c>
      <c r="H162" s="187">
        <v>318.830944610605</v>
      </c>
      <c r="I162" s="187">
        <v>193632.54435875401</v>
      </c>
      <c r="J162" s="187">
        <v>4.3528720899886402</v>
      </c>
      <c r="K162" s="187">
        <v>93825.587658574703</v>
      </c>
      <c r="L162" s="187">
        <v>51921.396349942901</v>
      </c>
      <c r="M162" s="187">
        <v>4882.2860968033401</v>
      </c>
      <c r="N162" s="187">
        <v>75239.092933355496</v>
      </c>
      <c r="O162" s="187">
        <v>1489.9216111629801</v>
      </c>
      <c r="P162" s="187">
        <v>1908002.66032614</v>
      </c>
      <c r="Q162" s="187">
        <v>1321.7231797546499</v>
      </c>
      <c r="R162" s="187">
        <v>14124.971237513701</v>
      </c>
      <c r="S162" s="187">
        <v>3686000</v>
      </c>
      <c r="T162" s="187"/>
      <c r="U162" s="188">
        <v>212886.96257714601</v>
      </c>
      <c r="V162" s="188">
        <v>13727.793356816899</v>
      </c>
      <c r="W162" s="188">
        <v>34436.920252354699</v>
      </c>
      <c r="X162" s="188"/>
      <c r="Y162" s="187"/>
      <c r="Z162" s="178"/>
    </row>
    <row r="163" spans="1:26" x14ac:dyDescent="0.3">
      <c r="A163" s="184">
        <v>147</v>
      </c>
      <c r="B163" s="185">
        <v>42376</v>
      </c>
      <c r="C163" s="186" t="s">
        <v>529</v>
      </c>
      <c r="D163" s="186" t="s">
        <v>514</v>
      </c>
      <c r="E163" s="187">
        <v>395133.65918567003</v>
      </c>
      <c r="F163" s="187">
        <v>359666.72781928902</v>
      </c>
      <c r="G163" s="187">
        <v>244259.46472024999</v>
      </c>
      <c r="H163" s="187">
        <v>337.52665391407697</v>
      </c>
      <c r="I163" s="187">
        <v>155933.64840162301</v>
      </c>
      <c r="J163" s="187">
        <v>4.3528720899886402</v>
      </c>
      <c r="K163" s="187">
        <v>78971.559347240502</v>
      </c>
      <c r="L163" s="187">
        <v>14236.010496777801</v>
      </c>
      <c r="M163" s="187">
        <v>10205.6234737297</v>
      </c>
      <c r="N163" s="187">
        <v>62947.704732253398</v>
      </c>
      <c r="O163" s="187">
        <v>1428.563113036</v>
      </c>
      <c r="P163" s="187">
        <v>2344079.8388012098</v>
      </c>
      <c r="Q163" s="187">
        <v>1618.43654597776</v>
      </c>
      <c r="R163" s="187">
        <v>17176.883836939502</v>
      </c>
      <c r="S163" s="187">
        <v>3686000</v>
      </c>
      <c r="T163" s="187"/>
      <c r="U163" s="188">
        <v>211974.22198646501</v>
      </c>
      <c r="V163" s="188">
        <v>13622.1764420041</v>
      </c>
      <c r="W163" s="188">
        <v>35230.427018220696</v>
      </c>
      <c r="X163" s="188"/>
      <c r="Y163" s="187"/>
      <c r="Z163" s="178"/>
    </row>
    <row r="164" spans="1:26" x14ac:dyDescent="0.3">
      <c r="A164" s="184">
        <v>149</v>
      </c>
      <c r="B164" s="185">
        <v>42367</v>
      </c>
      <c r="C164" s="186" t="s">
        <v>538</v>
      </c>
      <c r="D164" s="186" t="s">
        <v>514</v>
      </c>
      <c r="E164" s="187">
        <v>373850.760123557</v>
      </c>
      <c r="F164" s="187">
        <v>343030.14109973202</v>
      </c>
      <c r="G164" s="187">
        <v>226623.95218728401</v>
      </c>
      <c r="H164" s="187">
        <v>517.97803705752096</v>
      </c>
      <c r="I164" s="187">
        <v>148290.93085046401</v>
      </c>
      <c r="J164" s="187">
        <v>4.3528720899886402</v>
      </c>
      <c r="K164" s="187">
        <v>73865.846076160495</v>
      </c>
      <c r="L164" s="187">
        <v>17267.734141677302</v>
      </c>
      <c r="M164" s="187">
        <v>3671.6473116931402</v>
      </c>
      <c r="N164" s="187">
        <v>58606.910514258903</v>
      </c>
      <c r="O164" s="187">
        <v>1557.21547624289</v>
      </c>
      <c r="P164" s="187">
        <v>2418917.2109268699</v>
      </c>
      <c r="Q164" s="187">
        <v>1618.43654597776</v>
      </c>
      <c r="R164" s="187">
        <v>17176.883836939502</v>
      </c>
      <c r="S164" s="187">
        <v>3685000</v>
      </c>
      <c r="T164" s="187"/>
      <c r="U164" s="188">
        <v>190580.803069065</v>
      </c>
      <c r="V164" s="188">
        <v>13038.525301429199</v>
      </c>
      <c r="W164" s="188">
        <v>34726.147762684799</v>
      </c>
      <c r="X164" s="188"/>
      <c r="Y164" s="187"/>
      <c r="Z164" s="178"/>
    </row>
    <row r="165" spans="1:26" x14ac:dyDescent="0.3">
      <c r="A165" s="184">
        <v>150</v>
      </c>
      <c r="B165" s="185">
        <v>42374</v>
      </c>
      <c r="C165" s="186" t="s">
        <v>527</v>
      </c>
      <c r="D165" s="186" t="s">
        <v>514</v>
      </c>
      <c r="E165" s="187">
        <v>499405.74311688897</v>
      </c>
      <c r="F165" s="187">
        <v>445690.386223735</v>
      </c>
      <c r="G165" s="187">
        <v>272783.02068947599</v>
      </c>
      <c r="H165" s="187">
        <v>349.18425464068298</v>
      </c>
      <c r="I165" s="187">
        <v>185955.555206227</v>
      </c>
      <c r="J165" s="187">
        <v>4.3528720899886402</v>
      </c>
      <c r="K165" s="187">
        <v>93936.064008060101</v>
      </c>
      <c r="L165" s="187">
        <v>22965.517416507901</v>
      </c>
      <c r="M165" s="187">
        <v>4843.2880712268798</v>
      </c>
      <c r="N165" s="187">
        <v>73748.512420895393</v>
      </c>
      <c r="O165" s="187">
        <v>1413.8204338928099</v>
      </c>
      <c r="P165" s="187">
        <v>2074286.06270726</v>
      </c>
      <c r="Q165" s="187">
        <v>539.47830918040302</v>
      </c>
      <c r="R165" s="187">
        <v>6079.0142699176104</v>
      </c>
      <c r="S165" s="187">
        <v>3682000</v>
      </c>
      <c r="T165" s="187"/>
      <c r="U165" s="188">
        <v>209575.95943096001</v>
      </c>
      <c r="V165" s="188">
        <v>14412.602814779701</v>
      </c>
      <c r="W165" s="188">
        <v>35587.982074156796</v>
      </c>
      <c r="X165" s="188"/>
      <c r="Y165" s="187"/>
      <c r="Z165" s="178"/>
    </row>
    <row r="166" spans="1:26" x14ac:dyDescent="0.3">
      <c r="A166" s="184">
        <v>151</v>
      </c>
      <c r="B166" s="185">
        <v>42381</v>
      </c>
      <c r="C166" s="186" t="s">
        <v>519</v>
      </c>
      <c r="D166" s="186" t="s">
        <v>514</v>
      </c>
      <c r="E166" s="187">
        <v>448024.60992589302</v>
      </c>
      <c r="F166" s="187">
        <v>410110.37566467002</v>
      </c>
      <c r="G166" s="187">
        <v>297753.95024857001</v>
      </c>
      <c r="H166" s="187">
        <v>356.44984062691998</v>
      </c>
      <c r="I166" s="187">
        <v>170800.65637956001</v>
      </c>
      <c r="J166" s="187">
        <v>4.3528720899886402</v>
      </c>
      <c r="K166" s="187">
        <v>89988.731874718404</v>
      </c>
      <c r="L166" s="187">
        <v>15536.848900044501</v>
      </c>
      <c r="M166" s="187">
        <v>6754.8733572882302</v>
      </c>
      <c r="N166" s="187">
        <v>68043.840545607003</v>
      </c>
      <c r="O166" s="187">
        <v>1393.9818794814501</v>
      </c>
      <c r="P166" s="187">
        <v>2152436.0081285299</v>
      </c>
      <c r="Q166" s="187">
        <v>1618.43654597776</v>
      </c>
      <c r="R166" s="187">
        <v>17176.883836939502</v>
      </c>
      <c r="S166" s="187">
        <v>3680000</v>
      </c>
      <c r="T166" s="187"/>
      <c r="U166" s="188">
        <v>205815.15360306401</v>
      </c>
      <c r="V166" s="188">
        <v>14114.177483420401</v>
      </c>
      <c r="W166" s="188">
        <v>34776.788258304303</v>
      </c>
      <c r="X166" s="188"/>
      <c r="Y166" s="187"/>
      <c r="Z166" s="178"/>
    </row>
    <row r="167" spans="1:26" x14ac:dyDescent="0.3">
      <c r="A167" s="184">
        <v>152</v>
      </c>
      <c r="B167" s="185">
        <v>42360</v>
      </c>
      <c r="C167" s="186" t="s">
        <v>529</v>
      </c>
      <c r="D167" s="186" t="s">
        <v>514</v>
      </c>
      <c r="E167" s="187">
        <v>399564.84562642802</v>
      </c>
      <c r="F167" s="187">
        <v>369826.01728251303</v>
      </c>
      <c r="G167" s="187">
        <v>238158.792589288</v>
      </c>
      <c r="H167" s="187">
        <v>402.827761327291</v>
      </c>
      <c r="I167" s="187">
        <v>153954.378120729</v>
      </c>
      <c r="J167" s="187">
        <v>4.3528720899886402</v>
      </c>
      <c r="K167" s="187">
        <v>76015.703895833707</v>
      </c>
      <c r="L167" s="187">
        <v>13177.3458852601</v>
      </c>
      <c r="M167" s="187">
        <v>2584.62951916987</v>
      </c>
      <c r="N167" s="187">
        <v>64455.242744449002</v>
      </c>
      <c r="O167" s="187">
        <v>1338.13423675643</v>
      </c>
      <c r="P167" s="187">
        <v>2341722.4090832402</v>
      </c>
      <c r="Q167" s="187">
        <v>1618.43654597776</v>
      </c>
      <c r="R167" s="187">
        <v>17176.883836939502</v>
      </c>
      <c r="S167" s="187">
        <v>3680000</v>
      </c>
      <c r="T167" s="187"/>
      <c r="U167" s="188">
        <v>205828.95017019799</v>
      </c>
      <c r="V167" s="188">
        <v>8373.5985041240492</v>
      </c>
      <c r="W167" s="188">
        <v>29537.851505711598</v>
      </c>
      <c r="X167" s="188"/>
      <c r="Y167" s="187"/>
      <c r="Z167" s="178"/>
    </row>
    <row r="168" spans="1:26" x14ac:dyDescent="0.3">
      <c r="A168" s="184">
        <v>153</v>
      </c>
      <c r="B168" s="185">
        <v>42331</v>
      </c>
      <c r="C168" s="186" t="s">
        <v>535</v>
      </c>
      <c r="D168" s="186" t="s">
        <v>514</v>
      </c>
      <c r="E168" s="187">
        <v>523705.88051896403</v>
      </c>
      <c r="F168" s="187">
        <v>556245.53990022698</v>
      </c>
      <c r="G168" s="187">
        <v>308737.36544812802</v>
      </c>
      <c r="H168" s="187">
        <v>634.24953347760095</v>
      </c>
      <c r="I168" s="187">
        <v>204121.603274636</v>
      </c>
      <c r="J168" s="187">
        <v>4.3528720899886402</v>
      </c>
      <c r="K168" s="187">
        <v>99931.173398393003</v>
      </c>
      <c r="L168" s="187">
        <v>55999.666843950203</v>
      </c>
      <c r="M168" s="187">
        <v>3760.6984022029001</v>
      </c>
      <c r="N168" s="187">
        <v>77677.135573891603</v>
      </c>
      <c r="O168" s="187">
        <v>1157.75166169258</v>
      </c>
      <c r="P168" s="187">
        <v>1846494.4947625401</v>
      </c>
      <c r="Q168" s="187">
        <v>0</v>
      </c>
      <c r="R168" s="187">
        <v>530.08780980466202</v>
      </c>
      <c r="S168" s="187">
        <v>3679000</v>
      </c>
      <c r="T168" s="187"/>
      <c r="U168" s="188">
        <v>208423.254212078</v>
      </c>
      <c r="V168" s="188">
        <v>12891.567856539999</v>
      </c>
      <c r="W168" s="188">
        <v>34794.231208693498</v>
      </c>
      <c r="X168" s="188"/>
      <c r="Y168" s="187"/>
      <c r="Z168" s="178"/>
    </row>
    <row r="169" spans="1:26" x14ac:dyDescent="0.3">
      <c r="A169" s="184">
        <v>154</v>
      </c>
      <c r="B169" s="185">
        <v>42375</v>
      </c>
      <c r="C169" s="186" t="s">
        <v>519</v>
      </c>
      <c r="D169" s="186" t="s">
        <v>514</v>
      </c>
      <c r="E169" s="187">
        <v>425439.65790904599</v>
      </c>
      <c r="F169" s="187">
        <v>393710.28647452901</v>
      </c>
      <c r="G169" s="187">
        <v>259039.49636228001</v>
      </c>
      <c r="H169" s="187">
        <v>418.813170878893</v>
      </c>
      <c r="I169" s="187">
        <v>164992.31275227899</v>
      </c>
      <c r="J169" s="187">
        <v>4.3528720899886402</v>
      </c>
      <c r="K169" s="187">
        <v>86801.168389897197</v>
      </c>
      <c r="L169" s="187">
        <v>15190.9397438338</v>
      </c>
      <c r="M169" s="187">
        <v>4796.6349907735002</v>
      </c>
      <c r="N169" s="187">
        <v>71233.224602992996</v>
      </c>
      <c r="O169" s="187">
        <v>1367.3335717525399</v>
      </c>
      <c r="P169" s="187">
        <v>2237210.4587767301</v>
      </c>
      <c r="Q169" s="187">
        <v>1618.43654597776</v>
      </c>
      <c r="R169" s="187">
        <v>17176.883836939502</v>
      </c>
      <c r="S169" s="187">
        <v>3679000</v>
      </c>
      <c r="T169" s="187"/>
      <c r="U169" s="188">
        <v>208973.76369429301</v>
      </c>
      <c r="V169" s="188">
        <v>14224.6262735819</v>
      </c>
      <c r="W169" s="188">
        <v>35191.350741022397</v>
      </c>
      <c r="X169" s="188"/>
      <c r="Y169" s="187"/>
      <c r="Z169" s="178"/>
    </row>
    <row r="170" spans="1:26" x14ac:dyDescent="0.3">
      <c r="A170" s="184">
        <v>155</v>
      </c>
      <c r="B170" s="185">
        <v>42333</v>
      </c>
      <c r="C170" s="186" t="s">
        <v>529</v>
      </c>
      <c r="D170" s="186" t="s">
        <v>514</v>
      </c>
      <c r="E170" s="187">
        <v>411393.68188334297</v>
      </c>
      <c r="F170" s="187">
        <v>402094.27939743799</v>
      </c>
      <c r="G170" s="187">
        <v>246800.25239186999</v>
      </c>
      <c r="H170" s="187">
        <v>1077.10659341005</v>
      </c>
      <c r="I170" s="187">
        <v>156188.707915607</v>
      </c>
      <c r="J170" s="187">
        <v>4.3528720899886402</v>
      </c>
      <c r="K170" s="187">
        <v>90725.824909374598</v>
      </c>
      <c r="L170" s="187">
        <v>19594.8613071531</v>
      </c>
      <c r="M170" s="187">
        <v>8610.5523117218308</v>
      </c>
      <c r="N170" s="187">
        <v>64374.699709991197</v>
      </c>
      <c r="O170" s="187">
        <v>1166.0194593215499</v>
      </c>
      <c r="P170" s="187">
        <v>2257174.3408657601</v>
      </c>
      <c r="Q170" s="187">
        <v>1618.43654597776</v>
      </c>
      <c r="R170" s="187">
        <v>17176.883836939502</v>
      </c>
      <c r="S170" s="187">
        <v>3678000</v>
      </c>
      <c r="T170" s="187"/>
      <c r="U170" s="188">
        <v>196670.11535787399</v>
      </c>
      <c r="V170" s="188">
        <v>8268.8525711338098</v>
      </c>
      <c r="W170" s="188">
        <v>35780.983489074897</v>
      </c>
      <c r="X170" s="188"/>
      <c r="Y170" s="187"/>
      <c r="Z170" s="178"/>
    </row>
    <row r="171" spans="1:26" x14ac:dyDescent="0.3">
      <c r="A171" s="184">
        <v>156</v>
      </c>
      <c r="B171" s="185">
        <v>42368</v>
      </c>
      <c r="C171" s="186" t="s">
        <v>540</v>
      </c>
      <c r="D171" s="186" t="s">
        <v>514</v>
      </c>
      <c r="E171" s="187">
        <v>598993.57845472498</v>
      </c>
      <c r="F171" s="187">
        <v>506950.343391517</v>
      </c>
      <c r="G171" s="187">
        <v>291907.68563552201</v>
      </c>
      <c r="H171" s="187">
        <v>617.64538524188799</v>
      </c>
      <c r="I171" s="187">
        <v>187643.31866615001</v>
      </c>
      <c r="J171" s="187">
        <v>4.3528720899886402</v>
      </c>
      <c r="K171" s="187">
        <v>94652.440616826294</v>
      </c>
      <c r="L171" s="187">
        <v>28565.6613778584</v>
      </c>
      <c r="M171" s="187">
        <v>3048.7274006776702</v>
      </c>
      <c r="N171" s="187">
        <v>71935.495127751303</v>
      </c>
      <c r="O171" s="187">
        <v>1495.4026203051999</v>
      </c>
      <c r="P171" s="187">
        <v>1887655.2606415299</v>
      </c>
      <c r="Q171" s="187">
        <v>0</v>
      </c>
      <c r="R171" s="187">
        <v>530.08780980466202</v>
      </c>
      <c r="S171" s="187">
        <v>3674000</v>
      </c>
      <c r="T171" s="187"/>
      <c r="U171" s="188">
        <v>189298.92291189099</v>
      </c>
      <c r="V171" s="188">
        <v>12447.035324451501</v>
      </c>
      <c r="W171" s="188">
        <v>35676.580057153798</v>
      </c>
      <c r="X171" s="188"/>
      <c r="Y171" s="187"/>
      <c r="Z171" s="178"/>
    </row>
    <row r="172" spans="1:26" x14ac:dyDescent="0.3">
      <c r="A172" s="184">
        <v>157</v>
      </c>
      <c r="B172" s="185">
        <v>42373</v>
      </c>
      <c r="C172" s="186" t="s">
        <v>543</v>
      </c>
      <c r="D172" s="186" t="s">
        <v>514</v>
      </c>
      <c r="E172" s="187">
        <v>542753.378805054</v>
      </c>
      <c r="F172" s="187">
        <v>495528.891501092</v>
      </c>
      <c r="G172" s="187">
        <v>273679.993479984</v>
      </c>
      <c r="H172" s="187">
        <v>576.14635264558297</v>
      </c>
      <c r="I172" s="187">
        <v>192182.64938783401</v>
      </c>
      <c r="J172" s="187">
        <v>4.3528720899886402</v>
      </c>
      <c r="K172" s="187">
        <v>97825.532607270594</v>
      </c>
      <c r="L172" s="187">
        <v>38349.914403017603</v>
      </c>
      <c r="M172" s="187">
        <v>3551.9047445159299</v>
      </c>
      <c r="N172" s="187">
        <v>68983.078388096998</v>
      </c>
      <c r="O172" s="187">
        <v>1429.14133888276</v>
      </c>
      <c r="P172" s="187">
        <v>1957604.92830971</v>
      </c>
      <c r="Q172" s="187">
        <v>0</v>
      </c>
      <c r="R172" s="187">
        <v>530.08780980466202</v>
      </c>
      <c r="S172" s="187">
        <v>3673000</v>
      </c>
      <c r="T172" s="187"/>
      <c r="U172" s="188">
        <v>205670.18790356899</v>
      </c>
      <c r="V172" s="188">
        <v>13433.308181321299</v>
      </c>
      <c r="W172" s="188">
        <v>35727.627385435502</v>
      </c>
      <c r="X172" s="188"/>
      <c r="Y172" s="187"/>
      <c r="Z172" s="178"/>
    </row>
    <row r="173" spans="1:26" x14ac:dyDescent="0.3">
      <c r="A173" s="184">
        <v>158</v>
      </c>
      <c r="B173" s="185">
        <v>42380</v>
      </c>
      <c r="C173" s="186" t="s">
        <v>527</v>
      </c>
      <c r="D173" s="186" t="s">
        <v>514</v>
      </c>
      <c r="E173" s="187">
        <v>501371.457137044</v>
      </c>
      <c r="F173" s="187">
        <v>463473.565887367</v>
      </c>
      <c r="G173" s="187">
        <v>275653.74196511402</v>
      </c>
      <c r="H173" s="187">
        <v>379.97721953331097</v>
      </c>
      <c r="I173" s="187">
        <v>180172.065432684</v>
      </c>
      <c r="J173" s="187">
        <v>4.3528720899886402</v>
      </c>
      <c r="K173" s="187">
        <v>94619.427815607807</v>
      </c>
      <c r="L173" s="187">
        <v>23567.468593746202</v>
      </c>
      <c r="M173" s="187">
        <v>3362.9511160246202</v>
      </c>
      <c r="N173" s="187">
        <v>69939.711408887102</v>
      </c>
      <c r="O173" s="187">
        <v>1400.4588409447599</v>
      </c>
      <c r="P173" s="187">
        <v>2052871.68738653</v>
      </c>
      <c r="Q173" s="187">
        <v>323.68730919555099</v>
      </c>
      <c r="R173" s="187">
        <v>3859.4470152316399</v>
      </c>
      <c r="S173" s="187">
        <v>3671000</v>
      </c>
      <c r="T173" s="187"/>
      <c r="U173" s="188">
        <v>215017.85051045599</v>
      </c>
      <c r="V173" s="188">
        <v>13594.2324418647</v>
      </c>
      <c r="W173" s="188">
        <v>34488.191338600598</v>
      </c>
      <c r="X173" s="188"/>
      <c r="Y173" s="187"/>
      <c r="Z173" s="178"/>
    </row>
    <row r="174" spans="1:26" x14ac:dyDescent="0.3">
      <c r="A174" s="184">
        <v>159</v>
      </c>
      <c r="B174" s="185">
        <v>42352</v>
      </c>
      <c r="C174" s="186" t="s">
        <v>538</v>
      </c>
      <c r="D174" s="186" t="s">
        <v>514</v>
      </c>
      <c r="E174" s="187">
        <v>340996.44693658</v>
      </c>
      <c r="F174" s="187">
        <v>333853.36414185597</v>
      </c>
      <c r="G174" s="187">
        <v>222970.99400183099</v>
      </c>
      <c r="H174" s="187">
        <v>422.585395258978</v>
      </c>
      <c r="I174" s="187">
        <v>142348.283020856</v>
      </c>
      <c r="J174" s="187">
        <v>4.3528720899886402</v>
      </c>
      <c r="K174" s="187">
        <v>73326.675530182401</v>
      </c>
      <c r="L174" s="187">
        <v>15167.249258498099</v>
      </c>
      <c r="M174" s="187">
        <v>5931.6597497855701</v>
      </c>
      <c r="N174" s="187">
        <v>63407.480975080602</v>
      </c>
      <c r="O174" s="187">
        <v>1357.35862056979</v>
      </c>
      <c r="P174" s="187">
        <v>2451418.2291144901</v>
      </c>
      <c r="Q174" s="187">
        <v>1618.43654597776</v>
      </c>
      <c r="R174" s="187">
        <v>17176.883836939502</v>
      </c>
      <c r="S174" s="187">
        <v>3670000</v>
      </c>
      <c r="T174" s="187"/>
      <c r="U174" s="188">
        <v>206411.00047698</v>
      </c>
      <c r="V174" s="188">
        <v>12145.882990481199</v>
      </c>
      <c r="W174" s="188">
        <v>28626.353097009101</v>
      </c>
      <c r="X174" s="188"/>
      <c r="Y174" s="187"/>
      <c r="Z174" s="178"/>
    </row>
    <row r="175" spans="1:26" x14ac:dyDescent="0.3">
      <c r="A175" s="184">
        <v>160</v>
      </c>
      <c r="B175" s="185">
        <v>42375</v>
      </c>
      <c r="C175" s="186" t="s">
        <v>529</v>
      </c>
      <c r="D175" s="186" t="s">
        <v>514</v>
      </c>
      <c r="E175" s="187">
        <v>406540.91633351002</v>
      </c>
      <c r="F175" s="187">
        <v>362519.350963192</v>
      </c>
      <c r="G175" s="187">
        <v>240586.97948032999</v>
      </c>
      <c r="H175" s="187">
        <v>359.27916063234397</v>
      </c>
      <c r="I175" s="187">
        <v>167181.67020532899</v>
      </c>
      <c r="J175" s="187">
        <v>4.3528720899886402</v>
      </c>
      <c r="K175" s="187">
        <v>79862.892589417504</v>
      </c>
      <c r="L175" s="187">
        <v>14301.6960067813</v>
      </c>
      <c r="M175" s="187">
        <v>10981.5528659354</v>
      </c>
      <c r="N175" s="187">
        <v>68769.9289271366</v>
      </c>
      <c r="O175" s="187">
        <v>1454.86614921613</v>
      </c>
      <c r="P175" s="187">
        <v>2297641.1940635098</v>
      </c>
      <c r="Q175" s="187">
        <v>1618.43654597776</v>
      </c>
      <c r="R175" s="187">
        <v>17176.883836939502</v>
      </c>
      <c r="S175" s="187">
        <v>3669000</v>
      </c>
      <c r="T175" s="187"/>
      <c r="U175" s="188">
        <v>208970.92502008201</v>
      </c>
      <c r="V175" s="188">
        <v>13842.1408275174</v>
      </c>
      <c r="W175" s="188">
        <v>34769.526295285199</v>
      </c>
      <c r="X175" s="188"/>
      <c r="Y175" s="187"/>
      <c r="Z175" s="178"/>
    </row>
    <row r="176" spans="1:26" x14ac:dyDescent="0.3">
      <c r="A176" s="184">
        <v>161</v>
      </c>
      <c r="B176" s="185">
        <v>42377</v>
      </c>
      <c r="C176" s="186" t="s">
        <v>519</v>
      </c>
      <c r="D176" s="186" t="s">
        <v>514</v>
      </c>
      <c r="E176" s="187">
        <v>427124.75690879498</v>
      </c>
      <c r="F176" s="187">
        <v>364510.961840373</v>
      </c>
      <c r="G176" s="187">
        <v>243152.10959331301</v>
      </c>
      <c r="H176" s="187">
        <v>308.56757727013002</v>
      </c>
      <c r="I176" s="187">
        <v>159973.61593554099</v>
      </c>
      <c r="J176" s="187">
        <v>3.7310332199902598</v>
      </c>
      <c r="K176" s="187">
        <v>87017.294894230494</v>
      </c>
      <c r="L176" s="187">
        <v>15601.991190189299</v>
      </c>
      <c r="M176" s="187">
        <v>8455.1811646653096</v>
      </c>
      <c r="N176" s="187">
        <v>69238.2551698303</v>
      </c>
      <c r="O176" s="187">
        <v>1325.9425848804401</v>
      </c>
      <c r="P176" s="187">
        <v>2270492.2717247698</v>
      </c>
      <c r="Q176" s="187">
        <v>1618.43654597776</v>
      </c>
      <c r="R176" s="187">
        <v>17176.883836939502</v>
      </c>
      <c r="S176" s="187">
        <v>3666000</v>
      </c>
      <c r="T176" s="187"/>
      <c r="U176" s="188">
        <v>214029.36106851601</v>
      </c>
      <c r="V176" s="188">
        <v>14127.6777016695</v>
      </c>
      <c r="W176" s="188">
        <v>35153.311887112599</v>
      </c>
      <c r="X176" s="188"/>
      <c r="Y176" s="187"/>
      <c r="Z176" s="178"/>
    </row>
    <row r="177" spans="1:26" x14ac:dyDescent="0.3">
      <c r="A177" s="184">
        <v>162</v>
      </c>
      <c r="B177" s="185">
        <v>42336</v>
      </c>
      <c r="C177" s="186" t="s">
        <v>536</v>
      </c>
      <c r="D177" s="186" t="s">
        <v>514</v>
      </c>
      <c r="E177" s="187">
        <v>484385.919514879</v>
      </c>
      <c r="F177" s="187">
        <v>442971.95397790702</v>
      </c>
      <c r="G177" s="187">
        <v>229140.510125192</v>
      </c>
      <c r="H177" s="187">
        <v>1123.36669220165</v>
      </c>
      <c r="I177" s="187">
        <v>157868.95354789801</v>
      </c>
      <c r="J177" s="187">
        <v>3.7310332199902598</v>
      </c>
      <c r="K177" s="187">
        <v>100615.28717061999</v>
      </c>
      <c r="L177" s="187">
        <v>24240.941847957401</v>
      </c>
      <c r="M177" s="187">
        <v>8672.5969386830693</v>
      </c>
      <c r="N177" s="187">
        <v>57519.319995511803</v>
      </c>
      <c r="O177" s="187">
        <v>1036.7194242007399</v>
      </c>
      <c r="P177" s="187">
        <v>2155890.61192192</v>
      </c>
      <c r="Q177" s="187">
        <v>0</v>
      </c>
      <c r="R177" s="187">
        <v>530.08780980466202</v>
      </c>
      <c r="S177" s="187">
        <v>3664000</v>
      </c>
      <c r="T177" s="187"/>
      <c r="U177" s="188">
        <v>179481.39358908701</v>
      </c>
      <c r="V177" s="188">
        <v>8134.9183782576501</v>
      </c>
      <c r="W177" s="188">
        <v>34182.721034234601</v>
      </c>
      <c r="X177" s="188"/>
      <c r="Y177" s="187"/>
      <c r="Z177" s="178"/>
    </row>
    <row r="178" spans="1:26" x14ac:dyDescent="0.3">
      <c r="A178" s="184">
        <v>163</v>
      </c>
      <c r="B178" s="185">
        <v>42334</v>
      </c>
      <c r="C178" s="186" t="s">
        <v>535</v>
      </c>
      <c r="D178" s="186" t="s">
        <v>514</v>
      </c>
      <c r="E178" s="187">
        <v>465631.80027021101</v>
      </c>
      <c r="F178" s="187">
        <v>461619.71786756697</v>
      </c>
      <c r="G178" s="187">
        <v>200642.48274525901</v>
      </c>
      <c r="H178" s="187">
        <v>1250.53076492536</v>
      </c>
      <c r="I178" s="187">
        <v>154053.467682307</v>
      </c>
      <c r="J178" s="187">
        <v>3.1091943499918799</v>
      </c>
      <c r="K178" s="187">
        <v>114039.16343398701</v>
      </c>
      <c r="L178" s="187">
        <v>33607.4278852059</v>
      </c>
      <c r="M178" s="187">
        <v>6727.1746813306399</v>
      </c>
      <c r="N178" s="187">
        <v>60997.785655530803</v>
      </c>
      <c r="O178" s="187">
        <v>965.30437222820399</v>
      </c>
      <c r="P178" s="187">
        <v>2163931.9476372902</v>
      </c>
      <c r="Q178" s="187">
        <v>0</v>
      </c>
      <c r="R178" s="187">
        <v>530.08780980466202</v>
      </c>
      <c r="S178" s="187">
        <v>3664000</v>
      </c>
      <c r="T178" s="187"/>
      <c r="U178" s="188">
        <v>183852.829780606</v>
      </c>
      <c r="V178" s="188">
        <v>8116.6899729718798</v>
      </c>
      <c r="W178" s="188">
        <v>34988.432779964802</v>
      </c>
      <c r="X178" s="188"/>
      <c r="Y178" s="187"/>
      <c r="Z178" s="178"/>
    </row>
    <row r="179" spans="1:26" x14ac:dyDescent="0.3">
      <c r="A179" s="184">
        <v>164</v>
      </c>
      <c r="B179" s="185">
        <v>42377</v>
      </c>
      <c r="C179" s="186" t="s">
        <v>513</v>
      </c>
      <c r="D179" s="186" t="s">
        <v>514</v>
      </c>
      <c r="E179" s="187">
        <v>411100.82526958198</v>
      </c>
      <c r="F179" s="187">
        <v>356825.31275086902</v>
      </c>
      <c r="G179" s="187">
        <v>236083.58462705801</v>
      </c>
      <c r="H179" s="187">
        <v>316.22281112784202</v>
      </c>
      <c r="I179" s="187">
        <v>157936.26111571401</v>
      </c>
      <c r="J179" s="187">
        <v>4.3528720899886402</v>
      </c>
      <c r="K179" s="187">
        <v>83756.114226219594</v>
      </c>
      <c r="L179" s="187">
        <v>14296.9401109019</v>
      </c>
      <c r="M179" s="187">
        <v>8682.6136594262807</v>
      </c>
      <c r="N179" s="187">
        <v>67193.7568088689</v>
      </c>
      <c r="O179" s="187">
        <v>1365.12882571815</v>
      </c>
      <c r="P179" s="187">
        <v>2306643.5665395102</v>
      </c>
      <c r="Q179" s="187">
        <v>1618.43654597776</v>
      </c>
      <c r="R179" s="187">
        <v>17176.883836939502</v>
      </c>
      <c r="S179" s="187">
        <v>3663000</v>
      </c>
      <c r="T179" s="187"/>
      <c r="U179" s="188">
        <v>213300.69679979299</v>
      </c>
      <c r="V179" s="188">
        <v>13735.725512700599</v>
      </c>
      <c r="W179" s="188">
        <v>34860.799203035698</v>
      </c>
      <c r="X179" s="188"/>
      <c r="Y179" s="187"/>
      <c r="Z179" s="178"/>
    </row>
    <row r="180" spans="1:26" x14ac:dyDescent="0.3">
      <c r="A180" s="184">
        <v>165</v>
      </c>
      <c r="B180" s="185">
        <v>42337</v>
      </c>
      <c r="C180" s="186" t="s">
        <v>537</v>
      </c>
      <c r="D180" s="186" t="s">
        <v>514</v>
      </c>
      <c r="E180" s="187">
        <v>367723.74568739702</v>
      </c>
      <c r="F180" s="187">
        <v>344433.21829522599</v>
      </c>
      <c r="G180" s="187">
        <v>190162.98527379599</v>
      </c>
      <c r="H180" s="187">
        <v>239.61939380370799</v>
      </c>
      <c r="I180" s="187">
        <v>127532.62970746199</v>
      </c>
      <c r="J180" s="187">
        <v>3.7310332199902598</v>
      </c>
      <c r="K180" s="187">
        <v>85018.529457854893</v>
      </c>
      <c r="L180" s="187">
        <v>22497.511020494199</v>
      </c>
      <c r="M180" s="187">
        <v>8360.3582442151092</v>
      </c>
      <c r="N180" s="187">
        <v>61604.275824640499</v>
      </c>
      <c r="O180" s="187">
        <v>1312.44787519068</v>
      </c>
      <c r="P180" s="187">
        <v>2451580.8603768898</v>
      </c>
      <c r="Q180" s="187">
        <v>0</v>
      </c>
      <c r="R180" s="187">
        <v>530.08780980466202</v>
      </c>
      <c r="S180" s="187">
        <v>3661000</v>
      </c>
      <c r="T180" s="187"/>
      <c r="U180" s="188">
        <v>177896.75203944501</v>
      </c>
      <c r="V180" s="188">
        <v>8244.7761450396392</v>
      </c>
      <c r="W180" s="188">
        <v>34020.760951437704</v>
      </c>
      <c r="X180" s="188"/>
      <c r="Y180" s="187"/>
      <c r="Z180" s="178"/>
    </row>
    <row r="181" spans="1:26" x14ac:dyDescent="0.3">
      <c r="A181" s="184">
        <v>166</v>
      </c>
      <c r="B181" s="185">
        <v>42365</v>
      </c>
      <c r="C181" s="186" t="s">
        <v>529</v>
      </c>
      <c r="D181" s="186" t="s">
        <v>514</v>
      </c>
      <c r="E181" s="187">
        <v>364893.74973053799</v>
      </c>
      <c r="F181" s="187">
        <v>310359.838997257</v>
      </c>
      <c r="G181" s="187">
        <v>183227.49758479701</v>
      </c>
      <c r="H181" s="187">
        <v>566.94944445503302</v>
      </c>
      <c r="I181" s="187">
        <v>129562.741633351</v>
      </c>
      <c r="J181" s="187">
        <v>3.7310332199902598</v>
      </c>
      <c r="K181" s="187">
        <v>74956.296446685999</v>
      </c>
      <c r="L181" s="187">
        <v>18134.817621754501</v>
      </c>
      <c r="M181" s="187">
        <v>3274.70421346071</v>
      </c>
      <c r="N181" s="187">
        <v>62367.363312735797</v>
      </c>
      <c r="O181" s="187">
        <v>1366.5568420267</v>
      </c>
      <c r="P181" s="187">
        <v>2492490.4327568002</v>
      </c>
      <c r="Q181" s="187">
        <v>1618.43654597776</v>
      </c>
      <c r="R181" s="187">
        <v>17176.883836939502</v>
      </c>
      <c r="S181" s="187">
        <v>3660000</v>
      </c>
      <c r="T181" s="187"/>
      <c r="U181" s="188">
        <v>189702.31988364799</v>
      </c>
      <c r="V181" s="188">
        <v>9963.9490990732993</v>
      </c>
      <c r="W181" s="188">
        <v>33599.780683474397</v>
      </c>
      <c r="X181" s="188"/>
      <c r="Y181" s="187"/>
      <c r="Z181" s="178"/>
    </row>
    <row r="182" spans="1:26" x14ac:dyDescent="0.3">
      <c r="A182" s="184">
        <v>167</v>
      </c>
      <c r="B182" s="185">
        <v>42373</v>
      </c>
      <c r="C182" s="186" t="s">
        <v>542</v>
      </c>
      <c r="D182" s="186" t="s">
        <v>514</v>
      </c>
      <c r="E182" s="187">
        <v>549421.17373256898</v>
      </c>
      <c r="F182" s="187">
        <v>508640.96459668601</v>
      </c>
      <c r="G182" s="187">
        <v>292033.911234945</v>
      </c>
      <c r="H182" s="187">
        <v>516.30401645728296</v>
      </c>
      <c r="I182" s="187">
        <v>200467.38670743999</v>
      </c>
      <c r="J182" s="187">
        <v>4.3528720899886402</v>
      </c>
      <c r="K182" s="187">
        <v>93617.102275068697</v>
      </c>
      <c r="L182" s="187">
        <v>42504.317793691698</v>
      </c>
      <c r="M182" s="187">
        <v>2631.9137344668302</v>
      </c>
      <c r="N182" s="187">
        <v>70460.874615042296</v>
      </c>
      <c r="O182" s="187">
        <v>1444.5787210216899</v>
      </c>
      <c r="P182" s="187">
        <v>1897727.0318907199</v>
      </c>
      <c r="Q182" s="187">
        <v>0</v>
      </c>
      <c r="R182" s="187">
        <v>530.08780980466202</v>
      </c>
      <c r="S182" s="187">
        <v>3660000</v>
      </c>
      <c r="T182" s="187"/>
      <c r="U182" s="188">
        <v>206762.426309417</v>
      </c>
      <c r="V182" s="188">
        <v>12827.861757520801</v>
      </c>
      <c r="W182" s="188">
        <v>35611.120681815897</v>
      </c>
      <c r="X182" s="188"/>
      <c r="Y182" s="187"/>
      <c r="Z182" s="178"/>
    </row>
    <row r="183" spans="1:26" x14ac:dyDescent="0.3">
      <c r="A183" s="184">
        <v>168</v>
      </c>
      <c r="B183" s="185">
        <v>42355</v>
      </c>
      <c r="C183" s="186" t="s">
        <v>537</v>
      </c>
      <c r="D183" s="186" t="s">
        <v>514</v>
      </c>
      <c r="E183" s="187">
        <v>593929.50461966102</v>
      </c>
      <c r="F183" s="187">
        <v>566079.21343193494</v>
      </c>
      <c r="G183" s="187">
        <v>333439.87970875303</v>
      </c>
      <c r="H183" s="187">
        <v>310.51683602820498</v>
      </c>
      <c r="I183" s="187">
        <v>217693.69399390701</v>
      </c>
      <c r="J183" s="187">
        <v>3.7310332199902598</v>
      </c>
      <c r="K183" s="187">
        <v>98745.259671588195</v>
      </c>
      <c r="L183" s="187">
        <v>45877.683873724003</v>
      </c>
      <c r="M183" s="187">
        <v>10797.9231652375</v>
      </c>
      <c r="N183" s="187">
        <v>61659.972966628797</v>
      </c>
      <c r="O183" s="187">
        <v>1145.4259439719001</v>
      </c>
      <c r="P183" s="187">
        <v>1728787.1069455401</v>
      </c>
      <c r="Q183" s="187">
        <v>0</v>
      </c>
      <c r="R183" s="187">
        <v>530.08780980466202</v>
      </c>
      <c r="S183" s="187">
        <v>3659000</v>
      </c>
      <c r="T183" s="187"/>
      <c r="U183" s="188">
        <v>206603.84718305999</v>
      </c>
      <c r="V183" s="188">
        <v>12864.059347311801</v>
      </c>
      <c r="W183" s="188">
        <v>28677.593670805301</v>
      </c>
      <c r="X183" s="188"/>
      <c r="Y183" s="187"/>
      <c r="Z183" s="178"/>
    </row>
    <row r="184" spans="1:26" x14ac:dyDescent="0.3">
      <c r="A184" s="184">
        <v>169</v>
      </c>
      <c r="B184" s="185">
        <v>42355</v>
      </c>
      <c r="C184" s="186" t="s">
        <v>535</v>
      </c>
      <c r="D184" s="186" t="s">
        <v>514</v>
      </c>
      <c r="E184" s="187">
        <v>560211.05173894798</v>
      </c>
      <c r="F184" s="187">
        <v>529683.00426677801</v>
      </c>
      <c r="G184" s="187">
        <v>321452.59852507</v>
      </c>
      <c r="H184" s="187">
        <v>239.70561910147501</v>
      </c>
      <c r="I184" s="187">
        <v>194405.13980373199</v>
      </c>
      <c r="J184" s="187">
        <v>4.3528720899886402</v>
      </c>
      <c r="K184" s="187">
        <v>93470.450212277705</v>
      </c>
      <c r="L184" s="187">
        <v>50952.144473385197</v>
      </c>
      <c r="M184" s="187">
        <v>9768.8069048151992</v>
      </c>
      <c r="N184" s="187">
        <v>62186.937958407703</v>
      </c>
      <c r="O184" s="187">
        <v>1373.13998186195</v>
      </c>
      <c r="P184" s="187">
        <v>1832722.5798337299</v>
      </c>
      <c r="Q184" s="187">
        <v>0</v>
      </c>
      <c r="R184" s="187">
        <v>530.08780980466202</v>
      </c>
      <c r="S184" s="187">
        <v>3657000</v>
      </c>
      <c r="T184" s="187"/>
      <c r="U184" s="188">
        <v>204162.86207195499</v>
      </c>
      <c r="V184" s="188">
        <v>12311.753183516699</v>
      </c>
      <c r="W184" s="188">
        <v>27923.671722965199</v>
      </c>
      <c r="X184" s="188"/>
      <c r="Y184" s="187"/>
      <c r="Z184" s="178"/>
    </row>
    <row r="185" spans="1:26" x14ac:dyDescent="0.3">
      <c r="A185" s="184">
        <v>170</v>
      </c>
      <c r="B185" s="185">
        <v>42375</v>
      </c>
      <c r="C185" s="186" t="s">
        <v>535</v>
      </c>
      <c r="D185" s="186" t="s">
        <v>514</v>
      </c>
      <c r="E185" s="187">
        <v>552847.82481440401</v>
      </c>
      <c r="F185" s="187">
        <v>535359.55202087399</v>
      </c>
      <c r="G185" s="187">
        <v>295986.23988511198</v>
      </c>
      <c r="H185" s="187">
        <v>366.70051830731899</v>
      </c>
      <c r="I185" s="187">
        <v>200247.62414533901</v>
      </c>
      <c r="J185" s="187">
        <v>4.3528720899886402</v>
      </c>
      <c r="K185" s="187">
        <v>96629.862474399793</v>
      </c>
      <c r="L185" s="187">
        <v>50989.364215843001</v>
      </c>
      <c r="M185" s="187">
        <v>4880.5148474036296</v>
      </c>
      <c r="N185" s="187">
        <v>78733.823950263599</v>
      </c>
      <c r="O185" s="187">
        <v>1436.95778755941</v>
      </c>
      <c r="P185" s="187">
        <v>1836987.0946585999</v>
      </c>
      <c r="Q185" s="187">
        <v>0</v>
      </c>
      <c r="R185" s="187">
        <v>530.08780980466202</v>
      </c>
      <c r="S185" s="187">
        <v>3655000</v>
      </c>
      <c r="T185" s="187"/>
      <c r="U185" s="188">
        <v>211589.75968390799</v>
      </c>
      <c r="V185" s="188">
        <v>13952.517035860399</v>
      </c>
      <c r="W185" s="188">
        <v>34290.328273370003</v>
      </c>
      <c r="X185" s="188"/>
      <c r="Y185" s="187"/>
      <c r="Z185" s="178"/>
    </row>
    <row r="186" spans="1:26" x14ac:dyDescent="0.3">
      <c r="A186" s="184">
        <v>171</v>
      </c>
      <c r="B186" s="185">
        <v>42355</v>
      </c>
      <c r="C186" s="186" t="s">
        <v>516</v>
      </c>
      <c r="D186" s="186" t="s">
        <v>514</v>
      </c>
      <c r="E186" s="187">
        <v>508567.14013179397</v>
      </c>
      <c r="F186" s="187">
        <v>482119.56084571697</v>
      </c>
      <c r="G186" s="187">
        <v>308871.54179016501</v>
      </c>
      <c r="H186" s="187">
        <v>252.07353534422401</v>
      </c>
      <c r="I186" s="187">
        <v>186526.518129465</v>
      </c>
      <c r="J186" s="187">
        <v>4.3528720899886402</v>
      </c>
      <c r="K186" s="187">
        <v>90286.744894368996</v>
      </c>
      <c r="L186" s="187">
        <v>48819.1708213042</v>
      </c>
      <c r="M186" s="187">
        <v>7819.1906546312603</v>
      </c>
      <c r="N186" s="187">
        <v>71726.3051310148</v>
      </c>
      <c r="O186" s="187">
        <v>1333.8329828149999</v>
      </c>
      <c r="P186" s="187">
        <v>1933748.9765206301</v>
      </c>
      <c r="Q186" s="187">
        <v>1186.85346651088</v>
      </c>
      <c r="R186" s="187">
        <v>12737.7382241546</v>
      </c>
      <c r="S186" s="187">
        <v>3654000</v>
      </c>
      <c r="T186" s="187"/>
      <c r="U186" s="188">
        <v>205060.56481144001</v>
      </c>
      <c r="V186" s="188">
        <v>12848.184666713099</v>
      </c>
      <c r="W186" s="188">
        <v>27649.842828897101</v>
      </c>
      <c r="X186" s="188"/>
      <c r="Y186" s="187"/>
      <c r="Z186" s="178"/>
    </row>
    <row r="187" spans="1:26" x14ac:dyDescent="0.3">
      <c r="A187" s="184">
        <v>171</v>
      </c>
      <c r="B187" s="185">
        <v>42383</v>
      </c>
      <c r="C187" s="186" t="s">
        <v>519</v>
      </c>
      <c r="D187" s="186" t="s">
        <v>514</v>
      </c>
      <c r="E187" s="187">
        <v>445319.53314117598</v>
      </c>
      <c r="F187" s="187">
        <v>413278.21121801803</v>
      </c>
      <c r="G187" s="187">
        <v>273300.366635004</v>
      </c>
      <c r="H187" s="187">
        <v>407.665667048562</v>
      </c>
      <c r="I187" s="187">
        <v>170132.843920516</v>
      </c>
      <c r="J187" s="187">
        <v>4.3528720899886402</v>
      </c>
      <c r="K187" s="187">
        <v>90769.665616118698</v>
      </c>
      <c r="L187" s="187">
        <v>16126.2288755019</v>
      </c>
      <c r="M187" s="187">
        <v>7736.2371410779897</v>
      </c>
      <c r="N187" s="187">
        <v>70069.844442571193</v>
      </c>
      <c r="O187" s="187">
        <v>1395.80807478164</v>
      </c>
      <c r="P187" s="187">
        <v>2146663.9220131799</v>
      </c>
      <c r="Q187" s="187">
        <v>1618.43654597776</v>
      </c>
      <c r="R187" s="187">
        <v>17176.883836939502</v>
      </c>
      <c r="S187" s="187">
        <v>3654000</v>
      </c>
      <c r="T187" s="187"/>
      <c r="U187" s="188">
        <v>205283.232858426</v>
      </c>
      <c r="V187" s="188">
        <v>13678.043704620601</v>
      </c>
      <c r="W187" s="188">
        <v>35474.557127952903</v>
      </c>
      <c r="X187" s="188"/>
      <c r="Y187" s="187"/>
      <c r="Z187" s="178"/>
    </row>
    <row r="188" spans="1:26" x14ac:dyDescent="0.3">
      <c r="A188" s="184">
        <v>173</v>
      </c>
      <c r="B188" s="185">
        <v>42354</v>
      </c>
      <c r="C188" s="186" t="s">
        <v>527</v>
      </c>
      <c r="D188" s="186" t="s">
        <v>514</v>
      </c>
      <c r="E188" s="187">
        <v>507228.69695627299</v>
      </c>
      <c r="F188" s="187">
        <v>458101.98746499303</v>
      </c>
      <c r="G188" s="187">
        <v>281998.78232288198</v>
      </c>
      <c r="H188" s="187">
        <v>472.65389826696799</v>
      </c>
      <c r="I188" s="187">
        <v>178895.03456182501</v>
      </c>
      <c r="J188" s="187">
        <v>4.3528720899886402</v>
      </c>
      <c r="K188" s="187">
        <v>93845.9974415053</v>
      </c>
      <c r="L188" s="187">
        <v>22197.7730868453</v>
      </c>
      <c r="M188" s="187">
        <v>7618.3167212717499</v>
      </c>
      <c r="N188" s="187">
        <v>71843.796379181906</v>
      </c>
      <c r="O188" s="187">
        <v>1261.448735148</v>
      </c>
      <c r="P188" s="187">
        <v>2019650.7672033999</v>
      </c>
      <c r="Q188" s="187">
        <v>917.11458219957694</v>
      </c>
      <c r="R188" s="187">
        <v>9963.2777741130994</v>
      </c>
      <c r="S188" s="187">
        <v>3654000</v>
      </c>
      <c r="T188" s="187"/>
      <c r="U188" s="188">
        <v>206468.21146296099</v>
      </c>
      <c r="V188" s="188">
        <v>13101.671483562501</v>
      </c>
      <c r="W188" s="188">
        <v>28793.927470543498</v>
      </c>
      <c r="X188" s="188"/>
      <c r="Y188" s="187"/>
      <c r="Z188" s="178"/>
    </row>
    <row r="189" spans="1:26" x14ac:dyDescent="0.3">
      <c r="A189" s="184">
        <v>174</v>
      </c>
      <c r="B189" s="185">
        <v>42380</v>
      </c>
      <c r="C189" s="186" t="s">
        <v>541</v>
      </c>
      <c r="D189" s="186" t="s">
        <v>514</v>
      </c>
      <c r="E189" s="187">
        <v>568520.66117119696</v>
      </c>
      <c r="F189" s="187">
        <v>526738.33032728196</v>
      </c>
      <c r="G189" s="187">
        <v>311824.83011311002</v>
      </c>
      <c r="H189" s="187">
        <v>378.61024352363501</v>
      </c>
      <c r="I189" s="187">
        <v>207647.107120031</v>
      </c>
      <c r="J189" s="187">
        <v>4.3528720899886402</v>
      </c>
      <c r="K189" s="187">
        <v>93776.874397463893</v>
      </c>
      <c r="L189" s="187">
        <v>44937.889896853601</v>
      </c>
      <c r="M189" s="187">
        <v>5078.8744209830802</v>
      </c>
      <c r="N189" s="187">
        <v>72701.259580090496</v>
      </c>
      <c r="O189" s="187">
        <v>1363.3567090942799</v>
      </c>
      <c r="P189" s="187">
        <v>1817497.76533848</v>
      </c>
      <c r="Q189" s="187">
        <v>0</v>
      </c>
      <c r="R189" s="187">
        <v>530.08780980466202</v>
      </c>
      <c r="S189" s="187">
        <v>3651000</v>
      </c>
      <c r="T189" s="187"/>
      <c r="U189" s="188">
        <v>217984.67203939601</v>
      </c>
      <c r="V189" s="188">
        <v>13270.144253234401</v>
      </c>
      <c r="W189" s="188">
        <v>35004.421303586802</v>
      </c>
      <c r="X189" s="188"/>
      <c r="Y189" s="187"/>
      <c r="Z189" s="178"/>
    </row>
    <row r="190" spans="1:26" x14ac:dyDescent="0.3">
      <c r="A190" s="184">
        <v>175</v>
      </c>
      <c r="B190" s="185">
        <v>42402</v>
      </c>
      <c r="C190" s="186" t="s">
        <v>516</v>
      </c>
      <c r="D190" s="186" t="s">
        <v>514</v>
      </c>
      <c r="E190" s="187">
        <v>547930.00564791902</v>
      </c>
      <c r="F190" s="187">
        <v>523734.24516802299</v>
      </c>
      <c r="G190" s="187">
        <v>307105.20425422798</v>
      </c>
      <c r="H190" s="187">
        <v>377.59909453222599</v>
      </c>
      <c r="I190" s="187">
        <v>204220.428146791</v>
      </c>
      <c r="J190" s="187">
        <v>4.3528720899886402</v>
      </c>
      <c r="K190" s="187">
        <v>93812.246584670298</v>
      </c>
      <c r="L190" s="187">
        <v>54084.724665494701</v>
      </c>
      <c r="M190" s="187">
        <v>8132.1724594795596</v>
      </c>
      <c r="N190" s="187">
        <v>69730.979447857797</v>
      </c>
      <c r="O190" s="187">
        <v>1432.2987015999399</v>
      </c>
      <c r="P190" s="187">
        <v>1830686.3004896101</v>
      </c>
      <c r="Q190" s="187">
        <v>728.29644568999004</v>
      </c>
      <c r="R190" s="187">
        <v>8021.1460220153604</v>
      </c>
      <c r="S190" s="187">
        <v>3650000</v>
      </c>
      <c r="T190" s="187"/>
      <c r="U190" s="188">
        <v>213930.65863653901</v>
      </c>
      <c r="V190" s="188">
        <v>14124.3493068477</v>
      </c>
      <c r="W190" s="188">
        <v>34774.4591413136</v>
      </c>
      <c r="X190" s="188"/>
      <c r="Y190" s="187"/>
      <c r="Z190" s="178"/>
    </row>
    <row r="191" spans="1:26" x14ac:dyDescent="0.3">
      <c r="A191" s="184">
        <v>176</v>
      </c>
      <c r="B191" s="185">
        <v>42383</v>
      </c>
      <c r="C191" s="186" t="s">
        <v>516</v>
      </c>
      <c r="D191" s="186" t="s">
        <v>514</v>
      </c>
      <c r="E191" s="187">
        <v>530692.66620111803</v>
      </c>
      <c r="F191" s="187">
        <v>518868.94639966701</v>
      </c>
      <c r="G191" s="187">
        <v>313261.556544038</v>
      </c>
      <c r="H191" s="187">
        <v>328.88611204846302</v>
      </c>
      <c r="I191" s="187">
        <v>197930.63885984401</v>
      </c>
      <c r="J191" s="187">
        <v>4.3528720899886402</v>
      </c>
      <c r="K191" s="187">
        <v>93746.738618050105</v>
      </c>
      <c r="L191" s="187">
        <v>49306.763467888399</v>
      </c>
      <c r="M191" s="187">
        <v>7771.0106350401902</v>
      </c>
      <c r="N191" s="187">
        <v>71675.005131815196</v>
      </c>
      <c r="O191" s="187">
        <v>1483.36145173612</v>
      </c>
      <c r="P191" s="187">
        <v>1847396.64091805</v>
      </c>
      <c r="Q191" s="187">
        <v>1240.80135245576</v>
      </c>
      <c r="R191" s="187">
        <v>13292.631436157</v>
      </c>
      <c r="S191" s="187">
        <v>3647000</v>
      </c>
      <c r="T191" s="187"/>
      <c r="U191" s="188">
        <v>209031.63602014401</v>
      </c>
      <c r="V191" s="188">
        <v>14762.291647693601</v>
      </c>
      <c r="W191" s="188">
        <v>34815.071211811497</v>
      </c>
      <c r="X191" s="188"/>
      <c r="Y191" s="187"/>
      <c r="Z191" s="178"/>
    </row>
    <row r="192" spans="1:26" x14ac:dyDescent="0.3">
      <c r="A192" s="184">
        <v>177</v>
      </c>
      <c r="B192" s="185">
        <v>42339</v>
      </c>
      <c r="C192" s="186" t="s">
        <v>519</v>
      </c>
      <c r="D192" s="186" t="s">
        <v>514</v>
      </c>
      <c r="E192" s="187">
        <v>437829.16972768999</v>
      </c>
      <c r="F192" s="187">
        <v>399973.89615093003</v>
      </c>
      <c r="G192" s="187">
        <v>268847.763680776</v>
      </c>
      <c r="H192" s="187">
        <v>311.28418306755401</v>
      </c>
      <c r="I192" s="187">
        <v>165137.829656124</v>
      </c>
      <c r="J192" s="187">
        <v>4.3528720899886402</v>
      </c>
      <c r="K192" s="187">
        <v>90749.499171485906</v>
      </c>
      <c r="L192" s="187">
        <v>15719.4609447844</v>
      </c>
      <c r="M192" s="187">
        <v>7542.5907196368598</v>
      </c>
      <c r="N192" s="187">
        <v>70498.840685878502</v>
      </c>
      <c r="O192" s="187">
        <v>1423.69486093416</v>
      </c>
      <c r="P192" s="187">
        <v>2169166.2969636898</v>
      </c>
      <c r="Q192" s="187">
        <v>1618.43654597776</v>
      </c>
      <c r="R192" s="187">
        <v>17176.883836939502</v>
      </c>
      <c r="S192" s="187">
        <v>3646000</v>
      </c>
      <c r="T192" s="187"/>
      <c r="U192" s="188">
        <v>186511.904431904</v>
      </c>
      <c r="V192" s="188">
        <v>12633.954244864801</v>
      </c>
      <c r="W192" s="188">
        <v>34343.826768441097</v>
      </c>
      <c r="X192" s="188"/>
      <c r="Y192" s="187"/>
      <c r="Z192" s="178"/>
    </row>
    <row r="193" spans="1:26" x14ac:dyDescent="0.3">
      <c r="A193" s="184">
        <v>178</v>
      </c>
      <c r="B193" s="185">
        <v>42332</v>
      </c>
      <c r="C193" s="186" t="s">
        <v>519</v>
      </c>
      <c r="D193" s="186" t="s">
        <v>514</v>
      </c>
      <c r="E193" s="187">
        <v>418295.32508021098</v>
      </c>
      <c r="F193" s="187">
        <v>402374.47693982697</v>
      </c>
      <c r="G193" s="187">
        <v>265382.58457598003</v>
      </c>
      <c r="H193" s="187">
        <v>835.07863125440804</v>
      </c>
      <c r="I193" s="187">
        <v>166434.595303685</v>
      </c>
      <c r="J193" s="187">
        <v>5.5965498299853902</v>
      </c>
      <c r="K193" s="187">
        <v>94329.105189629801</v>
      </c>
      <c r="L193" s="187">
        <v>17599.023630847001</v>
      </c>
      <c r="M193" s="187">
        <v>4527.8326249755401</v>
      </c>
      <c r="N193" s="187">
        <v>71530.031741219704</v>
      </c>
      <c r="O193" s="187">
        <v>1200.5466141997799</v>
      </c>
      <c r="P193" s="187">
        <v>2182690.4827354201</v>
      </c>
      <c r="Q193" s="187">
        <v>1618.43654597776</v>
      </c>
      <c r="R193" s="187">
        <v>17176.883836939502</v>
      </c>
      <c r="S193" s="187">
        <v>3644000</v>
      </c>
      <c r="T193" s="187"/>
      <c r="U193" s="188">
        <v>208619.509362104</v>
      </c>
      <c r="V193" s="188">
        <v>10428.566057235999</v>
      </c>
      <c r="W193" s="188">
        <v>34963.524450225501</v>
      </c>
      <c r="X193" s="188"/>
      <c r="Y193" s="187"/>
      <c r="Z193" s="178"/>
    </row>
    <row r="194" spans="1:26" x14ac:dyDescent="0.3">
      <c r="A194" s="184">
        <v>178</v>
      </c>
      <c r="B194" s="185">
        <v>42364</v>
      </c>
      <c r="C194" s="186" t="s">
        <v>519</v>
      </c>
      <c r="D194" s="186" t="s">
        <v>514</v>
      </c>
      <c r="E194" s="187">
        <v>398168.101228802</v>
      </c>
      <c r="F194" s="187">
        <v>310751.59880140901</v>
      </c>
      <c r="G194" s="187">
        <v>175542.58555950501</v>
      </c>
      <c r="H194" s="187">
        <v>481.219272137102</v>
      </c>
      <c r="I194" s="187">
        <v>116106.034065856</v>
      </c>
      <c r="J194" s="187">
        <v>4.3528720899886402</v>
      </c>
      <c r="K194" s="187">
        <v>72884.787651825303</v>
      </c>
      <c r="L194" s="187">
        <v>16167.522178478001</v>
      </c>
      <c r="M194" s="187">
        <v>2472.6641620005998</v>
      </c>
      <c r="N194" s="187">
        <v>56521.799653930997</v>
      </c>
      <c r="O194" s="187">
        <v>1272.7571962146801</v>
      </c>
      <c r="P194" s="187">
        <v>2474831.2569748298</v>
      </c>
      <c r="Q194" s="187">
        <v>1618.43654597776</v>
      </c>
      <c r="R194" s="187">
        <v>17176.883836939502</v>
      </c>
      <c r="S194" s="187">
        <v>3644000</v>
      </c>
      <c r="T194" s="187"/>
      <c r="U194" s="188">
        <v>184220.595795061</v>
      </c>
      <c r="V194" s="188">
        <v>9771.8872383746002</v>
      </c>
      <c r="W194" s="188">
        <v>34920.827362334101</v>
      </c>
      <c r="X194" s="188"/>
      <c r="Y194" s="187"/>
      <c r="Z194" s="178"/>
    </row>
    <row r="195" spans="1:26" x14ac:dyDescent="0.3">
      <c r="A195" s="184">
        <v>178</v>
      </c>
      <c r="B195" s="185">
        <v>42369</v>
      </c>
      <c r="C195" s="186" t="s">
        <v>541</v>
      </c>
      <c r="D195" s="186" t="s">
        <v>514</v>
      </c>
      <c r="E195" s="187">
        <v>492117.87084475701</v>
      </c>
      <c r="F195" s="187">
        <v>441952.49844623898</v>
      </c>
      <c r="G195" s="187">
        <v>247934.58802554201</v>
      </c>
      <c r="H195" s="187">
        <v>466.66921685739999</v>
      </c>
      <c r="I195" s="187">
        <v>170789.20670994199</v>
      </c>
      <c r="J195" s="187">
        <v>4.3528720899886402</v>
      </c>
      <c r="K195" s="187">
        <v>90783.462042928601</v>
      </c>
      <c r="L195" s="187">
        <v>25661.461276071401</v>
      </c>
      <c r="M195" s="187">
        <v>3852.8848077420298</v>
      </c>
      <c r="N195" s="187">
        <v>66777.962172498505</v>
      </c>
      <c r="O195" s="187">
        <v>1422.46304642511</v>
      </c>
      <c r="P195" s="187">
        <v>2101706.4927290999</v>
      </c>
      <c r="Q195" s="187">
        <v>0</v>
      </c>
      <c r="R195" s="187">
        <v>530.08780980466202</v>
      </c>
      <c r="S195" s="187">
        <v>3644000</v>
      </c>
      <c r="T195" s="187"/>
      <c r="U195" s="188">
        <v>185868.036143862</v>
      </c>
      <c r="V195" s="188">
        <v>10649.9820791202</v>
      </c>
      <c r="W195" s="188">
        <v>35104.491967656097</v>
      </c>
      <c r="X195" s="188"/>
      <c r="Y195" s="187"/>
      <c r="Z195" s="178"/>
    </row>
    <row r="196" spans="1:26" x14ac:dyDescent="0.3">
      <c r="A196" s="184">
        <v>181</v>
      </c>
      <c r="B196" s="185">
        <v>42377</v>
      </c>
      <c r="C196" s="186" t="s">
        <v>516</v>
      </c>
      <c r="D196" s="186" t="s">
        <v>514</v>
      </c>
      <c r="E196" s="187">
        <v>526571.57917392603</v>
      </c>
      <c r="F196" s="187">
        <v>482838.33854382002</v>
      </c>
      <c r="G196" s="187">
        <v>293365.26275078102</v>
      </c>
      <c r="H196" s="187">
        <v>372.44207986531597</v>
      </c>
      <c r="I196" s="187">
        <v>191817.309537361</v>
      </c>
      <c r="J196" s="187">
        <v>3.7310332199902598</v>
      </c>
      <c r="K196" s="187">
        <v>90748.229806199801</v>
      </c>
      <c r="L196" s="187">
        <v>49983.335479585701</v>
      </c>
      <c r="M196" s="187">
        <v>9903.7476062094993</v>
      </c>
      <c r="N196" s="187">
        <v>66604.631282345494</v>
      </c>
      <c r="O196" s="187">
        <v>1455.8770044734099</v>
      </c>
      <c r="P196" s="187">
        <v>1913193.2418339199</v>
      </c>
      <c r="Q196" s="187">
        <v>1294.7492367821999</v>
      </c>
      <c r="R196" s="187">
        <v>13847.524631512601</v>
      </c>
      <c r="S196" s="187">
        <v>3642000</v>
      </c>
      <c r="T196" s="187"/>
      <c r="U196" s="188">
        <v>214940.38217553499</v>
      </c>
      <c r="V196" s="188">
        <v>13622.788203046101</v>
      </c>
      <c r="W196" s="188">
        <v>35120.826299040898</v>
      </c>
      <c r="X196" s="188"/>
      <c r="Y196" s="187"/>
      <c r="Z196" s="178"/>
    </row>
    <row r="197" spans="1:26" x14ac:dyDescent="0.3">
      <c r="A197" s="184">
        <v>182</v>
      </c>
      <c r="B197" s="185">
        <v>42401</v>
      </c>
      <c r="C197" s="186" t="s">
        <v>513</v>
      </c>
      <c r="D197" s="186" t="s">
        <v>514</v>
      </c>
      <c r="E197" s="187">
        <v>422324.13160677301</v>
      </c>
      <c r="F197" s="187">
        <v>408879.23671056802</v>
      </c>
      <c r="G197" s="187">
        <v>239017.57167978201</v>
      </c>
      <c r="H197" s="187">
        <v>421.699330726509</v>
      </c>
      <c r="I197" s="187">
        <v>171085.68966194501</v>
      </c>
      <c r="J197" s="187">
        <v>4.3528720899886402</v>
      </c>
      <c r="K197" s="187">
        <v>85375.4351611241</v>
      </c>
      <c r="L197" s="187">
        <v>15149.659394631601</v>
      </c>
      <c r="M197" s="187">
        <v>9015.1708240196895</v>
      </c>
      <c r="N197" s="187">
        <v>65075.748806197204</v>
      </c>
      <c r="O197" s="187">
        <v>1395.0135342296201</v>
      </c>
      <c r="P197" s="187">
        <v>2201460.9700349998</v>
      </c>
      <c r="Q197" s="187">
        <v>1618.43654597776</v>
      </c>
      <c r="R197" s="187">
        <v>17176.883836939502</v>
      </c>
      <c r="S197" s="187">
        <v>3638000</v>
      </c>
      <c r="T197" s="187"/>
      <c r="U197" s="188">
        <v>207033.758796373</v>
      </c>
      <c r="V197" s="188">
        <v>13506.8750388313</v>
      </c>
      <c r="W197" s="188">
        <v>35512.840081460003</v>
      </c>
      <c r="X197" s="188"/>
      <c r="Y197" s="187"/>
      <c r="Z197" s="178"/>
    </row>
    <row r="198" spans="1:26" x14ac:dyDescent="0.3">
      <c r="A198" s="184">
        <v>183</v>
      </c>
      <c r="B198" s="185">
        <v>42338</v>
      </c>
      <c r="C198" s="186" t="s">
        <v>540</v>
      </c>
      <c r="D198" s="186" t="s">
        <v>514</v>
      </c>
      <c r="E198" s="187">
        <v>492183.477612041</v>
      </c>
      <c r="F198" s="187">
        <v>484008.71225225501</v>
      </c>
      <c r="G198" s="187">
        <v>259595.35790311801</v>
      </c>
      <c r="H198" s="187">
        <v>194.143824814721</v>
      </c>
      <c r="I198" s="187">
        <v>188968.77930588901</v>
      </c>
      <c r="J198" s="187">
        <v>4.9747109599870099</v>
      </c>
      <c r="K198" s="187">
        <v>87411.775379513303</v>
      </c>
      <c r="L198" s="187">
        <v>46788.843262813498</v>
      </c>
      <c r="M198" s="187">
        <v>8757.1995465050404</v>
      </c>
      <c r="N198" s="187">
        <v>70996.430320972897</v>
      </c>
      <c r="O198" s="187">
        <v>1471.0335934853199</v>
      </c>
      <c r="P198" s="187">
        <v>1996089.1844778301</v>
      </c>
      <c r="Q198" s="187">
        <v>0</v>
      </c>
      <c r="R198" s="187">
        <v>530.08780980466202</v>
      </c>
      <c r="S198" s="187">
        <v>3637000</v>
      </c>
      <c r="T198" s="187"/>
      <c r="U198" s="188">
        <v>194129.98013857301</v>
      </c>
      <c r="V198" s="188">
        <v>11708.930074014999</v>
      </c>
      <c r="W198" s="188">
        <v>34189.2608692785</v>
      </c>
      <c r="X198" s="188"/>
      <c r="Y198" s="187"/>
      <c r="Z198" s="178"/>
    </row>
    <row r="199" spans="1:26" x14ac:dyDescent="0.3">
      <c r="A199" s="184">
        <v>184</v>
      </c>
      <c r="B199" s="185">
        <v>42374</v>
      </c>
      <c r="C199" s="186" t="s">
        <v>536</v>
      </c>
      <c r="D199" s="186" t="s">
        <v>514</v>
      </c>
      <c r="E199" s="187">
        <v>539417.10461547901</v>
      </c>
      <c r="F199" s="187">
        <v>501465.169548404</v>
      </c>
      <c r="G199" s="187">
        <v>314908.32669242797</v>
      </c>
      <c r="H199" s="187">
        <v>434.334698049282</v>
      </c>
      <c r="I199" s="187">
        <v>199738.885270767</v>
      </c>
      <c r="J199" s="187">
        <v>4.3528720899886402</v>
      </c>
      <c r="K199" s="187">
        <v>91726.385353259306</v>
      </c>
      <c r="L199" s="187">
        <v>44430.500614442702</v>
      </c>
      <c r="M199" s="187">
        <v>4907.02251083383</v>
      </c>
      <c r="N199" s="187">
        <v>75819.821138581407</v>
      </c>
      <c r="O199" s="187">
        <v>1441.50871616625</v>
      </c>
      <c r="P199" s="187">
        <v>1862176.5001596999</v>
      </c>
      <c r="Q199" s="187">
        <v>0</v>
      </c>
      <c r="R199" s="187">
        <v>530.08780980466202</v>
      </c>
      <c r="S199" s="187">
        <v>3637000</v>
      </c>
      <c r="T199" s="187"/>
      <c r="U199" s="188">
        <v>210810.50800236399</v>
      </c>
      <c r="V199" s="188">
        <v>13720.680338599601</v>
      </c>
      <c r="W199" s="188">
        <v>34771.590971045502</v>
      </c>
      <c r="X199" s="188"/>
      <c r="Y199" s="187"/>
      <c r="Z199" s="178"/>
    </row>
    <row r="200" spans="1:26" x14ac:dyDescent="0.3">
      <c r="A200" s="184">
        <v>185</v>
      </c>
      <c r="B200" s="185">
        <v>42332</v>
      </c>
      <c r="C200" s="186" t="s">
        <v>513</v>
      </c>
      <c r="D200" s="186" t="s">
        <v>514</v>
      </c>
      <c r="E200" s="187">
        <v>393861.64199236198</v>
      </c>
      <c r="F200" s="187">
        <v>389338.125036515</v>
      </c>
      <c r="G200" s="187">
        <v>250366.95116571101</v>
      </c>
      <c r="H200" s="187">
        <v>871.20673490926595</v>
      </c>
      <c r="I200" s="187">
        <v>163938.35489999599</v>
      </c>
      <c r="J200" s="187">
        <v>3.1091943499918799</v>
      </c>
      <c r="K200" s="187">
        <v>88389.778714573302</v>
      </c>
      <c r="L200" s="187">
        <v>16989.2624475093</v>
      </c>
      <c r="M200" s="187">
        <v>4420.9367057433801</v>
      </c>
      <c r="N200" s="187">
        <v>67981.181260870202</v>
      </c>
      <c r="O200" s="187">
        <v>1221.89729159888</v>
      </c>
      <c r="P200" s="187">
        <v>2240822.2341729398</v>
      </c>
      <c r="Q200" s="187">
        <v>1618.43654597776</v>
      </c>
      <c r="R200" s="187">
        <v>17176.883836939502</v>
      </c>
      <c r="S200" s="187">
        <v>3637000</v>
      </c>
      <c r="T200" s="187"/>
      <c r="U200" s="188">
        <v>206851.005154154</v>
      </c>
      <c r="V200" s="188">
        <v>9823.9491399331</v>
      </c>
      <c r="W200" s="188">
        <v>34788.088035495202</v>
      </c>
      <c r="X200" s="188"/>
      <c r="Y200" s="187"/>
      <c r="Z200" s="178"/>
    </row>
    <row r="201" spans="1:26" x14ac:dyDescent="0.3">
      <c r="A201" s="184">
        <v>186</v>
      </c>
      <c r="B201" s="185">
        <v>42378</v>
      </c>
      <c r="C201" s="186" t="s">
        <v>536</v>
      </c>
      <c r="D201" s="186" t="s">
        <v>514</v>
      </c>
      <c r="E201" s="187">
        <v>414938.34739229298</v>
      </c>
      <c r="F201" s="187">
        <v>359803.55133058201</v>
      </c>
      <c r="G201" s="187">
        <v>197545.38803726001</v>
      </c>
      <c r="H201" s="187">
        <v>415.86925357272901</v>
      </c>
      <c r="I201" s="187">
        <v>144451.50193551599</v>
      </c>
      <c r="J201" s="187">
        <v>4.3528720899886402</v>
      </c>
      <c r="K201" s="187">
        <v>77133.295130893297</v>
      </c>
      <c r="L201" s="187">
        <v>17863.755112542</v>
      </c>
      <c r="M201" s="187">
        <v>9234.3883862199109</v>
      </c>
      <c r="N201" s="187">
        <v>61833.090106785101</v>
      </c>
      <c r="O201" s="187">
        <v>1431.20880827727</v>
      </c>
      <c r="P201" s="187">
        <v>2350815.1638241601</v>
      </c>
      <c r="Q201" s="187">
        <v>0</v>
      </c>
      <c r="R201" s="187">
        <v>530.08780980466202</v>
      </c>
      <c r="S201" s="187">
        <v>3636000</v>
      </c>
      <c r="T201" s="187"/>
      <c r="U201" s="188">
        <v>205706.73456222899</v>
      </c>
      <c r="V201" s="188">
        <v>12817.295918506999</v>
      </c>
      <c r="W201" s="188">
        <v>34229.954306308799</v>
      </c>
      <c r="X201" s="188"/>
      <c r="Y201" s="187"/>
      <c r="Z201" s="178"/>
    </row>
    <row r="202" spans="1:26" x14ac:dyDescent="0.3">
      <c r="A202" s="184">
        <v>187</v>
      </c>
      <c r="B202" s="185">
        <v>42383</v>
      </c>
      <c r="C202" s="186" t="s">
        <v>529</v>
      </c>
      <c r="D202" s="186" t="s">
        <v>514</v>
      </c>
      <c r="E202" s="187">
        <v>391484.43559240998</v>
      </c>
      <c r="F202" s="187">
        <v>378062.58902855602</v>
      </c>
      <c r="G202" s="187">
        <v>252056.454251027</v>
      </c>
      <c r="H202" s="187">
        <v>352.21416014198297</v>
      </c>
      <c r="I202" s="187">
        <v>167562.14917496801</v>
      </c>
      <c r="J202" s="187">
        <v>3.7310332199902598</v>
      </c>
      <c r="K202" s="187">
        <v>81168.006458121599</v>
      </c>
      <c r="L202" s="187">
        <v>14997.423801459299</v>
      </c>
      <c r="M202" s="187">
        <v>7260.1578771365002</v>
      </c>
      <c r="N202" s="187">
        <v>69376.805881954599</v>
      </c>
      <c r="O202" s="187">
        <v>1455.1947811722</v>
      </c>
      <c r="P202" s="187">
        <v>2252425.5175769199</v>
      </c>
      <c r="Q202" s="187">
        <v>1618.43654597776</v>
      </c>
      <c r="R202" s="187">
        <v>17176.883836939502</v>
      </c>
      <c r="S202" s="187">
        <v>3635000</v>
      </c>
      <c r="T202" s="187"/>
      <c r="U202" s="188">
        <v>200769.354233377</v>
      </c>
      <c r="V202" s="188">
        <v>13288.268970208001</v>
      </c>
      <c r="W202" s="188">
        <v>35304.277317215303</v>
      </c>
      <c r="X202" s="188"/>
      <c r="Y202" s="187"/>
      <c r="Z202" s="178"/>
    </row>
    <row r="203" spans="1:26" x14ac:dyDescent="0.3">
      <c r="A203" s="184">
        <v>188</v>
      </c>
      <c r="B203" s="185">
        <v>42373</v>
      </c>
      <c r="C203" s="186" t="s">
        <v>544</v>
      </c>
      <c r="D203" s="186" t="s">
        <v>514</v>
      </c>
      <c r="E203" s="187">
        <v>556266.29520216701</v>
      </c>
      <c r="F203" s="187">
        <v>519768.71857591101</v>
      </c>
      <c r="G203" s="187">
        <v>281199.5363332</v>
      </c>
      <c r="H203" s="187">
        <v>538.70125736747002</v>
      </c>
      <c r="I203" s="187">
        <v>202869.18341595001</v>
      </c>
      <c r="J203" s="187">
        <v>3.7310332199902598</v>
      </c>
      <c r="K203" s="187">
        <v>96392.916703921903</v>
      </c>
      <c r="L203" s="187">
        <v>42234.048102956702</v>
      </c>
      <c r="M203" s="187">
        <v>2640.73944268265</v>
      </c>
      <c r="N203" s="187">
        <v>69747.998019020801</v>
      </c>
      <c r="O203" s="187">
        <v>1448.91333492327</v>
      </c>
      <c r="P203" s="187">
        <v>1860359.13076887</v>
      </c>
      <c r="Q203" s="187">
        <v>0</v>
      </c>
      <c r="R203" s="187">
        <v>530.08780980466202</v>
      </c>
      <c r="S203" s="187">
        <v>3634000</v>
      </c>
      <c r="T203" s="187"/>
      <c r="U203" s="188">
        <v>205194.72523490601</v>
      </c>
      <c r="V203" s="188">
        <v>13773.022198601</v>
      </c>
      <c r="W203" s="188">
        <v>35572.9902905571</v>
      </c>
      <c r="X203" s="188"/>
      <c r="Y203" s="187"/>
      <c r="Z203" s="178"/>
    </row>
    <row r="204" spans="1:26" x14ac:dyDescent="0.3">
      <c r="A204" s="184">
        <v>189</v>
      </c>
      <c r="B204" s="185">
        <v>42403</v>
      </c>
      <c r="C204" s="186" t="s">
        <v>519</v>
      </c>
      <c r="D204" s="186" t="s">
        <v>514</v>
      </c>
      <c r="E204" s="187">
        <v>425393.502938786</v>
      </c>
      <c r="F204" s="187">
        <v>395111.822674661</v>
      </c>
      <c r="G204" s="187">
        <v>243687.29470319601</v>
      </c>
      <c r="H204" s="187">
        <v>310.88739576229898</v>
      </c>
      <c r="I204" s="187">
        <v>167428.36846408699</v>
      </c>
      <c r="J204" s="187">
        <v>4.3528720899886402</v>
      </c>
      <c r="K204" s="187">
        <v>85592.237852612903</v>
      </c>
      <c r="L204" s="187">
        <v>15169.8748135555</v>
      </c>
      <c r="M204" s="187">
        <v>8016.6849626993599</v>
      </c>
      <c r="N204" s="187">
        <v>70469.3228291962</v>
      </c>
      <c r="O204" s="187">
        <v>1378.0744288484</v>
      </c>
      <c r="P204" s="187">
        <v>2208035.0870821802</v>
      </c>
      <c r="Q204" s="187">
        <v>1051.9837548855401</v>
      </c>
      <c r="R204" s="187">
        <v>11350.5052274423</v>
      </c>
      <c r="S204" s="187">
        <v>3633000</v>
      </c>
      <c r="T204" s="187"/>
      <c r="U204" s="188">
        <v>207368.46799178899</v>
      </c>
      <c r="V204" s="188">
        <v>14059.243415613801</v>
      </c>
      <c r="W204" s="188">
        <v>35601.936434468204</v>
      </c>
      <c r="X204" s="188"/>
      <c r="Y204" s="187"/>
      <c r="Z204" s="178"/>
    </row>
    <row r="205" spans="1:26" x14ac:dyDescent="0.3">
      <c r="A205" s="184">
        <v>190</v>
      </c>
      <c r="B205" s="185">
        <v>42381</v>
      </c>
      <c r="C205" s="186" t="s">
        <v>513</v>
      </c>
      <c r="D205" s="186" t="s">
        <v>514</v>
      </c>
      <c r="E205" s="187">
        <v>422029.735837285</v>
      </c>
      <c r="F205" s="187">
        <v>394077.65962263203</v>
      </c>
      <c r="G205" s="187">
        <v>278225.83681098302</v>
      </c>
      <c r="H205" s="187">
        <v>400.07839214668502</v>
      </c>
      <c r="I205" s="187">
        <v>169474.22830365601</v>
      </c>
      <c r="J205" s="187">
        <v>4.3528720899886402</v>
      </c>
      <c r="K205" s="187">
        <v>85242.495963260604</v>
      </c>
      <c r="L205" s="187">
        <v>14441.184861170301</v>
      </c>
      <c r="M205" s="187">
        <v>6480.2889819555703</v>
      </c>
      <c r="N205" s="187">
        <v>65452.467907462902</v>
      </c>
      <c r="O205" s="187">
        <v>1389.68470466348</v>
      </c>
      <c r="P205" s="187">
        <v>2176986.6653597802</v>
      </c>
      <c r="Q205" s="187">
        <v>1618.43654597776</v>
      </c>
      <c r="R205" s="187">
        <v>17176.883836939502</v>
      </c>
      <c r="S205" s="187">
        <v>3633000</v>
      </c>
      <c r="T205" s="187"/>
      <c r="U205" s="188">
        <v>206756.41320382999</v>
      </c>
      <c r="V205" s="188">
        <v>13678.976899430399</v>
      </c>
      <c r="W205" s="188">
        <v>34692.065356414198</v>
      </c>
      <c r="X205" s="188"/>
      <c r="Y205" s="187"/>
      <c r="Z205" s="178"/>
    </row>
    <row r="206" spans="1:26" x14ac:dyDescent="0.3">
      <c r="A206" s="184">
        <v>191</v>
      </c>
      <c r="B206" s="185">
        <v>42388</v>
      </c>
      <c r="C206" s="186" t="s">
        <v>519</v>
      </c>
      <c r="D206" s="186" t="s">
        <v>514</v>
      </c>
      <c r="E206" s="187">
        <v>447191.08732800302</v>
      </c>
      <c r="F206" s="187">
        <v>418344.57828901598</v>
      </c>
      <c r="G206" s="187">
        <v>268721.537234922</v>
      </c>
      <c r="H206" s="187">
        <v>329.07689652464597</v>
      </c>
      <c r="I206" s="187">
        <v>168339.28155298001</v>
      </c>
      <c r="J206" s="187">
        <v>3.7310332199902598</v>
      </c>
      <c r="K206" s="187">
        <v>92758.775512628796</v>
      </c>
      <c r="L206" s="187">
        <v>16896.738503578501</v>
      </c>
      <c r="M206" s="187">
        <v>7171.6463051220599</v>
      </c>
      <c r="N206" s="187">
        <v>70780.471574341995</v>
      </c>
      <c r="O206" s="187">
        <v>1390.2005320375599</v>
      </c>
      <c r="P206" s="187">
        <v>2122277.5548547101</v>
      </c>
      <c r="Q206" s="187">
        <v>1618.43654597776</v>
      </c>
      <c r="R206" s="187">
        <v>17176.883836939502</v>
      </c>
      <c r="S206" s="187">
        <v>3633000</v>
      </c>
      <c r="T206" s="187"/>
      <c r="U206" s="188">
        <v>214201.594319572</v>
      </c>
      <c r="V206" s="188">
        <v>12971.812241356</v>
      </c>
      <c r="W206" s="188">
        <v>34660.9629993938</v>
      </c>
      <c r="X206" s="188"/>
      <c r="Y206" s="187"/>
      <c r="Z206" s="178"/>
    </row>
    <row r="207" spans="1:26" x14ac:dyDescent="0.3">
      <c r="A207" s="184">
        <v>192</v>
      </c>
      <c r="B207" s="185">
        <v>42324</v>
      </c>
      <c r="C207" s="186" t="s">
        <v>513</v>
      </c>
      <c r="D207" s="186" t="s">
        <v>514</v>
      </c>
      <c r="E207" s="187">
        <v>368214.93351443898</v>
      </c>
      <c r="F207" s="187">
        <v>385995.55264833802</v>
      </c>
      <c r="G207" s="187">
        <v>239793.17591678401</v>
      </c>
      <c r="H207" s="187">
        <v>333.61443142303301</v>
      </c>
      <c r="I207" s="187">
        <v>166933.99424917501</v>
      </c>
      <c r="J207" s="187">
        <v>4.3528720899886402</v>
      </c>
      <c r="K207" s="187">
        <v>84530.769175997702</v>
      </c>
      <c r="L207" s="187">
        <v>13882.4719648993</v>
      </c>
      <c r="M207" s="187">
        <v>8509.4587612128707</v>
      </c>
      <c r="N207" s="187">
        <v>65541.560941787306</v>
      </c>
      <c r="O207" s="187">
        <v>1328.69227757617</v>
      </c>
      <c r="P207" s="187">
        <v>2277136.1028633602</v>
      </c>
      <c r="Q207" s="187">
        <v>1618.43654597776</v>
      </c>
      <c r="R207" s="187">
        <v>17176.883836939502</v>
      </c>
      <c r="S207" s="187">
        <v>3631000</v>
      </c>
      <c r="T207" s="187"/>
      <c r="U207" s="188">
        <v>197030.01651510599</v>
      </c>
      <c r="V207" s="188">
        <v>11289.1686797125</v>
      </c>
      <c r="W207" s="188">
        <v>35283.325435115199</v>
      </c>
      <c r="X207" s="188"/>
      <c r="Y207" s="187"/>
      <c r="Z207" s="178"/>
    </row>
    <row r="208" spans="1:26" x14ac:dyDescent="0.3">
      <c r="A208" s="184">
        <v>192</v>
      </c>
      <c r="B208" s="185">
        <v>42403</v>
      </c>
      <c r="C208" s="186" t="s">
        <v>513</v>
      </c>
      <c r="D208" s="186" t="s">
        <v>514</v>
      </c>
      <c r="E208" s="187">
        <v>425764.27570485999</v>
      </c>
      <c r="F208" s="187">
        <v>398821.58529719402</v>
      </c>
      <c r="G208" s="187">
        <v>258241.25364901999</v>
      </c>
      <c r="H208" s="187">
        <v>284.21474854782599</v>
      </c>
      <c r="I208" s="187">
        <v>178707.47358539299</v>
      </c>
      <c r="J208" s="187">
        <v>4.3528720899886402</v>
      </c>
      <c r="K208" s="187">
        <v>85502.577077165304</v>
      </c>
      <c r="L208" s="187">
        <v>14495.0701899495</v>
      </c>
      <c r="M208" s="187">
        <v>8090.0187596852202</v>
      </c>
      <c r="N208" s="187">
        <v>68398.808040069198</v>
      </c>
      <c r="O208" s="187">
        <v>1404.3441858430999</v>
      </c>
      <c r="P208" s="187">
        <v>2172490.7055072701</v>
      </c>
      <c r="Q208" s="187">
        <v>1618.43654597776</v>
      </c>
      <c r="R208" s="187">
        <v>17176.883836939502</v>
      </c>
      <c r="S208" s="187">
        <v>3631000</v>
      </c>
      <c r="T208" s="187"/>
      <c r="U208" s="188">
        <v>204919.57732562401</v>
      </c>
      <c r="V208" s="188">
        <v>12910.014007281399</v>
      </c>
      <c r="W208" s="188">
        <v>35354.165172409899</v>
      </c>
      <c r="X208" s="188"/>
      <c r="Y208" s="187"/>
      <c r="Z208" s="178"/>
    </row>
    <row r="209" spans="1:26" x14ac:dyDescent="0.3">
      <c r="A209" s="184">
        <v>194</v>
      </c>
      <c r="B209" s="185">
        <v>42339</v>
      </c>
      <c r="C209" s="186" t="s">
        <v>513</v>
      </c>
      <c r="D209" s="186" t="s">
        <v>514</v>
      </c>
      <c r="E209" s="187">
        <v>403627.03584352799</v>
      </c>
      <c r="F209" s="187">
        <v>382884.40454748803</v>
      </c>
      <c r="G209" s="187">
        <v>253718.56479728699</v>
      </c>
      <c r="H209" s="187">
        <v>266.09818691908998</v>
      </c>
      <c r="I209" s="187">
        <v>165333.111446152</v>
      </c>
      <c r="J209" s="187">
        <v>4.3528720899886402</v>
      </c>
      <c r="K209" s="187">
        <v>85022.782464067204</v>
      </c>
      <c r="L209" s="187">
        <v>14541.905594148</v>
      </c>
      <c r="M209" s="187">
        <v>7538.7835513869004</v>
      </c>
      <c r="N209" s="187">
        <v>68311.669291428596</v>
      </c>
      <c r="O209" s="187">
        <v>1482.7613763270899</v>
      </c>
      <c r="P209" s="187">
        <v>2229473.2096462599</v>
      </c>
      <c r="Q209" s="187">
        <v>1618.43654597776</v>
      </c>
      <c r="R209" s="187">
        <v>17176.883836939502</v>
      </c>
      <c r="S209" s="187">
        <v>3631000</v>
      </c>
      <c r="T209" s="187"/>
      <c r="U209" s="188">
        <v>184254.98546829901</v>
      </c>
      <c r="V209" s="188">
        <v>12211.8909700314</v>
      </c>
      <c r="W209" s="188">
        <v>34368.948685328098</v>
      </c>
      <c r="X209" s="188"/>
      <c r="Y209" s="187"/>
      <c r="Z209" s="178"/>
    </row>
    <row r="210" spans="1:26" x14ac:dyDescent="0.3">
      <c r="A210" s="184">
        <v>194</v>
      </c>
      <c r="B210" s="185">
        <v>42377</v>
      </c>
      <c r="C210" s="186" t="s">
        <v>535</v>
      </c>
      <c r="D210" s="186" t="s">
        <v>514</v>
      </c>
      <c r="E210" s="187">
        <v>525109.316847865</v>
      </c>
      <c r="F210" s="187">
        <v>486005.03423387598</v>
      </c>
      <c r="G210" s="187">
        <v>289892.95363274799</v>
      </c>
      <c r="H210" s="187">
        <v>294.81083009273402</v>
      </c>
      <c r="I210" s="187">
        <v>186087.55919411199</v>
      </c>
      <c r="J210" s="187">
        <v>4.3528720899886402</v>
      </c>
      <c r="K210" s="187">
        <v>88398.774649225903</v>
      </c>
      <c r="L210" s="187">
        <v>47145.136374439302</v>
      </c>
      <c r="M210" s="187">
        <v>9989.1747611658102</v>
      </c>
      <c r="N210" s="187">
        <v>67992.367510695694</v>
      </c>
      <c r="O210" s="187">
        <v>1415.57175102579</v>
      </c>
      <c r="P210" s="187">
        <v>1928134.8595328601</v>
      </c>
      <c r="Q210" s="187">
        <v>0</v>
      </c>
      <c r="R210" s="187">
        <v>530.08780980466202</v>
      </c>
      <c r="S210" s="187">
        <v>3631000</v>
      </c>
      <c r="T210" s="187"/>
      <c r="U210" s="188">
        <v>213059.45018969101</v>
      </c>
      <c r="V210" s="188">
        <v>13778.216983042499</v>
      </c>
      <c r="W210" s="188">
        <v>34882.747825158003</v>
      </c>
      <c r="X210" s="188"/>
      <c r="Y210" s="187"/>
      <c r="Z210" s="178"/>
    </row>
    <row r="211" spans="1:26" x14ac:dyDescent="0.3">
      <c r="A211" s="184">
        <v>196</v>
      </c>
      <c r="B211" s="185">
        <v>42355</v>
      </c>
      <c r="C211" s="186" t="s">
        <v>538</v>
      </c>
      <c r="D211" s="186" t="s">
        <v>514</v>
      </c>
      <c r="E211" s="187">
        <v>388961.77578450699</v>
      </c>
      <c r="F211" s="187">
        <v>367346.73993906099</v>
      </c>
      <c r="G211" s="187">
        <v>241784.051775056</v>
      </c>
      <c r="H211" s="187">
        <v>453.45111706133798</v>
      </c>
      <c r="I211" s="187">
        <v>162566.81913791399</v>
      </c>
      <c r="J211" s="187">
        <v>4.3528720899886402</v>
      </c>
      <c r="K211" s="187">
        <v>79836.198443297006</v>
      </c>
      <c r="L211" s="187">
        <v>15683.4026189754</v>
      </c>
      <c r="M211" s="187">
        <v>10596.9168971527</v>
      </c>
      <c r="N211" s="187">
        <v>65809.318437610098</v>
      </c>
      <c r="O211" s="187">
        <v>1444.2520276589401</v>
      </c>
      <c r="P211" s="187">
        <v>2276717.4005666999</v>
      </c>
      <c r="Q211" s="187">
        <v>1618.43654597776</v>
      </c>
      <c r="R211" s="187">
        <v>17176.883836939502</v>
      </c>
      <c r="S211" s="187">
        <v>3630000</v>
      </c>
      <c r="T211" s="187"/>
      <c r="U211" s="188">
        <v>201635.546671672</v>
      </c>
      <c r="V211" s="188">
        <v>12304.1839367257</v>
      </c>
      <c r="W211" s="188">
        <v>28014.008915592902</v>
      </c>
      <c r="X211" s="188"/>
      <c r="Y211" s="187"/>
      <c r="Z211" s="178"/>
    </row>
    <row r="212" spans="1:26" x14ac:dyDescent="0.3">
      <c r="A212" s="184">
        <v>197</v>
      </c>
      <c r="B212" s="185">
        <v>42359</v>
      </c>
      <c r="C212" s="186" t="s">
        <v>538</v>
      </c>
      <c r="D212" s="186" t="s">
        <v>514</v>
      </c>
      <c r="E212" s="187">
        <v>350540.10065459902</v>
      </c>
      <c r="F212" s="187">
        <v>331321.42442945199</v>
      </c>
      <c r="G212" s="187">
        <v>221981.04170079899</v>
      </c>
      <c r="H212" s="187">
        <v>341.64989631989602</v>
      </c>
      <c r="I212" s="187">
        <v>140195.127400784</v>
      </c>
      <c r="J212" s="187">
        <v>4.3528720899886402</v>
      </c>
      <c r="K212" s="187">
        <v>71010.826243305593</v>
      </c>
      <c r="L212" s="187">
        <v>13481.483583298401</v>
      </c>
      <c r="M212" s="187">
        <v>7721.1000844264099</v>
      </c>
      <c r="N212" s="187">
        <v>68492.908931458296</v>
      </c>
      <c r="O212" s="187">
        <v>1252.7351620225199</v>
      </c>
      <c r="P212" s="187">
        <v>2403861.9286585301</v>
      </c>
      <c r="Q212" s="187">
        <v>1618.43654597776</v>
      </c>
      <c r="R212" s="187">
        <v>17176.883836939502</v>
      </c>
      <c r="S212" s="187">
        <v>3629000</v>
      </c>
      <c r="T212" s="187"/>
      <c r="U212" s="188">
        <v>208091.39386533201</v>
      </c>
      <c r="V212" s="188">
        <v>11802.467300455801</v>
      </c>
      <c r="W212" s="188">
        <v>28011.466211454499</v>
      </c>
      <c r="X212" s="188"/>
      <c r="Y212" s="187"/>
      <c r="Z212" s="178"/>
    </row>
    <row r="213" spans="1:26" x14ac:dyDescent="0.3">
      <c r="A213" s="184">
        <v>198</v>
      </c>
      <c r="B213" s="185">
        <v>42336</v>
      </c>
      <c r="C213" s="186" t="s">
        <v>513</v>
      </c>
      <c r="D213" s="186" t="s">
        <v>514</v>
      </c>
      <c r="E213" s="187">
        <v>407190.17342394701</v>
      </c>
      <c r="F213" s="187">
        <v>348992.331833189</v>
      </c>
      <c r="G213" s="187">
        <v>193986.140310608</v>
      </c>
      <c r="H213" s="187">
        <v>329.20975907588797</v>
      </c>
      <c r="I213" s="187">
        <v>132704.59797249801</v>
      </c>
      <c r="J213" s="187">
        <v>4.3528720899886402</v>
      </c>
      <c r="K213" s="187">
        <v>86401.912979445799</v>
      </c>
      <c r="L213" s="187">
        <v>17825.9418566479</v>
      </c>
      <c r="M213" s="187">
        <v>7658.3123470848304</v>
      </c>
      <c r="N213" s="187">
        <v>61259.049222883499</v>
      </c>
      <c r="O213" s="187">
        <v>1369.2408850672</v>
      </c>
      <c r="P213" s="187">
        <v>2352483.4161545499</v>
      </c>
      <c r="Q213" s="187">
        <v>1618.43654597776</v>
      </c>
      <c r="R213" s="187">
        <v>17176.883836939502</v>
      </c>
      <c r="S213" s="187">
        <v>3629000</v>
      </c>
      <c r="T213" s="187"/>
      <c r="U213" s="188">
        <v>179804.91087901199</v>
      </c>
      <c r="V213" s="188">
        <v>8068.2986376654599</v>
      </c>
      <c r="W213" s="188">
        <v>34628.894414800801</v>
      </c>
      <c r="X213" s="188"/>
      <c r="Y213" s="187"/>
      <c r="Z213" s="178"/>
    </row>
    <row r="214" spans="1:26" x14ac:dyDescent="0.3">
      <c r="A214" s="184">
        <v>198</v>
      </c>
      <c r="B214" s="185">
        <v>42338</v>
      </c>
      <c r="C214" s="186" t="s">
        <v>543</v>
      </c>
      <c r="D214" s="186" t="s">
        <v>514</v>
      </c>
      <c r="E214" s="187">
        <v>475070.938006023</v>
      </c>
      <c r="F214" s="187">
        <v>459533.79874273197</v>
      </c>
      <c r="G214" s="187">
        <v>259536.41027044301</v>
      </c>
      <c r="H214" s="187">
        <v>249.76956935412201</v>
      </c>
      <c r="I214" s="187">
        <v>179876.436193995</v>
      </c>
      <c r="J214" s="187">
        <v>3.7310332199902598</v>
      </c>
      <c r="K214" s="187">
        <v>90657.787067331898</v>
      </c>
      <c r="L214" s="187">
        <v>33955.152432597701</v>
      </c>
      <c r="M214" s="187">
        <v>7826.6522972174098</v>
      </c>
      <c r="N214" s="187">
        <v>73368.352962540506</v>
      </c>
      <c r="O214" s="187">
        <v>1427.5418580332801</v>
      </c>
      <c r="P214" s="187">
        <v>2046963.3417567101</v>
      </c>
      <c r="Q214" s="187">
        <v>0</v>
      </c>
      <c r="R214" s="187">
        <v>530.08780980466202</v>
      </c>
      <c r="S214" s="187">
        <v>3629000</v>
      </c>
      <c r="T214" s="187"/>
      <c r="U214" s="188">
        <v>190798.29231614599</v>
      </c>
      <c r="V214" s="188">
        <v>12428.8483944907</v>
      </c>
      <c r="W214" s="188">
        <v>34427.064731114398</v>
      </c>
      <c r="X214" s="188"/>
      <c r="Y214" s="187"/>
      <c r="Z214" s="178"/>
    </row>
    <row r="215" spans="1:26" x14ac:dyDescent="0.3">
      <c r="A215" s="184">
        <v>200</v>
      </c>
      <c r="B215" s="185">
        <v>42365</v>
      </c>
      <c r="C215" s="186" t="s">
        <v>527</v>
      </c>
      <c r="D215" s="186" t="s">
        <v>514</v>
      </c>
      <c r="E215" s="187">
        <v>401221.60034988797</v>
      </c>
      <c r="F215" s="187">
        <v>329341.44590958703</v>
      </c>
      <c r="G215" s="187">
        <v>195546.158531786</v>
      </c>
      <c r="H215" s="187">
        <v>546.17809551641506</v>
      </c>
      <c r="I215" s="187">
        <v>134004.45920225</v>
      </c>
      <c r="J215" s="187">
        <v>4.3528720899886402</v>
      </c>
      <c r="K215" s="187">
        <v>76979.325887182393</v>
      </c>
      <c r="L215" s="187">
        <v>18266.058548425899</v>
      </c>
      <c r="M215" s="187">
        <v>2642.20530425483</v>
      </c>
      <c r="N215" s="187">
        <v>61541.117789911601</v>
      </c>
      <c r="O215" s="187">
        <v>1315.0528599721199</v>
      </c>
      <c r="P215" s="187">
        <v>2397538.1755501302</v>
      </c>
      <c r="Q215" s="187">
        <v>755.27092760180096</v>
      </c>
      <c r="R215" s="187">
        <v>8298.5981713996098</v>
      </c>
      <c r="S215" s="187">
        <v>3628000</v>
      </c>
      <c r="T215" s="187"/>
      <c r="U215" s="188">
        <v>186564.506387715</v>
      </c>
      <c r="V215" s="188">
        <v>10002.2619304333</v>
      </c>
      <c r="W215" s="188">
        <v>33640.738561735103</v>
      </c>
      <c r="X215" s="188"/>
      <c r="Y215" s="187"/>
      <c r="Z215" s="178"/>
    </row>
    <row r="216" spans="1:26" x14ac:dyDescent="0.3">
      <c r="A216" s="184"/>
      <c r="B216" s="184"/>
      <c r="C216" s="184"/>
      <c r="D216" s="184"/>
      <c r="E216" s="184"/>
      <c r="F216" s="184"/>
      <c r="G216" s="184"/>
      <c r="H216" s="184"/>
      <c r="I216" s="184"/>
      <c r="J216" s="184"/>
      <c r="K216" s="184"/>
      <c r="L216" s="184"/>
      <c r="M216" s="184"/>
      <c r="N216" s="184"/>
      <c r="O216" s="184"/>
      <c r="P216" s="184"/>
      <c r="Q216" s="184"/>
      <c r="R216" s="184"/>
      <c r="S216" s="184"/>
      <c r="T216" s="184"/>
      <c r="U216" s="179"/>
      <c r="V216" s="179"/>
      <c r="W216" s="179"/>
      <c r="X216" s="179"/>
      <c r="Y216" s="178"/>
      <c r="Z216" s="178"/>
    </row>
    <row r="217" spans="1:26" x14ac:dyDescent="0.3">
      <c r="A217" s="178"/>
      <c r="B217" s="178"/>
      <c r="C217" s="192"/>
      <c r="D217" s="193"/>
      <c r="E217" s="193"/>
      <c r="F217" s="193"/>
      <c r="G217" s="193"/>
      <c r="H217" s="193"/>
      <c r="I217" s="193"/>
      <c r="J217" s="193"/>
      <c r="K217" s="193"/>
      <c r="L217" s="193"/>
      <c r="M217" s="193"/>
      <c r="N217" s="193"/>
      <c r="O217" s="193"/>
      <c r="P217" s="193"/>
      <c r="Q217" s="193"/>
      <c r="R217" s="192"/>
      <c r="S217" s="192"/>
      <c r="T217" s="192"/>
      <c r="U217" s="179"/>
      <c r="V217" s="179"/>
      <c r="W217" s="179"/>
      <c r="X217" s="179"/>
      <c r="Y217" s="178"/>
      <c r="Z217" s="194"/>
    </row>
    <row r="218" spans="1:26" x14ac:dyDescent="0.3">
      <c r="A218" s="178"/>
      <c r="B218" s="178"/>
      <c r="C218" s="192"/>
      <c r="D218" s="192"/>
      <c r="E218" s="192"/>
      <c r="F218" s="192"/>
      <c r="G218" s="192"/>
      <c r="H218" s="192"/>
      <c r="I218" s="192"/>
      <c r="J218" s="192"/>
      <c r="K218" s="192"/>
      <c r="L218" s="192"/>
      <c r="M218" s="192"/>
      <c r="N218" s="192"/>
      <c r="O218" s="192"/>
      <c r="P218" s="192"/>
      <c r="Q218" s="192"/>
      <c r="R218" s="192"/>
      <c r="S218" s="192"/>
      <c r="T218" s="192"/>
      <c r="U218" s="179"/>
      <c r="V218" s="179"/>
      <c r="W218" s="179"/>
      <c r="X218" s="179"/>
      <c r="Y218" s="178"/>
      <c r="Z218" s="194"/>
    </row>
    <row r="219" spans="1:26" x14ac:dyDescent="0.3">
      <c r="A219" s="178"/>
      <c r="B219" s="178"/>
      <c r="C219" s="192"/>
      <c r="D219" s="192"/>
      <c r="E219" s="192"/>
      <c r="F219" s="192"/>
      <c r="G219" s="192"/>
      <c r="H219" s="192"/>
      <c r="I219" s="192"/>
      <c r="J219" s="192"/>
      <c r="K219" s="192"/>
      <c r="L219" s="192"/>
      <c r="M219" s="192"/>
      <c r="N219" s="192"/>
      <c r="O219" s="192"/>
      <c r="P219" s="192"/>
      <c r="Q219" s="192"/>
      <c r="R219" s="192"/>
      <c r="S219" s="192"/>
      <c r="T219" s="192"/>
      <c r="U219" s="179"/>
      <c r="V219" s="179"/>
      <c r="W219" s="179"/>
      <c r="X219" s="179"/>
      <c r="Y219" s="178"/>
      <c r="Z219" s="194"/>
    </row>
    <row r="220" spans="1:26" x14ac:dyDescent="0.3">
      <c r="A220" s="178"/>
      <c r="B220" s="178"/>
      <c r="C220" s="192"/>
      <c r="D220" s="192"/>
      <c r="E220" s="192"/>
      <c r="F220" s="192"/>
      <c r="G220" s="192"/>
      <c r="H220" s="192"/>
      <c r="I220" s="192"/>
      <c r="J220" s="192"/>
      <c r="K220" s="192"/>
      <c r="L220" s="192"/>
      <c r="M220" s="192"/>
      <c r="N220" s="192"/>
      <c r="O220" s="192"/>
      <c r="P220" s="192"/>
      <c r="Q220" s="192"/>
      <c r="R220" s="192"/>
      <c r="S220" s="192"/>
      <c r="T220" s="192"/>
      <c r="U220" s="179"/>
      <c r="V220" s="179"/>
      <c r="W220" s="179"/>
      <c r="X220" s="179"/>
      <c r="Y220" s="178"/>
      <c r="Z220" s="194"/>
    </row>
    <row r="221" spans="1:26" x14ac:dyDescent="0.3">
      <c r="A221" s="178"/>
      <c r="B221" s="178"/>
      <c r="C221" s="192"/>
      <c r="D221" s="193"/>
      <c r="E221" s="193"/>
      <c r="F221" s="193"/>
      <c r="G221" s="193"/>
      <c r="H221" s="193"/>
      <c r="I221" s="193"/>
      <c r="J221" s="193"/>
      <c r="K221" s="193"/>
      <c r="L221" s="193"/>
      <c r="M221" s="193"/>
      <c r="N221" s="193"/>
      <c r="O221" s="193"/>
      <c r="P221" s="193"/>
      <c r="Q221" s="193"/>
      <c r="R221" s="192"/>
      <c r="S221" s="192"/>
      <c r="T221" s="192"/>
      <c r="U221" s="179"/>
      <c r="V221" s="179"/>
      <c r="W221" s="179"/>
      <c r="X221" s="179"/>
      <c r="Y221" s="178"/>
      <c r="Z221" s="194"/>
    </row>
    <row r="222" spans="1:26" x14ac:dyDescent="0.3">
      <c r="A222" s="178"/>
      <c r="B222" s="178"/>
      <c r="C222" s="192"/>
      <c r="D222" s="192"/>
      <c r="E222" s="192"/>
      <c r="F222" s="192"/>
      <c r="G222" s="192"/>
      <c r="H222" s="192"/>
      <c r="I222" s="192"/>
      <c r="J222" s="192"/>
      <c r="K222" s="192"/>
      <c r="L222" s="192"/>
      <c r="M222" s="192"/>
      <c r="N222" s="192"/>
      <c r="O222" s="192"/>
      <c r="P222" s="192"/>
      <c r="Q222" s="192"/>
      <c r="R222" s="192"/>
      <c r="S222" s="192"/>
      <c r="T222" s="192"/>
      <c r="U222" s="179"/>
      <c r="V222" s="179"/>
      <c r="W222" s="179"/>
      <c r="X222" s="179"/>
      <c r="Y222" s="178"/>
      <c r="Z222" s="194"/>
    </row>
    <row r="223" spans="1:26" x14ac:dyDescent="0.3">
      <c r="A223" s="178"/>
      <c r="B223" s="178"/>
      <c r="C223" s="192"/>
      <c r="D223" s="192"/>
      <c r="E223" s="192"/>
      <c r="F223" s="192"/>
      <c r="G223" s="192"/>
      <c r="H223" s="192"/>
      <c r="I223" s="192"/>
      <c r="J223" s="192"/>
      <c r="K223" s="192"/>
      <c r="L223" s="192"/>
      <c r="M223" s="192"/>
      <c r="N223" s="192"/>
      <c r="O223" s="192"/>
      <c r="P223" s="192"/>
      <c r="Q223" s="192"/>
      <c r="R223" s="192"/>
      <c r="S223" s="192"/>
      <c r="T223" s="192"/>
      <c r="U223" s="179"/>
      <c r="V223" s="179"/>
      <c r="W223" s="179"/>
      <c r="X223" s="179"/>
      <c r="Y223" s="178"/>
      <c r="Z223" s="194"/>
    </row>
    <row r="224" spans="1:26" x14ac:dyDescent="0.3">
      <c r="A224" s="178"/>
      <c r="B224" s="178"/>
      <c r="C224" s="192"/>
      <c r="D224" s="192"/>
      <c r="E224" s="192"/>
      <c r="F224" s="192"/>
      <c r="G224" s="192"/>
      <c r="H224" s="192"/>
      <c r="I224" s="192"/>
      <c r="J224" s="192"/>
      <c r="K224" s="192"/>
      <c r="L224" s="192"/>
      <c r="M224" s="192"/>
      <c r="N224" s="192"/>
      <c r="O224" s="192"/>
      <c r="P224" s="192"/>
      <c r="Q224" s="192"/>
      <c r="R224" s="192"/>
      <c r="S224" s="192"/>
      <c r="T224" s="192"/>
      <c r="U224" s="179"/>
      <c r="V224" s="179"/>
      <c r="W224" s="179"/>
      <c r="X224" s="179"/>
      <c r="Y224" s="178"/>
      <c r="Z224" s="194"/>
    </row>
    <row r="225" spans="1:26" x14ac:dyDescent="0.3">
      <c r="A225" s="178"/>
      <c r="B225" s="178"/>
      <c r="C225" s="192"/>
      <c r="D225" s="193"/>
      <c r="E225" s="193"/>
      <c r="F225" s="193"/>
      <c r="G225" s="193"/>
      <c r="H225" s="193"/>
      <c r="I225" s="193"/>
      <c r="J225" s="193"/>
      <c r="K225" s="193"/>
      <c r="L225" s="193"/>
      <c r="M225" s="193"/>
      <c r="N225" s="193"/>
      <c r="O225" s="193"/>
      <c r="P225" s="193"/>
      <c r="Q225" s="193"/>
      <c r="R225" s="192"/>
      <c r="S225" s="192"/>
      <c r="T225" s="192"/>
      <c r="U225" s="179"/>
      <c r="V225" s="179"/>
      <c r="W225" s="179"/>
      <c r="X225" s="179"/>
      <c r="Y225" s="178"/>
      <c r="Z225" s="194"/>
    </row>
  </sheetData>
  <mergeCells count="4">
    <mergeCell ref="A5:D5"/>
    <mergeCell ref="A6:D6"/>
    <mergeCell ref="A7:D7"/>
    <mergeCell ref="A10:D10"/>
  </mergeCells>
  <printOptions horizontalCentered="1"/>
  <pageMargins left="0.25" right="0.25" top="0.75" bottom="0.75" header="0.3" footer="0.3"/>
  <pageSetup scale="67" fitToHeight="0" orientation="landscape" r:id="rId1"/>
  <headerFooter>
    <oddFooter>&amp;L&amp;"Times New Roman,Regular"&amp;F
&amp;A&amp;R&amp;"Times New Roman,Regular"Page &amp;P of &amp;N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0"/>
  <sheetViews>
    <sheetView workbookViewId="0">
      <pane xSplit="3" ySplit="4" topLeftCell="D5" activePane="bottomRight" state="frozen"/>
      <selection pane="topRight"/>
      <selection pane="bottomLeft"/>
      <selection pane="bottomRight" activeCell="D5" sqref="D5"/>
    </sheetView>
  </sheetViews>
  <sheetFormatPr defaultRowHeight="14.4" x14ac:dyDescent="0.3"/>
  <cols>
    <col min="5" max="5" width="10.44140625" bestFit="1" customWidth="1"/>
    <col min="23" max="23" width="10" bestFit="1" customWidth="1"/>
  </cols>
  <sheetData>
    <row r="1" spans="1:23" x14ac:dyDescent="0.3">
      <c r="A1" s="196" t="s">
        <v>550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8"/>
      <c r="T1" s="198"/>
      <c r="U1" s="198"/>
    </row>
    <row r="2" spans="1:23" x14ac:dyDescent="0.3">
      <c r="A2" s="1" t="s">
        <v>489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8"/>
      <c r="T2" s="198"/>
      <c r="U2" s="198"/>
    </row>
    <row r="3" spans="1:23" x14ac:dyDescent="0.3">
      <c r="A3" s="1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8"/>
      <c r="T3" s="198"/>
      <c r="U3" s="198"/>
    </row>
    <row r="4" spans="1:23" x14ac:dyDescent="0.3">
      <c r="A4" s="156"/>
      <c r="B4" s="156"/>
      <c r="C4" s="179" t="s">
        <v>552</v>
      </c>
      <c r="D4" s="156" t="s">
        <v>551</v>
      </c>
      <c r="E4" s="179" t="s">
        <v>553</v>
      </c>
      <c r="F4" s="179" t="s">
        <v>554</v>
      </c>
      <c r="G4" s="179" t="s">
        <v>555</v>
      </c>
      <c r="H4" s="179" t="s">
        <v>556</v>
      </c>
      <c r="I4" s="179" t="s">
        <v>557</v>
      </c>
      <c r="J4" s="179" t="s">
        <v>558</v>
      </c>
      <c r="K4" s="179" t="s">
        <v>559</v>
      </c>
      <c r="L4" s="179" t="s">
        <v>560</v>
      </c>
      <c r="M4" s="179" t="s">
        <v>561</v>
      </c>
      <c r="N4" s="179" t="s">
        <v>562</v>
      </c>
      <c r="O4" s="179" t="s">
        <v>563</v>
      </c>
      <c r="P4" s="179" t="s">
        <v>564</v>
      </c>
      <c r="Q4" s="179" t="s">
        <v>565</v>
      </c>
      <c r="R4" s="179"/>
      <c r="S4" s="179" t="s">
        <v>566</v>
      </c>
      <c r="T4" s="179" t="s">
        <v>567</v>
      </c>
      <c r="U4" s="179" t="s">
        <v>568</v>
      </c>
      <c r="W4" s="169" t="s">
        <v>20</v>
      </c>
    </row>
    <row r="5" spans="1:23" x14ac:dyDescent="0.3">
      <c r="A5" s="156"/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</row>
    <row r="6" spans="1:23" x14ac:dyDescent="0.3">
      <c r="A6" s="156" t="s">
        <v>569</v>
      </c>
      <c r="B6" s="156"/>
      <c r="C6" s="156"/>
      <c r="D6" s="159">
        <f t="shared" ref="D6:Q6" si="0">AVERAGE(D10:D21)</f>
        <v>1721.5916078863875</v>
      </c>
      <c r="E6" s="159">
        <f t="shared" si="0"/>
        <v>2727311.188788353</v>
      </c>
      <c r="F6" s="159">
        <f t="shared" si="0"/>
        <v>596451.91911699099</v>
      </c>
      <c r="G6" s="159">
        <f t="shared" si="0"/>
        <v>617862.19960886659</v>
      </c>
      <c r="H6" s="159">
        <f t="shared" si="0"/>
        <v>350664.63717032457</v>
      </c>
      <c r="I6" s="159">
        <f t="shared" si="0"/>
        <v>7820.8448525106078</v>
      </c>
      <c r="J6" s="159">
        <f t="shared" si="0"/>
        <v>247849.21354899809</v>
      </c>
      <c r="K6" s="159">
        <f t="shared" si="0"/>
        <v>1512.0530323068833</v>
      </c>
      <c r="L6" s="159">
        <f t="shared" si="0"/>
        <v>114304.019992242</v>
      </c>
      <c r="M6" s="159">
        <f t="shared" si="0"/>
        <v>60104.36881945291</v>
      </c>
      <c r="N6" s="159">
        <f t="shared" si="0"/>
        <v>14670.374849729427</v>
      </c>
      <c r="O6" s="159">
        <f t="shared" si="0"/>
        <v>82755.620896449094</v>
      </c>
      <c r="P6" s="159">
        <f t="shared" si="0"/>
        <v>17176.883836939498</v>
      </c>
      <c r="Q6" s="159">
        <f t="shared" si="0"/>
        <v>1618.43654597776</v>
      </c>
      <c r="R6" s="156"/>
      <c r="S6" s="159">
        <f>AVERAGE(S10:S21)</f>
        <v>226479.15958109414</v>
      </c>
      <c r="T6" s="159">
        <f>AVERAGE(T10:T21)</f>
        <v>14942.819911797917</v>
      </c>
      <c r="U6" s="159">
        <f>AVERAGE(U10:U21)</f>
        <v>39707.86142863932</v>
      </c>
      <c r="W6" s="82">
        <f>SUM(D6:U6)</f>
        <v>5122953.1935885586</v>
      </c>
    </row>
    <row r="7" spans="1:23" x14ac:dyDescent="0.3">
      <c r="A7" s="156" t="s">
        <v>570</v>
      </c>
      <c r="B7" s="156"/>
      <c r="C7" s="156"/>
      <c r="D7" s="159">
        <f>+D6</f>
        <v>1721.5916078863875</v>
      </c>
      <c r="E7" s="159">
        <f t="shared" ref="E7:U8" si="1">+E6</f>
        <v>2727311.188788353</v>
      </c>
      <c r="F7" s="159">
        <f t="shared" si="1"/>
        <v>596451.91911699099</v>
      </c>
      <c r="G7" s="159">
        <f t="shared" si="1"/>
        <v>617862.19960886659</v>
      </c>
      <c r="H7" s="159">
        <f t="shared" si="1"/>
        <v>350664.63717032457</v>
      </c>
      <c r="I7" s="159">
        <f t="shared" si="1"/>
        <v>7820.8448525106078</v>
      </c>
      <c r="J7" s="159">
        <f t="shared" si="1"/>
        <v>247849.21354899809</v>
      </c>
      <c r="K7" s="159">
        <f t="shared" si="1"/>
        <v>1512.0530323068833</v>
      </c>
      <c r="L7" s="159">
        <f t="shared" si="1"/>
        <v>114304.019992242</v>
      </c>
      <c r="M7" s="159">
        <v>0</v>
      </c>
      <c r="N7" s="159">
        <v>0</v>
      </c>
      <c r="O7" s="159">
        <f t="shared" si="1"/>
        <v>82755.620896449094</v>
      </c>
      <c r="P7" s="159">
        <f t="shared" si="1"/>
        <v>17176.883836939498</v>
      </c>
      <c r="Q7" s="159">
        <f t="shared" si="1"/>
        <v>1618.43654597776</v>
      </c>
      <c r="R7" s="159"/>
      <c r="S7" s="159">
        <f t="shared" si="1"/>
        <v>226479.15958109414</v>
      </c>
      <c r="T7" s="159">
        <f t="shared" si="1"/>
        <v>14942.819911797917</v>
      </c>
      <c r="U7" s="159">
        <f t="shared" si="1"/>
        <v>39707.86142863932</v>
      </c>
      <c r="W7" s="82">
        <f t="shared" ref="W7:W8" si="2">SUM(D7:U7)</f>
        <v>5048178.4499193765</v>
      </c>
    </row>
    <row r="8" spans="1:23" x14ac:dyDescent="0.3">
      <c r="A8" s="199" t="s">
        <v>571</v>
      </c>
      <c r="B8" s="156"/>
      <c r="C8" s="156"/>
      <c r="D8" s="159">
        <f>+D7</f>
        <v>1721.5916078863875</v>
      </c>
      <c r="E8" s="159">
        <f t="shared" si="1"/>
        <v>2727311.188788353</v>
      </c>
      <c r="F8" s="159">
        <f t="shared" si="1"/>
        <v>596451.91911699099</v>
      </c>
      <c r="G8" s="159">
        <f t="shared" si="1"/>
        <v>617862.19960886659</v>
      </c>
      <c r="H8" s="159">
        <f t="shared" si="1"/>
        <v>350664.63717032457</v>
      </c>
      <c r="I8" s="159">
        <f t="shared" si="1"/>
        <v>7820.8448525106078</v>
      </c>
      <c r="J8" s="159">
        <f t="shared" si="1"/>
        <v>247849.21354899809</v>
      </c>
      <c r="K8" s="159">
        <f t="shared" si="1"/>
        <v>1512.0530323068833</v>
      </c>
      <c r="L8" s="159">
        <f t="shared" si="1"/>
        <v>114304.019992242</v>
      </c>
      <c r="M8" s="159">
        <f t="shared" ref="M8" si="3">+M7</f>
        <v>0</v>
      </c>
      <c r="N8" s="159">
        <f t="shared" ref="N8" si="4">+N7</f>
        <v>0</v>
      </c>
      <c r="O8" s="159">
        <f t="shared" si="1"/>
        <v>82755.620896449094</v>
      </c>
      <c r="P8" s="159">
        <f t="shared" si="1"/>
        <v>17176.883836939498</v>
      </c>
      <c r="Q8" s="159">
        <f t="shared" si="1"/>
        <v>1618.43654597776</v>
      </c>
      <c r="R8" s="159"/>
      <c r="S8" s="159">
        <v>0</v>
      </c>
      <c r="T8" s="159">
        <v>0</v>
      </c>
      <c r="U8" s="159">
        <v>0</v>
      </c>
      <c r="W8" s="82">
        <f t="shared" si="2"/>
        <v>4767048.608997846</v>
      </c>
    </row>
    <row r="10" spans="1:23" x14ac:dyDescent="0.3">
      <c r="A10" s="156"/>
      <c r="B10" s="156"/>
      <c r="C10" s="187">
        <v>1</v>
      </c>
      <c r="D10" s="179">
        <v>1812.81698687059</v>
      </c>
      <c r="E10" s="190">
        <v>2876873.0398796899</v>
      </c>
      <c r="F10" s="190">
        <v>622234.84978253394</v>
      </c>
      <c r="G10" s="190">
        <v>692724.99648171396</v>
      </c>
      <c r="H10" s="190">
        <v>360344.99627965601</v>
      </c>
      <c r="I10" s="190">
        <v>9129.5808087595196</v>
      </c>
      <c r="J10" s="190">
        <v>299592.59667567001</v>
      </c>
      <c r="K10" s="190">
        <v>1513.55580957605</v>
      </c>
      <c r="L10" s="190">
        <v>117203.796398716</v>
      </c>
      <c r="M10" s="190">
        <v>66844.398020481996</v>
      </c>
      <c r="N10" s="190">
        <v>15523.769257587899</v>
      </c>
      <c r="O10" s="190">
        <v>84278.6515423315</v>
      </c>
      <c r="P10" s="190">
        <v>17176.883836939502</v>
      </c>
      <c r="Q10" s="190">
        <v>1618.43654597776</v>
      </c>
      <c r="R10" s="190"/>
      <c r="S10" s="190">
        <v>229278.077939382</v>
      </c>
      <c r="T10" s="190">
        <v>15313.550559535401</v>
      </c>
      <c r="U10" s="190">
        <v>44425.366945417198</v>
      </c>
    </row>
    <row r="11" spans="1:23" x14ac:dyDescent="0.3">
      <c r="A11" s="156"/>
      <c r="B11" s="156"/>
      <c r="C11" s="187">
        <v>2</v>
      </c>
      <c r="D11" s="179">
        <v>1789.4327048791399</v>
      </c>
      <c r="E11" s="190">
        <v>2874687.3425381202</v>
      </c>
      <c r="F11" s="190">
        <v>600471.11640849104</v>
      </c>
      <c r="G11" s="190">
        <v>654382.61932264699</v>
      </c>
      <c r="H11" s="190">
        <v>355191.451557883</v>
      </c>
      <c r="I11" s="190">
        <v>8546.5389618492809</v>
      </c>
      <c r="J11" s="190">
        <v>260360.60293163199</v>
      </c>
      <c r="K11" s="190">
        <v>1512.9339707060501</v>
      </c>
      <c r="L11" s="190">
        <v>116094.293473761</v>
      </c>
      <c r="M11" s="190">
        <v>65104.292783090998</v>
      </c>
      <c r="N11" s="190">
        <v>15436.255285810101</v>
      </c>
      <c r="O11" s="190">
        <v>83280.082807909901</v>
      </c>
      <c r="P11" s="190">
        <v>17176.883836939502</v>
      </c>
      <c r="Q11" s="190">
        <v>1618.43654597776</v>
      </c>
      <c r="R11" s="190"/>
      <c r="S11" s="190">
        <v>228845.29712847999</v>
      </c>
      <c r="T11" s="190">
        <v>15183.9505381094</v>
      </c>
      <c r="U11" s="190">
        <v>40846.456965348698</v>
      </c>
    </row>
    <row r="12" spans="1:23" x14ac:dyDescent="0.3">
      <c r="A12" s="156"/>
      <c r="B12" s="156"/>
      <c r="C12" s="187">
        <v>3</v>
      </c>
      <c r="D12" s="179">
        <v>1755.5376121998099</v>
      </c>
      <c r="E12" s="190">
        <v>2755944.3194980202</v>
      </c>
      <c r="F12" s="190">
        <v>600339.05807303404</v>
      </c>
      <c r="G12" s="190">
        <v>649519.93668458401</v>
      </c>
      <c r="H12" s="190">
        <v>354484.65674609703</v>
      </c>
      <c r="I12" s="190">
        <v>7955.2069994684198</v>
      </c>
      <c r="J12" s="190">
        <v>258588.56312128101</v>
      </c>
      <c r="K12" s="190">
        <v>1512.31213183605</v>
      </c>
      <c r="L12" s="190">
        <v>116036.656283922</v>
      </c>
      <c r="M12" s="190">
        <v>63971.694895187597</v>
      </c>
      <c r="N12" s="190">
        <v>15370.495106947201</v>
      </c>
      <c r="O12" s="190">
        <v>83074.5265611168</v>
      </c>
      <c r="P12" s="190">
        <v>17176.883836939502</v>
      </c>
      <c r="Q12" s="190">
        <v>1618.43654597776</v>
      </c>
      <c r="R12" s="190"/>
      <c r="S12" s="190">
        <v>227573.835617873</v>
      </c>
      <c r="T12" s="190">
        <v>15133.869083314101</v>
      </c>
      <c r="U12" s="190">
        <v>39781.633497103197</v>
      </c>
    </row>
    <row r="13" spans="1:23" x14ac:dyDescent="0.3">
      <c r="A13" s="156"/>
      <c r="B13" s="156"/>
      <c r="C13" s="187">
        <v>4</v>
      </c>
      <c r="D13" s="179">
        <v>1715.7156743007099</v>
      </c>
      <c r="E13" s="190">
        <v>2723217.8735360201</v>
      </c>
      <c r="F13" s="190">
        <v>599924.68172467605</v>
      </c>
      <c r="G13" s="190">
        <v>648236.36637367203</v>
      </c>
      <c r="H13" s="190">
        <v>353841.740603632</v>
      </c>
      <c r="I13" s="190">
        <v>7867.60221414439</v>
      </c>
      <c r="J13" s="190">
        <v>257722.93077196399</v>
      </c>
      <c r="K13" s="190">
        <v>1512.31213183605</v>
      </c>
      <c r="L13" s="190">
        <v>114479.96007257199</v>
      </c>
      <c r="M13" s="190">
        <v>59761.934403368301</v>
      </c>
      <c r="N13" s="190">
        <v>15323.485740695</v>
      </c>
      <c r="O13" s="190">
        <v>82937.909777533801</v>
      </c>
      <c r="P13" s="190">
        <v>17176.883836939502</v>
      </c>
      <c r="Q13" s="190">
        <v>1618.43654597776</v>
      </c>
      <c r="R13" s="190"/>
      <c r="S13" s="190">
        <v>226958.056977723</v>
      </c>
      <c r="T13" s="190">
        <v>14943.7876693785</v>
      </c>
      <c r="U13" s="190">
        <v>39707.213632381703</v>
      </c>
    </row>
    <row r="14" spans="1:23" x14ac:dyDescent="0.3">
      <c r="A14" s="156"/>
      <c r="B14" s="156"/>
      <c r="C14" s="187">
        <v>5</v>
      </c>
      <c r="D14" s="179">
        <v>1712.5635215530999</v>
      </c>
      <c r="E14" s="190">
        <v>2715625.6607565102</v>
      </c>
      <c r="F14" s="190">
        <v>598993.57845472498</v>
      </c>
      <c r="G14" s="190">
        <v>620139.14171523903</v>
      </c>
      <c r="H14" s="190">
        <v>352447.98233930999</v>
      </c>
      <c r="I14" s="190">
        <v>7826.9953616006396</v>
      </c>
      <c r="J14" s="190">
        <v>245212.53947254</v>
      </c>
      <c r="K14" s="190">
        <v>1511.69029296605</v>
      </c>
      <c r="L14" s="190">
        <v>114358.332903645</v>
      </c>
      <c r="M14" s="190">
        <v>59745.748445576799</v>
      </c>
      <c r="N14" s="190">
        <v>15043.3025885242</v>
      </c>
      <c r="O14" s="190">
        <v>82670.070853140904</v>
      </c>
      <c r="P14" s="190">
        <v>17176.883836939502</v>
      </c>
      <c r="Q14" s="190">
        <v>1618.43654597776</v>
      </c>
      <c r="R14" s="190"/>
      <c r="S14" s="190">
        <v>226896.348880626</v>
      </c>
      <c r="T14" s="190">
        <v>14873.818796302099</v>
      </c>
      <c r="U14" s="190">
        <v>39411.924315385702</v>
      </c>
    </row>
    <row r="15" spans="1:23" x14ac:dyDescent="0.3">
      <c r="A15" s="156"/>
      <c r="B15" s="156"/>
      <c r="C15" s="187">
        <v>6</v>
      </c>
      <c r="D15" s="179">
        <v>1702.8321061568899</v>
      </c>
      <c r="E15" s="190">
        <v>2707283.4509282699</v>
      </c>
      <c r="F15" s="190">
        <v>594867.31893376098</v>
      </c>
      <c r="G15" s="190">
        <v>612678.48551588401</v>
      </c>
      <c r="H15" s="190">
        <v>350488.162725834</v>
      </c>
      <c r="I15" s="190">
        <v>7821.2419922901499</v>
      </c>
      <c r="J15" s="190">
        <v>239949.969155125</v>
      </c>
      <c r="K15" s="190">
        <v>1511.69029296605</v>
      </c>
      <c r="L15" s="190">
        <v>114039.16343398701</v>
      </c>
      <c r="M15" s="190">
        <v>59061.496559325802</v>
      </c>
      <c r="N15" s="190">
        <v>14868.2746449685</v>
      </c>
      <c r="O15" s="190">
        <v>82613.304961169299</v>
      </c>
      <c r="P15" s="190">
        <v>17176.883836939502</v>
      </c>
      <c r="Q15" s="190">
        <v>1618.43654597776</v>
      </c>
      <c r="R15" s="190"/>
      <c r="S15" s="190">
        <v>226106.302097512</v>
      </c>
      <c r="T15" s="190">
        <v>14868.686224847899</v>
      </c>
      <c r="U15" s="190">
        <v>39137.6377345726</v>
      </c>
    </row>
    <row r="16" spans="1:23" x14ac:dyDescent="0.3">
      <c r="A16" s="156"/>
      <c r="B16" s="156"/>
      <c r="C16" s="187">
        <v>7</v>
      </c>
      <c r="D16" s="179">
        <v>1702.5493946302199</v>
      </c>
      <c r="E16" s="190">
        <v>2690323.99723545</v>
      </c>
      <c r="F16" s="190">
        <v>593929.50461966102</v>
      </c>
      <c r="G16" s="190">
        <v>602868.60955403897</v>
      </c>
      <c r="H16" s="190">
        <v>348238.41192545299</v>
      </c>
      <c r="I16" s="190">
        <v>7587.77427101381</v>
      </c>
      <c r="J16" s="190">
        <v>239402.18152804</v>
      </c>
      <c r="K16" s="190">
        <v>1511.69029296605</v>
      </c>
      <c r="L16" s="190">
        <v>114035.801921627</v>
      </c>
      <c r="M16" s="190">
        <v>58632.218179275398</v>
      </c>
      <c r="N16" s="190">
        <v>14247.7672977906</v>
      </c>
      <c r="O16" s="190">
        <v>82569.771211848507</v>
      </c>
      <c r="P16" s="190">
        <v>17176.883836939502</v>
      </c>
      <c r="Q16" s="190">
        <v>1618.43654597776</v>
      </c>
      <c r="R16" s="190"/>
      <c r="S16" s="190">
        <v>226079.380477575</v>
      </c>
      <c r="T16" s="190">
        <v>14854.7194091938</v>
      </c>
      <c r="U16" s="190">
        <v>38992.7442819524</v>
      </c>
    </row>
    <row r="17" spans="1:21" x14ac:dyDescent="0.3">
      <c r="A17" s="156"/>
      <c r="B17" s="156"/>
      <c r="C17" s="187">
        <v>8</v>
      </c>
      <c r="D17" s="179">
        <v>1701.96377789641</v>
      </c>
      <c r="E17" s="190">
        <v>2688972.1669819602</v>
      </c>
      <c r="F17" s="190">
        <v>593472.29917445499</v>
      </c>
      <c r="G17" s="190">
        <v>597552.406852399</v>
      </c>
      <c r="H17" s="190">
        <v>347648.69490056601</v>
      </c>
      <c r="I17" s="190">
        <v>7497.5897938571097</v>
      </c>
      <c r="J17" s="190">
        <v>238572.33004988599</v>
      </c>
      <c r="K17" s="190">
        <v>1511.69029296605</v>
      </c>
      <c r="L17" s="190">
        <v>113944.246213896</v>
      </c>
      <c r="M17" s="190">
        <v>58180.340584289297</v>
      </c>
      <c r="N17" s="190">
        <v>14185.844825960399</v>
      </c>
      <c r="O17" s="190">
        <v>82495.722105860899</v>
      </c>
      <c r="P17" s="190">
        <v>17176.883836939502</v>
      </c>
      <c r="Q17" s="190">
        <v>1618.43654597776</v>
      </c>
      <c r="R17" s="190"/>
      <c r="S17" s="190">
        <v>225567.20835889899</v>
      </c>
      <c r="T17" s="190">
        <v>14852.5834299623</v>
      </c>
      <c r="U17" s="190">
        <v>38893.924628319197</v>
      </c>
    </row>
    <row r="18" spans="1:21" x14ac:dyDescent="0.3">
      <c r="A18" s="156"/>
      <c r="B18" s="156"/>
      <c r="C18" s="187">
        <v>9</v>
      </c>
      <c r="D18" s="179">
        <v>1695.4497004483901</v>
      </c>
      <c r="E18" s="190">
        <v>2679940.2791538201</v>
      </c>
      <c r="F18" s="190">
        <v>593091.17370846798</v>
      </c>
      <c r="G18" s="190">
        <v>588267.23613286705</v>
      </c>
      <c r="H18" s="190">
        <v>347613.91947048099</v>
      </c>
      <c r="I18" s="190">
        <v>7465.3752149258698</v>
      </c>
      <c r="J18" s="190">
        <v>237084.39450275499</v>
      </c>
      <c r="K18" s="190">
        <v>1511.69029296605</v>
      </c>
      <c r="L18" s="190">
        <v>113917.490519963</v>
      </c>
      <c r="M18" s="190">
        <v>58076.9474465034</v>
      </c>
      <c r="N18" s="190">
        <v>14106.576325526001</v>
      </c>
      <c r="O18" s="190">
        <v>82391.727643197504</v>
      </c>
      <c r="P18" s="190">
        <v>17176.883836939502</v>
      </c>
      <c r="Q18" s="190">
        <v>1618.43654597776</v>
      </c>
      <c r="R18" s="190"/>
      <c r="S18" s="190">
        <v>225420.13654627901</v>
      </c>
      <c r="T18" s="190">
        <v>14840.057881847901</v>
      </c>
      <c r="U18" s="190">
        <v>38878.698915938701</v>
      </c>
    </row>
    <row r="19" spans="1:21" x14ac:dyDescent="0.3">
      <c r="A19" s="156"/>
      <c r="B19" s="156"/>
      <c r="C19" s="187">
        <v>10</v>
      </c>
      <c r="D19" s="179">
        <v>1693.1825559413301</v>
      </c>
      <c r="E19" s="190">
        <v>2675905.3843354299</v>
      </c>
      <c r="F19" s="190">
        <v>590519.71578802704</v>
      </c>
      <c r="G19" s="190">
        <v>586665.72717401199</v>
      </c>
      <c r="H19" s="190">
        <v>347200.53561411297</v>
      </c>
      <c r="I19" s="190">
        <v>7437.1800537270001</v>
      </c>
      <c r="J19" s="190">
        <v>235677.039045977</v>
      </c>
      <c r="K19" s="190">
        <v>1511.69029296605</v>
      </c>
      <c r="L19" s="190">
        <v>113379.856814806</v>
      </c>
      <c r="M19" s="190">
        <v>57789.073020687101</v>
      </c>
      <c r="N19" s="190">
        <v>14087.662639407299</v>
      </c>
      <c r="O19" s="190">
        <v>82286.725501978493</v>
      </c>
      <c r="P19" s="190">
        <v>17176.883836939502</v>
      </c>
      <c r="Q19" s="190">
        <v>1618.43654597776</v>
      </c>
      <c r="R19" s="190"/>
      <c r="S19" s="190">
        <v>225408.588534704</v>
      </c>
      <c r="T19" s="190">
        <v>14826.0806973625</v>
      </c>
      <c r="U19" s="190">
        <v>38856.862172798399</v>
      </c>
    </row>
    <row r="20" spans="1:21" x14ac:dyDescent="0.3">
      <c r="A20" s="156"/>
      <c r="B20" s="156"/>
      <c r="C20" s="187">
        <v>11</v>
      </c>
      <c r="D20" s="179">
        <v>1689.05177705047</v>
      </c>
      <c r="E20" s="190">
        <v>2672814.0189137598</v>
      </c>
      <c r="F20" s="190">
        <v>586253.48456393799</v>
      </c>
      <c r="G20" s="190">
        <v>583969.04395068798</v>
      </c>
      <c r="H20" s="190">
        <v>345328.80418494402</v>
      </c>
      <c r="I20" s="190">
        <v>7402.5205797263397</v>
      </c>
      <c r="J20" s="190">
        <v>232685.90870458301</v>
      </c>
      <c r="K20" s="190">
        <v>1511.69029296605</v>
      </c>
      <c r="L20" s="190">
        <v>112183.716013885</v>
      </c>
      <c r="M20" s="190">
        <v>57544.687289516798</v>
      </c>
      <c r="N20" s="190">
        <v>13929.3801283949</v>
      </c>
      <c r="O20" s="190">
        <v>82274.450145027105</v>
      </c>
      <c r="P20" s="190">
        <v>17176.883836939502</v>
      </c>
      <c r="Q20" s="190">
        <v>1618.43654597776</v>
      </c>
      <c r="R20" s="190"/>
      <c r="S20" s="190">
        <v>224943.50381476901</v>
      </c>
      <c r="T20" s="190">
        <v>14822.9804168276</v>
      </c>
      <c r="U20" s="190">
        <v>38811.8156262833</v>
      </c>
    </row>
    <row r="21" spans="1:21" x14ac:dyDescent="0.3">
      <c r="A21" s="156"/>
      <c r="B21" s="156"/>
      <c r="C21" s="187">
        <v>12</v>
      </c>
      <c r="D21" s="179">
        <v>1688.0034827095899</v>
      </c>
      <c r="E21" s="190">
        <v>2666146.7317031799</v>
      </c>
      <c r="F21" s="190">
        <v>583326.24817212205</v>
      </c>
      <c r="G21" s="190">
        <v>577341.82554865303</v>
      </c>
      <c r="H21" s="190">
        <v>345146.28969592601</v>
      </c>
      <c r="I21" s="190">
        <v>7312.5319787647704</v>
      </c>
      <c r="J21" s="190">
        <v>229341.50662852399</v>
      </c>
      <c r="K21" s="190">
        <v>1511.69029296605</v>
      </c>
      <c r="L21" s="190">
        <v>111974.925856124</v>
      </c>
      <c r="M21" s="190">
        <v>56539.594206131398</v>
      </c>
      <c r="N21" s="190">
        <v>13921.684355141</v>
      </c>
      <c r="O21" s="190">
        <v>82194.507646274302</v>
      </c>
      <c r="P21" s="190">
        <v>17176.883836939502</v>
      </c>
      <c r="Q21" s="190">
        <v>1618.43654597776</v>
      </c>
      <c r="R21" s="190"/>
      <c r="S21" s="190">
        <v>224673.17859930801</v>
      </c>
      <c r="T21" s="190">
        <v>14799.7542348935</v>
      </c>
      <c r="U21" s="190">
        <v>38750.0584281708</v>
      </c>
    </row>
    <row r="22" spans="1:21" x14ac:dyDescent="0.3">
      <c r="A22" s="156"/>
      <c r="B22" s="156"/>
      <c r="C22" s="179">
        <v>13</v>
      </c>
      <c r="D22" s="179">
        <v>1687.11326449948</v>
      </c>
      <c r="E22" s="179">
        <v>2661491.8835613099</v>
      </c>
      <c r="F22" s="179">
        <v>581766.98626849602</v>
      </c>
      <c r="G22" s="179">
        <v>572639.45090087701</v>
      </c>
      <c r="H22" s="179">
        <v>344857.007621178</v>
      </c>
      <c r="I22" s="179">
        <v>7220.6926473687599</v>
      </c>
      <c r="J22" s="179">
        <v>228800.11475256801</v>
      </c>
      <c r="K22" s="179">
        <v>1511.0684540960599</v>
      </c>
      <c r="L22" s="179">
        <v>111812.32559839</v>
      </c>
      <c r="M22" s="179">
        <v>55999.666843950203</v>
      </c>
      <c r="N22" s="179">
        <v>13859.690626150999</v>
      </c>
      <c r="O22" s="179">
        <v>82170.944253784794</v>
      </c>
      <c r="P22" s="179">
        <v>17176.883836939502</v>
      </c>
      <c r="Q22" s="179">
        <v>1618.43654597776</v>
      </c>
      <c r="R22" s="179"/>
      <c r="S22" s="179">
        <v>224516.89890080699</v>
      </c>
      <c r="T22" s="179">
        <v>14780.1675127178</v>
      </c>
      <c r="U22" s="179">
        <v>38616.047749262703</v>
      </c>
    </row>
    <row r="23" spans="1:21" x14ac:dyDescent="0.3">
      <c r="A23" s="156"/>
      <c r="B23" s="156"/>
      <c r="C23" s="179">
        <v>14</v>
      </c>
      <c r="D23" s="179">
        <v>1685.1525388999601</v>
      </c>
      <c r="E23" s="179">
        <v>2652919.6377582299</v>
      </c>
      <c r="F23" s="179">
        <v>581034.25948716002</v>
      </c>
      <c r="G23" s="179">
        <v>570791.37938036094</v>
      </c>
      <c r="H23" s="179">
        <v>344623.36459829402</v>
      </c>
      <c r="I23" s="179">
        <v>7199.6374932938097</v>
      </c>
      <c r="J23" s="179">
        <v>228642.07783517201</v>
      </c>
      <c r="K23" s="179">
        <v>1511.0684540960599</v>
      </c>
      <c r="L23" s="179">
        <v>111691.46074502</v>
      </c>
      <c r="M23" s="179">
        <v>55874.976171203904</v>
      </c>
      <c r="N23" s="179">
        <v>13844.268540860399</v>
      </c>
      <c r="O23" s="179">
        <v>82088.4265765007</v>
      </c>
      <c r="P23" s="179">
        <v>17176.883836939502</v>
      </c>
      <c r="Q23" s="179">
        <v>1618.43654597776</v>
      </c>
      <c r="R23" s="179"/>
      <c r="S23" s="179">
        <v>224225.420983966</v>
      </c>
      <c r="T23" s="179">
        <v>14762.291647693601</v>
      </c>
      <c r="U23" s="179">
        <v>38546.967563231803</v>
      </c>
    </row>
    <row r="24" spans="1:21" x14ac:dyDescent="0.3">
      <c r="A24" s="156"/>
      <c r="B24" s="156"/>
      <c r="C24" s="179">
        <v>15</v>
      </c>
      <c r="D24" s="179">
        <v>1683.9510149116199</v>
      </c>
      <c r="E24" s="179">
        <v>2652850.35416862</v>
      </c>
      <c r="F24" s="179">
        <v>578984.46100088605</v>
      </c>
      <c r="G24" s="179">
        <v>566079.21343193494</v>
      </c>
      <c r="H24" s="179">
        <v>343012.46993000398</v>
      </c>
      <c r="I24" s="179">
        <v>7197.4651865083997</v>
      </c>
      <c r="J24" s="179">
        <v>226883.60060350099</v>
      </c>
      <c r="K24" s="179">
        <v>1511.0684540960599</v>
      </c>
      <c r="L24" s="179">
        <v>111456.068065193</v>
      </c>
      <c r="M24" s="179">
        <v>55729.731468822603</v>
      </c>
      <c r="N24" s="179">
        <v>13762.109035658699</v>
      </c>
      <c r="O24" s="179">
        <v>82083.703719431505</v>
      </c>
      <c r="P24" s="179">
        <v>17176.883836939502</v>
      </c>
      <c r="Q24" s="179">
        <v>1618.43654597776</v>
      </c>
      <c r="R24" s="179"/>
      <c r="S24" s="179">
        <v>223865.68261808599</v>
      </c>
      <c r="T24" s="179">
        <v>14754.743138565</v>
      </c>
      <c r="U24" s="179">
        <v>38521.499838582</v>
      </c>
    </row>
    <row r="25" spans="1:21" x14ac:dyDescent="0.3">
      <c r="A25" s="156"/>
      <c r="B25" s="156"/>
      <c r="C25" s="179">
        <v>16</v>
      </c>
      <c r="D25" s="179">
        <v>1679.20945796109</v>
      </c>
      <c r="E25" s="179">
        <v>2651874.1868146998</v>
      </c>
      <c r="F25" s="179">
        <v>578483.46115195996</v>
      </c>
      <c r="G25" s="179">
        <v>565696.52201863599</v>
      </c>
      <c r="H25" s="179">
        <v>342714.10927862499</v>
      </c>
      <c r="I25" s="179">
        <v>7195.3007868547002</v>
      </c>
      <c r="J25" s="179">
        <v>225897.29477623699</v>
      </c>
      <c r="K25" s="179">
        <v>1511.0684540960599</v>
      </c>
      <c r="L25" s="179">
        <v>111207.02074702999</v>
      </c>
      <c r="M25" s="179">
        <v>55321.530120868301</v>
      </c>
      <c r="N25" s="179">
        <v>13756.8970834021</v>
      </c>
      <c r="O25" s="179">
        <v>82054.776219882799</v>
      </c>
      <c r="P25" s="179">
        <v>17176.883836939502</v>
      </c>
      <c r="Q25" s="179">
        <v>1618.43654597776</v>
      </c>
      <c r="R25" s="179"/>
      <c r="S25" s="179">
        <v>223718.98726046999</v>
      </c>
      <c r="T25" s="179">
        <v>14751.010359325601</v>
      </c>
      <c r="U25" s="179">
        <v>38515.244786401599</v>
      </c>
    </row>
    <row r="26" spans="1:21" x14ac:dyDescent="0.3">
      <c r="A26" s="156"/>
      <c r="B26" s="156"/>
      <c r="C26" s="179">
        <v>17</v>
      </c>
      <c r="D26" s="179">
        <v>1678.91826508862</v>
      </c>
      <c r="E26" s="179">
        <v>2639664.2307558702</v>
      </c>
      <c r="F26" s="179">
        <v>572200.37364230095</v>
      </c>
      <c r="G26" s="179">
        <v>565447.49753478204</v>
      </c>
      <c r="H26" s="179">
        <v>342344.37823035702</v>
      </c>
      <c r="I26" s="179">
        <v>7184.7220632921499</v>
      </c>
      <c r="J26" s="179">
        <v>225434.70121441301</v>
      </c>
      <c r="K26" s="179">
        <v>1511.0684540960599</v>
      </c>
      <c r="L26" s="179">
        <v>111059.43617850701</v>
      </c>
      <c r="M26" s="179">
        <v>55133.217825961699</v>
      </c>
      <c r="N26" s="179">
        <v>13734.929519007899</v>
      </c>
      <c r="O26" s="179">
        <v>82003.527113539501</v>
      </c>
      <c r="P26" s="179">
        <v>17176.883836939502</v>
      </c>
      <c r="Q26" s="179">
        <v>1618.43654597776</v>
      </c>
      <c r="R26" s="179"/>
      <c r="S26" s="179">
        <v>223233.03472402299</v>
      </c>
      <c r="T26" s="179">
        <v>14714.595024078901</v>
      </c>
      <c r="U26" s="179">
        <v>38510.688260585703</v>
      </c>
    </row>
    <row r="27" spans="1:21" x14ac:dyDescent="0.3">
      <c r="A27" s="156"/>
      <c r="B27" s="156"/>
      <c r="C27" s="179">
        <v>18</v>
      </c>
      <c r="D27" s="179">
        <v>1678.4398767981399</v>
      </c>
      <c r="E27" s="179">
        <v>2625416.1886497098</v>
      </c>
      <c r="F27" s="179">
        <v>569909.00423157704</v>
      </c>
      <c r="G27" s="179">
        <v>564695.04608812497</v>
      </c>
      <c r="H27" s="179">
        <v>342177.22222509002</v>
      </c>
      <c r="I27" s="179">
        <v>7180.3623156824397</v>
      </c>
      <c r="J27" s="179">
        <v>224836.157308833</v>
      </c>
      <c r="K27" s="179">
        <v>1510.44661522606</v>
      </c>
      <c r="L27" s="179">
        <v>110999.892710423</v>
      </c>
      <c r="M27" s="179">
        <v>54910.7683041563</v>
      </c>
      <c r="N27" s="179">
        <v>13713.2062648758</v>
      </c>
      <c r="O27" s="179">
        <v>81945.183543021107</v>
      </c>
      <c r="P27" s="179">
        <v>17176.883836939502</v>
      </c>
      <c r="Q27" s="179">
        <v>1618.43654597776</v>
      </c>
      <c r="R27" s="179"/>
      <c r="S27" s="179">
        <v>223041.80575700899</v>
      </c>
      <c r="T27" s="179">
        <v>14701.0740681673</v>
      </c>
      <c r="U27" s="179">
        <v>38496.266042712901</v>
      </c>
    </row>
    <row r="28" spans="1:21" x14ac:dyDescent="0.3">
      <c r="A28" s="156"/>
      <c r="B28" s="156"/>
      <c r="C28" s="179">
        <v>19</v>
      </c>
      <c r="D28" s="179">
        <v>1677.52469919896</v>
      </c>
      <c r="E28" s="179">
        <v>2625095.2531977901</v>
      </c>
      <c r="F28" s="179">
        <v>569888.58237392502</v>
      </c>
      <c r="G28" s="179">
        <v>564465.73205166694</v>
      </c>
      <c r="H28" s="179">
        <v>342122.71184645803</v>
      </c>
      <c r="I28" s="179">
        <v>7179.9624096575199</v>
      </c>
      <c r="J28" s="179">
        <v>222368.42858899501</v>
      </c>
      <c r="K28" s="179">
        <v>1510.44661522606</v>
      </c>
      <c r="L28" s="179">
        <v>110900.495073892</v>
      </c>
      <c r="M28" s="179">
        <v>54838.946857839997</v>
      </c>
      <c r="N28" s="179">
        <v>13709.928435526899</v>
      </c>
      <c r="O28" s="179">
        <v>81942.374257350602</v>
      </c>
      <c r="P28" s="179">
        <v>17176.883836939502</v>
      </c>
      <c r="Q28" s="179">
        <v>1618.43654597776</v>
      </c>
      <c r="R28" s="179"/>
      <c r="S28" s="179">
        <v>222982.48865790301</v>
      </c>
      <c r="T28" s="179">
        <v>14683.758120028901</v>
      </c>
      <c r="U28" s="179">
        <v>38475.598943476303</v>
      </c>
    </row>
    <row r="29" spans="1:21" x14ac:dyDescent="0.3">
      <c r="A29" s="156"/>
      <c r="B29" s="156"/>
      <c r="C29" s="179">
        <v>20</v>
      </c>
      <c r="D29" s="179">
        <v>1677.15030836293</v>
      </c>
      <c r="E29" s="179">
        <v>2622314.1217972399</v>
      </c>
      <c r="F29" s="179">
        <v>569589.57787937298</v>
      </c>
      <c r="G29" s="179">
        <v>561194.75982132496</v>
      </c>
      <c r="H29" s="179">
        <v>342034.02891205298</v>
      </c>
      <c r="I29" s="179">
        <v>7142.8149626223203</v>
      </c>
      <c r="J29" s="179">
        <v>222020.030672928</v>
      </c>
      <c r="K29" s="179">
        <v>1510.44661522606</v>
      </c>
      <c r="L29" s="179">
        <v>110755.843459365</v>
      </c>
      <c r="M29" s="179">
        <v>54418.680344444198</v>
      </c>
      <c r="N29" s="179">
        <v>13686.5357279376</v>
      </c>
      <c r="O29" s="179">
        <v>81902.901757966494</v>
      </c>
      <c r="P29" s="179">
        <v>17176.883836939502</v>
      </c>
      <c r="Q29" s="179">
        <v>1618.43654597776</v>
      </c>
      <c r="R29" s="179"/>
      <c r="S29" s="179">
        <v>222671.58769780499</v>
      </c>
      <c r="T29" s="179">
        <v>14669.3350758011</v>
      </c>
      <c r="U29" s="179">
        <v>38471.398396239703</v>
      </c>
    </row>
    <row r="30" spans="1:21" x14ac:dyDescent="0.3">
      <c r="A30" s="156"/>
      <c r="B30" s="156"/>
      <c r="C30" s="179">
        <v>21</v>
      </c>
      <c r="D30" s="179">
        <v>1674.65852935425</v>
      </c>
      <c r="E30" s="179">
        <v>2611708.2626056699</v>
      </c>
      <c r="F30" s="179">
        <v>568641.90232331096</v>
      </c>
      <c r="G30" s="179">
        <v>561008.76936814399</v>
      </c>
      <c r="H30" s="179">
        <v>341865.97915939399</v>
      </c>
      <c r="I30" s="179">
        <v>7137.14353253424</v>
      </c>
      <c r="J30" s="179">
        <v>220697.48583499299</v>
      </c>
      <c r="K30" s="179">
        <v>1510.44661522606</v>
      </c>
      <c r="L30" s="179">
        <v>110380.82995771</v>
      </c>
      <c r="M30" s="179">
        <v>54277.662427736803</v>
      </c>
      <c r="N30" s="179">
        <v>13634.5180013138</v>
      </c>
      <c r="O30" s="179">
        <v>81811.060509399205</v>
      </c>
      <c r="P30" s="179">
        <v>17176.883836939502</v>
      </c>
      <c r="Q30" s="179">
        <v>1618.43654597776</v>
      </c>
      <c r="R30" s="179"/>
      <c r="S30" s="179">
        <v>222381.218797054</v>
      </c>
      <c r="T30" s="179">
        <v>14654.009943257101</v>
      </c>
      <c r="U30" s="179">
        <v>38411.380407757897</v>
      </c>
    </row>
    <row r="31" spans="1:21" x14ac:dyDescent="0.3">
      <c r="A31" s="156"/>
      <c r="B31" s="156"/>
      <c r="C31" s="179">
        <v>22</v>
      </c>
      <c r="D31" s="179">
        <v>1674.4754938344099</v>
      </c>
      <c r="E31" s="179">
        <v>2609894.9185080798</v>
      </c>
      <c r="F31" s="179">
        <v>568520.66117119696</v>
      </c>
      <c r="G31" s="179">
        <v>559856.33008831902</v>
      </c>
      <c r="H31" s="179">
        <v>341607.99638512603</v>
      </c>
      <c r="I31" s="179">
        <v>7056.2920503394898</v>
      </c>
      <c r="J31" s="179">
        <v>219774.561348916</v>
      </c>
      <c r="K31" s="179">
        <v>1510.44661522606</v>
      </c>
      <c r="L31" s="179">
        <v>110171.641459847</v>
      </c>
      <c r="M31" s="179">
        <v>54086.844826731103</v>
      </c>
      <c r="N31" s="179">
        <v>13634.100637949499</v>
      </c>
      <c r="O31" s="179">
        <v>81773.776402838004</v>
      </c>
      <c r="P31" s="179">
        <v>17176.883836939502</v>
      </c>
      <c r="Q31" s="179">
        <v>1618.43654597776</v>
      </c>
      <c r="R31" s="179"/>
      <c r="S31" s="179">
        <v>222196.38956509001</v>
      </c>
      <c r="T31" s="179">
        <v>14632.8264210735</v>
      </c>
      <c r="U31" s="179">
        <v>38403.060679817201</v>
      </c>
    </row>
    <row r="32" spans="1:21" x14ac:dyDescent="0.3">
      <c r="A32" s="156"/>
      <c r="B32" s="156"/>
      <c r="C32" s="179">
        <v>23</v>
      </c>
      <c r="D32" s="179">
        <v>1672.39138484718</v>
      </c>
      <c r="E32" s="179">
        <v>2601334.0824361802</v>
      </c>
      <c r="F32" s="179">
        <v>565550.87812981801</v>
      </c>
      <c r="G32" s="179">
        <v>558533.76367920695</v>
      </c>
      <c r="H32" s="179">
        <v>340738.26957732299</v>
      </c>
      <c r="I32" s="179">
        <v>7049.1634691231502</v>
      </c>
      <c r="J32" s="179">
        <v>219656.83014465199</v>
      </c>
      <c r="K32" s="179">
        <v>1510.44661522606</v>
      </c>
      <c r="L32" s="179">
        <v>110107.307359787</v>
      </c>
      <c r="M32" s="179">
        <v>54084.724665494701</v>
      </c>
      <c r="N32" s="179">
        <v>13630.527600367301</v>
      </c>
      <c r="O32" s="179">
        <v>81751.505688899793</v>
      </c>
      <c r="P32" s="179">
        <v>17176.883836939502</v>
      </c>
      <c r="Q32" s="179">
        <v>1618.43654597776</v>
      </c>
      <c r="R32" s="179"/>
      <c r="S32" s="179">
        <v>222131.181453912</v>
      </c>
      <c r="T32" s="179">
        <v>14631.675480808</v>
      </c>
      <c r="U32" s="179">
        <v>38400.334900980903</v>
      </c>
    </row>
    <row r="33" spans="1:21" x14ac:dyDescent="0.3">
      <c r="A33" s="156"/>
      <c r="B33" s="156"/>
      <c r="C33" s="179">
        <v>24</v>
      </c>
      <c r="D33" s="179">
        <v>1671.4554077571099</v>
      </c>
      <c r="E33" s="179">
        <v>2599764.4930553902</v>
      </c>
      <c r="F33" s="179">
        <v>565255.57181627804</v>
      </c>
      <c r="G33" s="179">
        <v>557672.65688390099</v>
      </c>
      <c r="H33" s="179">
        <v>340395.51786052901</v>
      </c>
      <c r="I33" s="179">
        <v>7015.6926672426298</v>
      </c>
      <c r="J33" s="179">
        <v>219164.60667280899</v>
      </c>
      <c r="K33" s="179">
        <v>1510.44661522606</v>
      </c>
      <c r="L33" s="179">
        <v>109982.39236612</v>
      </c>
      <c r="M33" s="179">
        <v>53718.525441137499</v>
      </c>
      <c r="N33" s="179">
        <v>13627.239591424101</v>
      </c>
      <c r="O33" s="179">
        <v>81703.483189649007</v>
      </c>
      <c r="P33" s="179">
        <v>17176.883836939502</v>
      </c>
      <c r="Q33" s="179">
        <v>1618.43654597776</v>
      </c>
      <c r="R33" s="179"/>
      <c r="S33" s="179">
        <v>221605.609572024</v>
      </c>
      <c r="T33" s="179">
        <v>14627.776800269099</v>
      </c>
      <c r="U33" s="179">
        <v>38392.737301015397</v>
      </c>
    </row>
    <row r="34" spans="1:21" x14ac:dyDescent="0.3">
      <c r="A34" s="156"/>
      <c r="B34" s="156"/>
      <c r="C34" s="179">
        <v>25</v>
      </c>
      <c r="D34" s="179">
        <v>1671.03109814294</v>
      </c>
      <c r="E34" s="179">
        <v>2599538.1994038699</v>
      </c>
      <c r="F34" s="179">
        <v>565012.18083606404</v>
      </c>
      <c r="G34" s="179">
        <v>557407.83056049398</v>
      </c>
      <c r="H34" s="179">
        <v>340299.11161791201</v>
      </c>
      <c r="I34" s="179">
        <v>7009.2550139309596</v>
      </c>
      <c r="J34" s="179">
        <v>219000.56725528999</v>
      </c>
      <c r="K34" s="179">
        <v>1510.44661522606</v>
      </c>
      <c r="L34" s="179">
        <v>109837.82566588699</v>
      </c>
      <c r="M34" s="179">
        <v>53466.1369924998</v>
      </c>
      <c r="N34" s="179">
        <v>13618.0270586268</v>
      </c>
      <c r="O34" s="179">
        <v>81674.311404389795</v>
      </c>
      <c r="P34" s="179">
        <v>17176.883836939502</v>
      </c>
      <c r="Q34" s="179">
        <v>1618.43654597776</v>
      </c>
      <c r="R34" s="179"/>
      <c r="S34" s="179">
        <v>221415.53031893799</v>
      </c>
      <c r="T34" s="179">
        <v>14623.8988573926</v>
      </c>
      <c r="U34" s="179">
        <v>38362.662196466903</v>
      </c>
    </row>
    <row r="35" spans="1:21" x14ac:dyDescent="0.3">
      <c r="A35" s="156"/>
      <c r="B35" s="156"/>
      <c r="C35" s="179">
        <v>26</v>
      </c>
      <c r="D35" s="179">
        <v>1669.7346638563699</v>
      </c>
      <c r="E35" s="179">
        <v>2598774.2832752499</v>
      </c>
      <c r="F35" s="179">
        <v>564488.48126174603</v>
      </c>
      <c r="G35" s="179">
        <v>556245.53990022698</v>
      </c>
      <c r="H35" s="179">
        <v>339645.621277333</v>
      </c>
      <c r="I35" s="179">
        <v>6994.9980739284201</v>
      </c>
      <c r="J35" s="179">
        <v>218617.19595733701</v>
      </c>
      <c r="K35" s="179">
        <v>1510.44661522606</v>
      </c>
      <c r="L35" s="179">
        <v>109777.738107008</v>
      </c>
      <c r="M35" s="179">
        <v>53335.885067938099</v>
      </c>
      <c r="N35" s="179">
        <v>13610.1989506476</v>
      </c>
      <c r="O35" s="179">
        <v>81658.789083203403</v>
      </c>
      <c r="P35" s="179">
        <v>17176.883836939502</v>
      </c>
      <c r="Q35" s="179">
        <v>1618.43654597776</v>
      </c>
      <c r="R35" s="179"/>
      <c r="S35" s="179">
        <v>221295.75658125899</v>
      </c>
      <c r="T35" s="179">
        <v>14617.190223592899</v>
      </c>
      <c r="U35" s="179">
        <v>38357.3835426757</v>
      </c>
    </row>
    <row r="36" spans="1:21" x14ac:dyDescent="0.3">
      <c r="A36" s="156"/>
      <c r="B36" s="156"/>
      <c r="C36" s="179">
        <v>27</v>
      </c>
      <c r="D36" s="179">
        <v>1666.2971340162601</v>
      </c>
      <c r="E36" s="179">
        <v>2595504.6824966399</v>
      </c>
      <c r="F36" s="179">
        <v>564423.76187314605</v>
      </c>
      <c r="G36" s="179">
        <v>555529.04807630996</v>
      </c>
      <c r="H36" s="179">
        <v>339044.74415998103</v>
      </c>
      <c r="I36" s="179">
        <v>6961.7407757788496</v>
      </c>
      <c r="J36" s="179">
        <v>217923.54305051299</v>
      </c>
      <c r="K36" s="179">
        <v>1510.44661522606</v>
      </c>
      <c r="L36" s="179">
        <v>109653.993924407</v>
      </c>
      <c r="M36" s="179">
        <v>53228.281292906599</v>
      </c>
      <c r="N36" s="179">
        <v>13592.008015720599</v>
      </c>
      <c r="O36" s="179">
        <v>81504.135871330407</v>
      </c>
      <c r="P36" s="179">
        <v>17176.883836939502</v>
      </c>
      <c r="Q36" s="179">
        <v>1618.43654597776</v>
      </c>
      <c r="R36" s="179"/>
      <c r="S36" s="179">
        <v>221127.72538199101</v>
      </c>
      <c r="T36" s="179">
        <v>14613.9344105896</v>
      </c>
      <c r="U36" s="179">
        <v>38355.013742418698</v>
      </c>
    </row>
    <row r="37" spans="1:21" x14ac:dyDescent="0.3">
      <c r="A37" s="156"/>
      <c r="B37" s="156"/>
      <c r="C37" s="179">
        <v>28</v>
      </c>
      <c r="D37" s="179">
        <v>1665.0990833409701</v>
      </c>
      <c r="E37" s="179">
        <v>2591179.4731169799</v>
      </c>
      <c r="F37" s="179">
        <v>564061.92190605798</v>
      </c>
      <c r="G37" s="179">
        <v>554896.52381160401</v>
      </c>
      <c r="H37" s="179">
        <v>338039.805618882</v>
      </c>
      <c r="I37" s="179">
        <v>6954.4372638834002</v>
      </c>
      <c r="J37" s="179">
        <v>217693.69399390701</v>
      </c>
      <c r="K37" s="179">
        <v>1509.8247763560601</v>
      </c>
      <c r="L37" s="179">
        <v>109450.525757765</v>
      </c>
      <c r="M37" s="179">
        <v>52861.1380429907</v>
      </c>
      <c r="N37" s="179">
        <v>13569.7554226875</v>
      </c>
      <c r="O37" s="179">
        <v>81502.955157063101</v>
      </c>
      <c r="P37" s="179">
        <v>17176.883836939502</v>
      </c>
      <c r="Q37" s="179">
        <v>1618.43654597776</v>
      </c>
      <c r="R37" s="179"/>
      <c r="S37" s="179">
        <v>221083.191772594</v>
      </c>
      <c r="T37" s="179">
        <v>14613.9033040959</v>
      </c>
      <c r="U37" s="179">
        <v>38318.8870020209</v>
      </c>
    </row>
    <row r="38" spans="1:21" x14ac:dyDescent="0.3">
      <c r="A38" s="156"/>
      <c r="B38" s="156"/>
      <c r="C38" s="179">
        <v>29</v>
      </c>
      <c r="D38" s="179">
        <v>1664.2296646217501</v>
      </c>
      <c r="E38" s="179">
        <v>2588824.2425874602</v>
      </c>
      <c r="F38" s="179">
        <v>563205.760040564</v>
      </c>
      <c r="G38" s="179">
        <v>553966.79541261296</v>
      </c>
      <c r="H38" s="179">
        <v>337709.99571931298</v>
      </c>
      <c r="I38" s="179">
        <v>6938.4785838747503</v>
      </c>
      <c r="J38" s="179">
        <v>217676.30072251399</v>
      </c>
      <c r="K38" s="179">
        <v>1509.8247763560601</v>
      </c>
      <c r="L38" s="179">
        <v>109346.610588253</v>
      </c>
      <c r="M38" s="179">
        <v>52804.149818496902</v>
      </c>
      <c r="N38" s="179">
        <v>13566.4674137443</v>
      </c>
      <c r="O38" s="179">
        <v>81488.013014438999</v>
      </c>
      <c r="P38" s="179">
        <v>17176.883836939502</v>
      </c>
      <c r="Q38" s="179">
        <v>1618.43654597776</v>
      </c>
      <c r="R38" s="179"/>
      <c r="S38" s="179">
        <v>220924.734739751</v>
      </c>
      <c r="T38" s="179">
        <v>14607.8790131568</v>
      </c>
      <c r="U38" s="179">
        <v>38284.153663491001</v>
      </c>
    </row>
    <row r="39" spans="1:21" x14ac:dyDescent="0.3">
      <c r="A39" s="156"/>
      <c r="B39" s="156"/>
      <c r="C39" s="179">
        <v>30</v>
      </c>
      <c r="D39" s="179">
        <v>1663.90935246203</v>
      </c>
      <c r="E39" s="179">
        <v>2587913.1348670102</v>
      </c>
      <c r="F39" s="179">
        <v>562739.17956904904</v>
      </c>
      <c r="G39" s="179">
        <v>553113.33836177504</v>
      </c>
      <c r="H39" s="179">
        <v>337508.091145157</v>
      </c>
      <c r="I39" s="179">
        <v>6928.9556003412599</v>
      </c>
      <c r="J39" s="179">
        <v>217011.69591407699</v>
      </c>
      <c r="K39" s="179">
        <v>1509.8247763560601</v>
      </c>
      <c r="L39" s="179">
        <v>109255.503536716</v>
      </c>
      <c r="M39" s="179">
        <v>52755.624019297597</v>
      </c>
      <c r="N39" s="179">
        <v>13561.896775925499</v>
      </c>
      <c r="O39" s="179">
        <v>81455.858907797796</v>
      </c>
      <c r="P39" s="179">
        <v>17176.883836939502</v>
      </c>
      <c r="Q39" s="179">
        <v>1618.43654597776</v>
      </c>
      <c r="R39" s="179"/>
      <c r="S39" s="179">
        <v>220611.40208382401</v>
      </c>
      <c r="T39" s="179">
        <v>14592.0665455454</v>
      </c>
      <c r="U39" s="179">
        <v>38265.1444073526</v>
      </c>
    </row>
    <row r="40" spans="1:21" x14ac:dyDescent="0.3">
      <c r="A40" s="156"/>
      <c r="B40" s="156"/>
      <c r="C40" s="179">
        <v>31</v>
      </c>
      <c r="D40" s="179">
        <v>1659.9449694983</v>
      </c>
      <c r="E40" s="179">
        <v>2581796.2514220299</v>
      </c>
      <c r="F40" s="179">
        <v>562192.60500596196</v>
      </c>
      <c r="G40" s="179">
        <v>552903.66710732796</v>
      </c>
      <c r="H40" s="179">
        <v>337325.90034600499</v>
      </c>
      <c r="I40" s="179">
        <v>6928.4678640125403</v>
      </c>
      <c r="J40" s="179">
        <v>216874.66818480499</v>
      </c>
      <c r="K40" s="179">
        <v>1509.8247763560601</v>
      </c>
      <c r="L40" s="179">
        <v>109249.461633782</v>
      </c>
      <c r="M40" s="179">
        <v>52359.855449805698</v>
      </c>
      <c r="N40" s="179">
        <v>13544.2453594939</v>
      </c>
      <c r="O40" s="179">
        <v>81403.561408613707</v>
      </c>
      <c r="P40" s="179">
        <v>17176.883836939502</v>
      </c>
      <c r="Q40" s="179">
        <v>1618.43654597776</v>
      </c>
      <c r="R40" s="179"/>
      <c r="S40" s="179">
        <v>220198.20710753201</v>
      </c>
      <c r="T40" s="179">
        <v>14583.450046801099</v>
      </c>
      <c r="U40" s="179">
        <v>38254.688807935599</v>
      </c>
    </row>
    <row r="41" spans="1:21" x14ac:dyDescent="0.3">
      <c r="A41" s="156"/>
      <c r="B41" s="156"/>
      <c r="C41" s="179">
        <v>32</v>
      </c>
      <c r="D41" s="179">
        <v>1659.78689336754</v>
      </c>
      <c r="E41" s="179">
        <v>2580087.9987452701</v>
      </c>
      <c r="F41" s="179">
        <v>560211.05173894798</v>
      </c>
      <c r="G41" s="179">
        <v>552224.52132555598</v>
      </c>
      <c r="H41" s="179">
        <v>337275.31245837698</v>
      </c>
      <c r="I41" s="179">
        <v>6914.0177669253098</v>
      </c>
      <c r="J41" s="179">
        <v>216653.623888765</v>
      </c>
      <c r="K41" s="179">
        <v>1509.8247763560601</v>
      </c>
      <c r="L41" s="179">
        <v>109227.82458070701</v>
      </c>
      <c r="M41" s="179">
        <v>52293.865778265797</v>
      </c>
      <c r="N41" s="179">
        <v>13528.894531362999</v>
      </c>
      <c r="O41" s="179">
        <v>81402.329801490094</v>
      </c>
      <c r="P41" s="179">
        <v>17176.883836939502</v>
      </c>
      <c r="Q41" s="179">
        <v>1618.43654597776</v>
      </c>
      <c r="R41" s="179"/>
      <c r="S41" s="179">
        <v>220164.28545943301</v>
      </c>
      <c r="T41" s="179">
        <v>14580.723044190099</v>
      </c>
      <c r="U41" s="179">
        <v>38253.234381168499</v>
      </c>
    </row>
    <row r="42" spans="1:21" x14ac:dyDescent="0.3">
      <c r="A42" s="156"/>
      <c r="B42" s="156"/>
      <c r="C42" s="179">
        <v>33</v>
      </c>
      <c r="D42" s="179">
        <v>1659.35842385519</v>
      </c>
      <c r="E42" s="179">
        <v>2572678.3063740102</v>
      </c>
      <c r="F42" s="179">
        <v>558758.47358276905</v>
      </c>
      <c r="G42" s="179">
        <v>551800.75493255502</v>
      </c>
      <c r="H42" s="179">
        <v>336986.755730092</v>
      </c>
      <c r="I42" s="179">
        <v>6911.7466186414704</v>
      </c>
      <c r="J42" s="179">
        <v>216251.071866285</v>
      </c>
      <c r="K42" s="179">
        <v>1509.8247763560601</v>
      </c>
      <c r="L42" s="179">
        <v>108971.404494093</v>
      </c>
      <c r="M42" s="179">
        <v>52203.736723280803</v>
      </c>
      <c r="N42" s="179">
        <v>13523.896350585699</v>
      </c>
      <c r="O42" s="179">
        <v>81390.217301679004</v>
      </c>
      <c r="P42" s="179">
        <v>17176.883836939502</v>
      </c>
      <c r="Q42" s="179">
        <v>1618.43654597776</v>
      </c>
      <c r="R42" s="179"/>
      <c r="S42" s="179">
        <v>220075.13684496199</v>
      </c>
      <c r="T42" s="179">
        <v>14560.410503829</v>
      </c>
      <c r="U42" s="179">
        <v>38248.138802075198</v>
      </c>
    </row>
    <row r="43" spans="1:21" x14ac:dyDescent="0.3">
      <c r="A43" s="156"/>
      <c r="B43" s="156"/>
      <c r="C43" s="179">
        <v>34</v>
      </c>
      <c r="D43" s="179">
        <v>1656.4090560469201</v>
      </c>
      <c r="E43" s="179">
        <v>2566931.43978502</v>
      </c>
      <c r="F43" s="179">
        <v>558551.03403981298</v>
      </c>
      <c r="G43" s="179">
        <v>551496.34805008501</v>
      </c>
      <c r="H43" s="179">
        <v>336650.01538513001</v>
      </c>
      <c r="I43" s="179">
        <v>6900.9197081330303</v>
      </c>
      <c r="J43" s="179">
        <v>215760.20580203101</v>
      </c>
      <c r="K43" s="179">
        <v>1509.8247763560601</v>
      </c>
      <c r="L43" s="179">
        <v>108816.251058758</v>
      </c>
      <c r="M43" s="179">
        <v>52177.489349294403</v>
      </c>
      <c r="N43" s="179">
        <v>13519.3969699266</v>
      </c>
      <c r="O43" s="179">
        <v>81337.298909647405</v>
      </c>
      <c r="P43" s="179">
        <v>17176.883836939502</v>
      </c>
      <c r="Q43" s="179">
        <v>1618.43654597776</v>
      </c>
      <c r="R43" s="179"/>
      <c r="S43" s="179">
        <v>220052.712336141</v>
      </c>
      <c r="T43" s="179">
        <v>14548.693724549699</v>
      </c>
      <c r="U43" s="179">
        <v>38239.646170253101</v>
      </c>
    </row>
    <row r="44" spans="1:21" x14ac:dyDescent="0.3">
      <c r="A44" s="156"/>
      <c r="B44" s="156"/>
      <c r="C44" s="179">
        <v>35</v>
      </c>
      <c r="D44" s="179">
        <v>1649.403787515</v>
      </c>
      <c r="E44" s="179">
        <v>2554165.8792359899</v>
      </c>
      <c r="F44" s="179">
        <v>557297.30946180795</v>
      </c>
      <c r="G44" s="179">
        <v>550599.201528106</v>
      </c>
      <c r="H44" s="179">
        <v>335985.49311730103</v>
      </c>
      <c r="I44" s="179">
        <v>6875.95216791454</v>
      </c>
      <c r="J44" s="179">
        <v>215753.23010997099</v>
      </c>
      <c r="K44" s="179">
        <v>1509.8247763560601</v>
      </c>
      <c r="L44" s="179">
        <v>108756.035511127</v>
      </c>
      <c r="M44" s="179">
        <v>52172.011106154299</v>
      </c>
      <c r="N44" s="179">
        <v>13513.5538828264</v>
      </c>
      <c r="O44" s="179">
        <v>81334.398016835505</v>
      </c>
      <c r="P44" s="179">
        <v>17176.883836939502</v>
      </c>
      <c r="Q44" s="179">
        <v>1618.43654597776</v>
      </c>
      <c r="R44" s="179"/>
      <c r="S44" s="179">
        <v>219783.12985622601</v>
      </c>
      <c r="T44" s="179">
        <v>14541.259272564601</v>
      </c>
      <c r="U44" s="179">
        <v>38238.883359011597</v>
      </c>
    </row>
    <row r="45" spans="1:21" x14ac:dyDescent="0.3">
      <c r="A45" s="156"/>
      <c r="B45" s="156"/>
      <c r="C45" s="179">
        <v>36</v>
      </c>
      <c r="D45" s="179">
        <v>1642.70219155008</v>
      </c>
      <c r="E45" s="179">
        <v>2553296.97275241</v>
      </c>
      <c r="F45" s="179">
        <v>557056.119601849</v>
      </c>
      <c r="G45" s="179">
        <v>550129.53314318706</v>
      </c>
      <c r="H45" s="179">
        <v>335851.74484513601</v>
      </c>
      <c r="I45" s="179">
        <v>6864.5383852591203</v>
      </c>
      <c r="J45" s="179">
        <v>215533.90874719201</v>
      </c>
      <c r="K45" s="179">
        <v>1509.8247763560601</v>
      </c>
      <c r="L45" s="179">
        <v>108699.720576783</v>
      </c>
      <c r="M45" s="179">
        <v>51944.230192752802</v>
      </c>
      <c r="N45" s="179">
        <v>13512.210176385301</v>
      </c>
      <c r="O45" s="179">
        <v>81300.635695933699</v>
      </c>
      <c r="P45" s="179">
        <v>17176.883836939502</v>
      </c>
      <c r="Q45" s="179">
        <v>1618.43654597776</v>
      </c>
      <c r="R45" s="179"/>
      <c r="S45" s="179">
        <v>219709.64990944299</v>
      </c>
      <c r="T45" s="179">
        <v>14540.1601764552</v>
      </c>
      <c r="U45" s="179">
        <v>38199.969814878197</v>
      </c>
    </row>
    <row r="46" spans="1:21" x14ac:dyDescent="0.3">
      <c r="A46" s="156"/>
      <c r="B46" s="156"/>
      <c r="C46" s="179">
        <v>37</v>
      </c>
      <c r="D46" s="179">
        <v>1635.33917177484</v>
      </c>
      <c r="E46" s="179">
        <v>2552454.7905838001</v>
      </c>
      <c r="F46" s="179">
        <v>556897.95820896502</v>
      </c>
      <c r="G46" s="179">
        <v>549023.87001159403</v>
      </c>
      <c r="H46" s="179">
        <v>335677.53289236402</v>
      </c>
      <c r="I46" s="179">
        <v>6847.6446295762298</v>
      </c>
      <c r="J46" s="179">
        <v>215006.81185793801</v>
      </c>
      <c r="K46" s="179">
        <v>1509.8247763560601</v>
      </c>
      <c r="L46" s="179">
        <v>108647.919269163</v>
      </c>
      <c r="M46" s="179">
        <v>51921.396349942901</v>
      </c>
      <c r="N46" s="179">
        <v>13509.3904287777</v>
      </c>
      <c r="O46" s="179">
        <v>81269.855696413899</v>
      </c>
      <c r="P46" s="179">
        <v>17176.883836939502</v>
      </c>
      <c r="Q46" s="179">
        <v>1618.43654597776</v>
      </c>
      <c r="R46" s="179"/>
      <c r="S46" s="179">
        <v>219662.735476514</v>
      </c>
      <c r="T46" s="179">
        <v>14534.363999802899</v>
      </c>
      <c r="U46" s="179">
        <v>38199.196832820096</v>
      </c>
    </row>
    <row r="47" spans="1:21" x14ac:dyDescent="0.3">
      <c r="A47" s="156"/>
      <c r="B47" s="156"/>
      <c r="C47" s="179">
        <v>38</v>
      </c>
      <c r="D47" s="179">
        <v>1634.9813397568</v>
      </c>
      <c r="E47" s="179">
        <v>2551060.4600953199</v>
      </c>
      <c r="F47" s="179">
        <v>556592.85116310499</v>
      </c>
      <c r="G47" s="179">
        <v>548295.652930949</v>
      </c>
      <c r="H47" s="179">
        <v>335092.54613314703</v>
      </c>
      <c r="I47" s="179">
        <v>6834.3313295480702</v>
      </c>
      <c r="J47" s="179">
        <v>214974.06211499099</v>
      </c>
      <c r="K47" s="179">
        <v>1509.8247763560601</v>
      </c>
      <c r="L47" s="179">
        <v>108273.32586435101</v>
      </c>
      <c r="M47" s="179">
        <v>51906.737379641098</v>
      </c>
      <c r="N47" s="179">
        <v>13506.692836301099</v>
      </c>
      <c r="O47" s="179">
        <v>81236.7448040733</v>
      </c>
      <c r="P47" s="179">
        <v>17176.883836939502</v>
      </c>
      <c r="Q47" s="179">
        <v>1618.43654597776</v>
      </c>
      <c r="R47" s="179"/>
      <c r="S47" s="179">
        <v>219648.389488566</v>
      </c>
      <c r="T47" s="179">
        <v>14511.2207685186</v>
      </c>
      <c r="U47" s="179">
        <v>38193.379125751497</v>
      </c>
    </row>
    <row r="48" spans="1:21" x14ac:dyDescent="0.3">
      <c r="A48" s="156"/>
      <c r="B48" s="156"/>
      <c r="C48" s="179">
        <v>39</v>
      </c>
      <c r="D48" s="179">
        <v>1633.05954757324</v>
      </c>
      <c r="E48" s="179">
        <v>2540509.52702324</v>
      </c>
      <c r="F48" s="179">
        <v>556266.29520216701</v>
      </c>
      <c r="G48" s="179">
        <v>547907.32069692702</v>
      </c>
      <c r="H48" s="179">
        <v>334936.29141123802</v>
      </c>
      <c r="I48" s="179">
        <v>6831.9314413971597</v>
      </c>
      <c r="J48" s="179">
        <v>214961.956519211</v>
      </c>
      <c r="K48" s="179">
        <v>1509.8247763560601</v>
      </c>
      <c r="L48" s="179">
        <v>108252.051392925</v>
      </c>
      <c r="M48" s="179">
        <v>51744.194971450699</v>
      </c>
      <c r="N48" s="179">
        <v>13490.5683590071</v>
      </c>
      <c r="O48" s="179">
        <v>81215.929625826597</v>
      </c>
      <c r="P48" s="179">
        <v>17176.883836939502</v>
      </c>
      <c r="Q48" s="179">
        <v>1618.43654597776</v>
      </c>
      <c r="R48" s="179"/>
      <c r="S48" s="179">
        <v>219378.53229824299</v>
      </c>
      <c r="T48" s="179">
        <v>14501.6088619771</v>
      </c>
      <c r="U48" s="179">
        <v>38183.543946144302</v>
      </c>
    </row>
    <row r="49" spans="1:21" x14ac:dyDescent="0.3">
      <c r="A49" s="156"/>
      <c r="B49" s="156"/>
      <c r="C49" s="179">
        <v>40</v>
      </c>
      <c r="D49" s="179">
        <v>1632.2608471230501</v>
      </c>
      <c r="E49" s="179">
        <v>2535030.2708647298</v>
      </c>
      <c r="F49" s="179">
        <v>556007.07884581701</v>
      </c>
      <c r="G49" s="179">
        <v>547511.54317934799</v>
      </c>
      <c r="H49" s="179">
        <v>334598.467678443</v>
      </c>
      <c r="I49" s="179">
        <v>6829.4858488363097</v>
      </c>
      <c r="J49" s="179">
        <v>214547.99966452099</v>
      </c>
      <c r="K49" s="179">
        <v>1509.8247763560601</v>
      </c>
      <c r="L49" s="179">
        <v>108224.684751191</v>
      </c>
      <c r="M49" s="179">
        <v>51725.272832266899</v>
      </c>
      <c r="N49" s="179">
        <v>13485.5294598528</v>
      </c>
      <c r="O49" s="179">
        <v>80976.122486710607</v>
      </c>
      <c r="P49" s="179">
        <v>17176.883836939502</v>
      </c>
      <c r="Q49" s="179">
        <v>1618.43654597776</v>
      </c>
      <c r="R49" s="179"/>
      <c r="S49" s="179">
        <v>219358.07146011299</v>
      </c>
      <c r="T49" s="179">
        <v>14472.513921572199</v>
      </c>
      <c r="U49" s="179">
        <v>38183.432067162299</v>
      </c>
    </row>
    <row r="50" spans="1:21" x14ac:dyDescent="0.3">
      <c r="A50" s="156"/>
      <c r="B50" s="156"/>
      <c r="C50" s="179">
        <v>41</v>
      </c>
      <c r="D50" s="179">
        <v>1628.38382202106</v>
      </c>
      <c r="E50" s="179">
        <v>2527850.4201082899</v>
      </c>
      <c r="F50" s="179">
        <v>555588.14020134602</v>
      </c>
      <c r="G50" s="179">
        <v>547313.39119423099</v>
      </c>
      <c r="H50" s="179">
        <v>334367.37180332502</v>
      </c>
      <c r="I50" s="179">
        <v>6823.5578056253298</v>
      </c>
      <c r="J50" s="179">
        <v>214169.925846139</v>
      </c>
      <c r="K50" s="179">
        <v>1509.8247763560601</v>
      </c>
      <c r="L50" s="179">
        <v>108156.99299374101</v>
      </c>
      <c r="M50" s="179">
        <v>51632.703389056398</v>
      </c>
      <c r="N50" s="179">
        <v>13485.010300546001</v>
      </c>
      <c r="O50" s="179">
        <v>80974.554986735093</v>
      </c>
      <c r="P50" s="179">
        <v>17176.883836939502</v>
      </c>
      <c r="Q50" s="179">
        <v>1618.43654597776</v>
      </c>
      <c r="R50" s="179"/>
      <c r="S50" s="179">
        <v>219267.07109400601</v>
      </c>
      <c r="T50" s="179">
        <v>14445.1402071499</v>
      </c>
      <c r="U50" s="179">
        <v>38151.160066238197</v>
      </c>
    </row>
    <row r="51" spans="1:21" x14ac:dyDescent="0.3">
      <c r="A51" s="156"/>
      <c r="B51" s="156"/>
      <c r="C51" s="179">
        <v>42</v>
      </c>
      <c r="D51" s="179">
        <v>1626.3225924738099</v>
      </c>
      <c r="E51" s="179">
        <v>2527736.5165711702</v>
      </c>
      <c r="F51" s="179">
        <v>555494.56282881205</v>
      </c>
      <c r="G51" s="179">
        <v>545645.11211402295</v>
      </c>
      <c r="H51" s="179">
        <v>334248.89904290199</v>
      </c>
      <c r="I51" s="179">
        <v>6818.96215724187</v>
      </c>
      <c r="J51" s="179">
        <v>213937.329833714</v>
      </c>
      <c r="K51" s="179">
        <v>1509.8247763560601</v>
      </c>
      <c r="L51" s="179">
        <v>108106.923313033</v>
      </c>
      <c r="M51" s="179">
        <v>51613.841244914402</v>
      </c>
      <c r="N51" s="179">
        <v>13471.888803556099</v>
      </c>
      <c r="O51" s="179">
        <v>80929.484273152499</v>
      </c>
      <c r="P51" s="179">
        <v>17176.883836939502</v>
      </c>
      <c r="Q51" s="179">
        <v>1618.43654597776</v>
      </c>
      <c r="R51" s="179"/>
      <c r="S51" s="179">
        <v>219160.70729399801</v>
      </c>
      <c r="T51" s="179">
        <v>14428.166430441799</v>
      </c>
      <c r="U51" s="179">
        <v>38149.0445363951</v>
      </c>
    </row>
    <row r="52" spans="1:21" x14ac:dyDescent="0.3">
      <c r="A52" s="156"/>
      <c r="B52" s="156"/>
      <c r="C52" s="179">
        <v>43</v>
      </c>
      <c r="D52" s="179">
        <v>1625.5206004536899</v>
      </c>
      <c r="E52" s="179">
        <v>2520401.88584647</v>
      </c>
      <c r="F52" s="179">
        <v>554875.65218047902</v>
      </c>
      <c r="G52" s="179">
        <v>545188.76409153501</v>
      </c>
      <c r="H52" s="179">
        <v>334161.91679027001</v>
      </c>
      <c r="I52" s="179">
        <v>6814.8398353349103</v>
      </c>
      <c r="J52" s="179">
        <v>213710.87428936301</v>
      </c>
      <c r="K52" s="179">
        <v>1509.8247763560601</v>
      </c>
      <c r="L52" s="179">
        <v>108055.311952128</v>
      </c>
      <c r="M52" s="179">
        <v>51597.304482274798</v>
      </c>
      <c r="N52" s="179">
        <v>13470.667252245999</v>
      </c>
      <c r="O52" s="179">
        <v>80876.514988264593</v>
      </c>
      <c r="P52" s="179">
        <v>17176.883836939502</v>
      </c>
      <c r="Q52" s="179">
        <v>1618.43654597776</v>
      </c>
      <c r="R52" s="179"/>
      <c r="S52" s="179">
        <v>218928.03775328599</v>
      </c>
      <c r="T52" s="179">
        <v>14417.610960259201</v>
      </c>
      <c r="U52" s="179">
        <v>38138.355008197403</v>
      </c>
    </row>
    <row r="53" spans="1:21" x14ac:dyDescent="0.3">
      <c r="A53" s="156"/>
      <c r="B53" s="156"/>
      <c r="C53" s="179">
        <v>44</v>
      </c>
      <c r="D53" s="179">
        <v>1621.6281473798199</v>
      </c>
      <c r="E53" s="179">
        <v>2511880.57468904</v>
      </c>
      <c r="F53" s="179">
        <v>554623.72011417395</v>
      </c>
      <c r="G53" s="179">
        <v>545178.32899888</v>
      </c>
      <c r="H53" s="179">
        <v>334102.50030878797</v>
      </c>
      <c r="I53" s="179">
        <v>6806.2417847300303</v>
      </c>
      <c r="J53" s="179">
        <v>213616.64356148601</v>
      </c>
      <c r="K53" s="179">
        <v>1509.8247763560601</v>
      </c>
      <c r="L53" s="179">
        <v>107778.07191995101</v>
      </c>
      <c r="M53" s="179">
        <v>51487.2355797368</v>
      </c>
      <c r="N53" s="179">
        <v>13462.136752263499</v>
      </c>
      <c r="O53" s="179">
        <v>80827.026774750906</v>
      </c>
      <c r="P53" s="179">
        <v>17176.883836939502</v>
      </c>
      <c r="Q53" s="179">
        <v>1618.43654597776</v>
      </c>
      <c r="R53" s="179"/>
      <c r="S53" s="179">
        <v>218816.64777026599</v>
      </c>
      <c r="T53" s="179">
        <v>14417.559116103101</v>
      </c>
      <c r="U53" s="179">
        <v>38135.944524674298</v>
      </c>
    </row>
    <row r="54" spans="1:21" x14ac:dyDescent="0.3">
      <c r="A54" s="156"/>
      <c r="B54" s="156"/>
      <c r="C54" s="179">
        <v>45</v>
      </c>
      <c r="D54" s="179">
        <v>1619.41201210964</v>
      </c>
      <c r="E54" s="179">
        <v>2510547.5650158701</v>
      </c>
      <c r="F54" s="179">
        <v>554376.11436054797</v>
      </c>
      <c r="G54" s="179">
        <v>544949.47462047997</v>
      </c>
      <c r="H54" s="179">
        <v>334072.34132539202</v>
      </c>
      <c r="I54" s="179">
        <v>6800.4462107046202</v>
      </c>
      <c r="J54" s="179">
        <v>213460.723273243</v>
      </c>
      <c r="K54" s="179">
        <v>1509.8247763560601</v>
      </c>
      <c r="L54" s="179">
        <v>107717.809300168</v>
      </c>
      <c r="M54" s="179">
        <v>50989.364215843001</v>
      </c>
      <c r="N54" s="179">
        <v>13449.341002289701</v>
      </c>
      <c r="O54" s="179">
        <v>80778.800704074703</v>
      </c>
      <c r="P54" s="179">
        <v>17176.883836939502</v>
      </c>
      <c r="Q54" s="179">
        <v>1618.43654597776</v>
      </c>
      <c r="R54" s="179"/>
      <c r="S54" s="179">
        <v>218808.37593466099</v>
      </c>
      <c r="T54" s="179">
        <v>14412.602814779701</v>
      </c>
      <c r="U54" s="179">
        <v>38128.2960706261</v>
      </c>
    </row>
    <row r="55" spans="1:21" x14ac:dyDescent="0.3">
      <c r="A55" s="156"/>
      <c r="B55" s="156"/>
      <c r="C55" s="179">
        <v>46</v>
      </c>
      <c r="D55" s="179">
        <v>1618.4225217663</v>
      </c>
      <c r="E55" s="179">
        <v>2504076.2017993699</v>
      </c>
      <c r="F55" s="179">
        <v>553865.34806745395</v>
      </c>
      <c r="G55" s="179">
        <v>544517.74156553601</v>
      </c>
      <c r="H55" s="179">
        <v>333980.79223504901</v>
      </c>
      <c r="I55" s="179">
        <v>6799.5697793191102</v>
      </c>
      <c r="J55" s="179">
        <v>213423.28385357099</v>
      </c>
      <c r="K55" s="179">
        <v>1509.8247763560601</v>
      </c>
      <c r="L55" s="179">
        <v>107599.612966272</v>
      </c>
      <c r="M55" s="179">
        <v>50952.144473385197</v>
      </c>
      <c r="N55" s="179">
        <v>13448.709867446099</v>
      </c>
      <c r="O55" s="179">
        <v>80707.947669465793</v>
      </c>
      <c r="P55" s="179">
        <v>17176.883836939502</v>
      </c>
      <c r="Q55" s="179">
        <v>1618.43654597776</v>
      </c>
      <c r="R55" s="179"/>
      <c r="S55" s="179">
        <v>218763.43534688299</v>
      </c>
      <c r="T55" s="179">
        <v>14412.105110881101</v>
      </c>
      <c r="U55" s="179">
        <v>38120.189929833003</v>
      </c>
    </row>
    <row r="56" spans="1:21" x14ac:dyDescent="0.3">
      <c r="A56" s="156"/>
      <c r="B56" s="156"/>
      <c r="C56" s="179">
        <v>47</v>
      </c>
      <c r="D56" s="179">
        <v>1612.3846113039201</v>
      </c>
      <c r="E56" s="179">
        <v>2495804.4869092498</v>
      </c>
      <c r="F56" s="179">
        <v>553652.216314152</v>
      </c>
      <c r="G56" s="179">
        <v>543700.12320663896</v>
      </c>
      <c r="H56" s="179">
        <v>333926.97701150901</v>
      </c>
      <c r="I56" s="179">
        <v>6790.4111765231501</v>
      </c>
      <c r="J56" s="179">
        <v>213368.944234144</v>
      </c>
      <c r="K56" s="179">
        <v>1509.2029374860599</v>
      </c>
      <c r="L56" s="179">
        <v>107505.053268014</v>
      </c>
      <c r="M56" s="179">
        <v>50714.798063849797</v>
      </c>
      <c r="N56" s="179">
        <v>13444.251205164101</v>
      </c>
      <c r="O56" s="179">
        <v>80706.339455205205</v>
      </c>
      <c r="P56" s="179">
        <v>17176.883836939502</v>
      </c>
      <c r="Q56" s="179">
        <v>1618.43654597776</v>
      </c>
      <c r="R56" s="179"/>
      <c r="S56" s="179">
        <v>218752.65041977199</v>
      </c>
      <c r="T56" s="179">
        <v>14403.0220147319</v>
      </c>
      <c r="U56" s="179">
        <v>38088.792619132502</v>
      </c>
    </row>
    <row r="57" spans="1:21" x14ac:dyDescent="0.3">
      <c r="A57" s="156"/>
      <c r="B57" s="156"/>
      <c r="C57" s="179">
        <v>48</v>
      </c>
      <c r="D57" s="179">
        <v>1610.00175700772</v>
      </c>
      <c r="E57" s="179">
        <v>2492490.4327568002</v>
      </c>
      <c r="F57" s="179">
        <v>553638.75336672796</v>
      </c>
      <c r="G57" s="179">
        <v>542968.69603728398</v>
      </c>
      <c r="H57" s="179">
        <v>333810.35046309599</v>
      </c>
      <c r="I57" s="179">
        <v>6786.9627341285004</v>
      </c>
      <c r="J57" s="179">
        <v>213117.13516530301</v>
      </c>
      <c r="K57" s="179">
        <v>1509.2029374860599</v>
      </c>
      <c r="L57" s="179">
        <v>107376.982772442</v>
      </c>
      <c r="M57" s="179">
        <v>50402.993826529302</v>
      </c>
      <c r="N57" s="179">
        <v>13442.7955231861</v>
      </c>
      <c r="O57" s="179">
        <v>80704.700705230702</v>
      </c>
      <c r="P57" s="179">
        <v>17176.883836939502</v>
      </c>
      <c r="Q57" s="179">
        <v>1618.43654597776</v>
      </c>
      <c r="R57" s="179"/>
      <c r="S57" s="179">
        <v>218752.22309247201</v>
      </c>
      <c r="T57" s="179">
        <v>14396.7177653498</v>
      </c>
      <c r="U57" s="179">
        <v>38085.324370687798</v>
      </c>
    </row>
    <row r="58" spans="1:21" x14ac:dyDescent="0.3">
      <c r="A58" s="156"/>
      <c r="B58" s="156"/>
      <c r="C58" s="179">
        <v>49</v>
      </c>
      <c r="D58" s="179">
        <v>1609.78972336272</v>
      </c>
      <c r="E58" s="179">
        <v>2491323.3915587799</v>
      </c>
      <c r="F58" s="179">
        <v>553259.16185197502</v>
      </c>
      <c r="G58" s="179">
        <v>542756.67755302601</v>
      </c>
      <c r="H58" s="179">
        <v>333655.76081696001</v>
      </c>
      <c r="I58" s="179">
        <v>6785.3983464001003</v>
      </c>
      <c r="J58" s="179">
        <v>213088.30431708801</v>
      </c>
      <c r="K58" s="179">
        <v>1509.2029374860599</v>
      </c>
      <c r="L58" s="179">
        <v>107296.548839176</v>
      </c>
      <c r="M58" s="179">
        <v>50338.0171175914</v>
      </c>
      <c r="N58" s="179">
        <v>13433.847659839301</v>
      </c>
      <c r="O58" s="179">
        <v>80684.913562682297</v>
      </c>
      <c r="P58" s="179">
        <v>17176.883836939502</v>
      </c>
      <c r="Q58" s="179">
        <v>1618.43654597776</v>
      </c>
      <c r="R58" s="179"/>
      <c r="S58" s="179">
        <v>218741.98758617701</v>
      </c>
      <c r="T58" s="179">
        <v>14396.334118594599</v>
      </c>
      <c r="U58" s="179">
        <v>38077.136863362299</v>
      </c>
    </row>
    <row r="59" spans="1:21" x14ac:dyDescent="0.3">
      <c r="A59" s="156"/>
      <c r="B59" s="156"/>
      <c r="C59" s="179">
        <v>50</v>
      </c>
      <c r="D59" s="179">
        <v>1607.1241575398601</v>
      </c>
      <c r="E59" s="179">
        <v>2484437.7608924098</v>
      </c>
      <c r="F59" s="179">
        <v>552847.82481440401</v>
      </c>
      <c r="G59" s="179">
        <v>542213.42293200595</v>
      </c>
      <c r="H59" s="179">
        <v>333604.88491730002</v>
      </c>
      <c r="I59" s="179">
        <v>6755.4258344474802</v>
      </c>
      <c r="J59" s="179">
        <v>212984.58765370201</v>
      </c>
      <c r="K59" s="179">
        <v>1509.2029374860599</v>
      </c>
      <c r="L59" s="179">
        <v>107286.21363362701</v>
      </c>
      <c r="M59" s="179">
        <v>50272.812483313501</v>
      </c>
      <c r="N59" s="179">
        <v>13430.8853979122</v>
      </c>
      <c r="O59" s="179">
        <v>80676.149812819</v>
      </c>
      <c r="P59" s="179">
        <v>17176.883836939502</v>
      </c>
      <c r="Q59" s="179">
        <v>1618.43654597776</v>
      </c>
      <c r="R59" s="179"/>
      <c r="S59" s="179">
        <v>218705.501974274</v>
      </c>
      <c r="T59" s="179">
        <v>14390.610523760901</v>
      </c>
      <c r="U59" s="179">
        <v>38063.070624068903</v>
      </c>
    </row>
    <row r="60" spans="1:21" x14ac:dyDescent="0.3">
      <c r="A60" s="156"/>
      <c r="B60" s="156"/>
      <c r="C60" s="179">
        <v>51</v>
      </c>
      <c r="D60" s="179">
        <v>1604.2061707110499</v>
      </c>
      <c r="E60" s="179">
        <v>2481756.0642035599</v>
      </c>
      <c r="F60" s="179">
        <v>552702.58681870496</v>
      </c>
      <c r="G60" s="179">
        <v>541368.78498996596</v>
      </c>
      <c r="H60" s="179">
        <v>333512.24264771299</v>
      </c>
      <c r="I60" s="179">
        <v>6753.5376437918203</v>
      </c>
      <c r="J60" s="179">
        <v>212806.45547886699</v>
      </c>
      <c r="K60" s="179">
        <v>1509.2029374860599</v>
      </c>
      <c r="L60" s="179">
        <v>107272.341083359</v>
      </c>
      <c r="M60" s="179">
        <v>50196.899746374103</v>
      </c>
      <c r="N60" s="179">
        <v>13425.826139569301</v>
      </c>
      <c r="O60" s="179">
        <v>80663.538563015798</v>
      </c>
      <c r="P60" s="179">
        <v>17176.883836939502</v>
      </c>
      <c r="Q60" s="179">
        <v>1618.43654597776</v>
      </c>
      <c r="R60" s="179"/>
      <c r="S60" s="179">
        <v>218595.566938968</v>
      </c>
      <c r="T60" s="179">
        <v>14390.257983499399</v>
      </c>
      <c r="U60" s="179">
        <v>38056.601984740897</v>
      </c>
    </row>
    <row r="61" spans="1:21" x14ac:dyDescent="0.3">
      <c r="A61" s="156"/>
      <c r="B61" s="156"/>
      <c r="C61" s="179">
        <v>52</v>
      </c>
      <c r="D61" s="179">
        <v>1603.3911537670299</v>
      </c>
      <c r="E61" s="179">
        <v>2481641.4111991902</v>
      </c>
      <c r="F61" s="179">
        <v>552569.06090969604</v>
      </c>
      <c r="G61" s="179">
        <v>541337.94873463095</v>
      </c>
      <c r="H61" s="179">
        <v>333439.87970875303</v>
      </c>
      <c r="I61" s="179">
        <v>6747.9804686430198</v>
      </c>
      <c r="J61" s="179">
        <v>212570.47634396001</v>
      </c>
      <c r="K61" s="179">
        <v>1509.2029374860599</v>
      </c>
      <c r="L61" s="179">
        <v>107158.764271494</v>
      </c>
      <c r="M61" s="179">
        <v>49983.335479585701</v>
      </c>
      <c r="N61" s="179">
        <v>13423.4135757318</v>
      </c>
      <c r="O61" s="179">
        <v>80627.180706440093</v>
      </c>
      <c r="P61" s="179">
        <v>17176.883836939502</v>
      </c>
      <c r="Q61" s="179">
        <v>1618.43654597776</v>
      </c>
      <c r="R61" s="179"/>
      <c r="S61" s="179">
        <v>218498.940096737</v>
      </c>
      <c r="T61" s="179">
        <v>14389.2625757022</v>
      </c>
      <c r="U61" s="179">
        <v>38053.1845903789</v>
      </c>
    </row>
    <row r="62" spans="1:21" x14ac:dyDescent="0.3">
      <c r="A62" s="156"/>
      <c r="B62" s="156"/>
      <c r="C62" s="179">
        <v>53</v>
      </c>
      <c r="D62" s="179">
        <v>1601.9747690184299</v>
      </c>
      <c r="E62" s="179">
        <v>2480601.2225059099</v>
      </c>
      <c r="F62" s="179">
        <v>551834.78635833703</v>
      </c>
      <c r="G62" s="179">
        <v>541060.91681600804</v>
      </c>
      <c r="H62" s="179">
        <v>333436.416788081</v>
      </c>
      <c r="I62" s="179">
        <v>6747.3957185358704</v>
      </c>
      <c r="J62" s="179">
        <v>212518.612713076</v>
      </c>
      <c r="K62" s="179">
        <v>1509.2029374860599</v>
      </c>
      <c r="L62" s="179">
        <v>106995.788293848</v>
      </c>
      <c r="M62" s="179">
        <v>49873.026992588297</v>
      </c>
      <c r="N62" s="179">
        <v>13420.1052076001</v>
      </c>
      <c r="O62" s="179">
        <v>80574.425171548894</v>
      </c>
      <c r="P62" s="179">
        <v>17176.883836939502</v>
      </c>
      <c r="Q62" s="179">
        <v>1618.43654597776</v>
      </c>
      <c r="R62" s="179"/>
      <c r="S62" s="179">
        <v>218435.25815448901</v>
      </c>
      <c r="T62" s="179">
        <v>14386.2556146482</v>
      </c>
      <c r="U62" s="179">
        <v>38045.576819597001</v>
      </c>
    </row>
    <row r="63" spans="1:21" x14ac:dyDescent="0.3">
      <c r="A63" s="156"/>
      <c r="B63" s="156"/>
      <c r="C63" s="179">
        <v>54</v>
      </c>
      <c r="D63" s="179">
        <v>1600.3627478933699</v>
      </c>
      <c r="E63" s="179">
        <v>2478790.9548309199</v>
      </c>
      <c r="F63" s="179">
        <v>551663.39349297795</v>
      </c>
      <c r="G63" s="179">
        <v>540359.75191022595</v>
      </c>
      <c r="H63" s="179">
        <v>333242.41306207201</v>
      </c>
      <c r="I63" s="179">
        <v>6740.4713359822499</v>
      </c>
      <c r="J63" s="179">
        <v>212348.99928034499</v>
      </c>
      <c r="K63" s="179">
        <v>1509.2029374860599</v>
      </c>
      <c r="L63" s="179">
        <v>106933.948130066</v>
      </c>
      <c r="M63" s="179">
        <v>49804.354856691898</v>
      </c>
      <c r="N63" s="179">
        <v>13414.954332908999</v>
      </c>
      <c r="O63" s="179">
        <v>80565.844635968402</v>
      </c>
      <c r="P63" s="179">
        <v>17176.883836939502</v>
      </c>
      <c r="Q63" s="179">
        <v>1618.43654597776</v>
      </c>
      <c r="R63" s="179"/>
      <c r="S63" s="179">
        <v>218433.45727515101</v>
      </c>
      <c r="T63" s="179">
        <v>14376.7577652502</v>
      </c>
      <c r="U63" s="179">
        <v>38038.152123512999</v>
      </c>
    </row>
    <row r="64" spans="1:21" x14ac:dyDescent="0.3">
      <c r="A64" s="156"/>
      <c r="B64" s="156"/>
      <c r="C64" s="179">
        <v>55</v>
      </c>
      <c r="D64" s="179">
        <v>1600.3440283515699</v>
      </c>
      <c r="E64" s="179">
        <v>2478424.7704373202</v>
      </c>
      <c r="F64" s="179">
        <v>551424.15795366606</v>
      </c>
      <c r="G64" s="179">
        <v>540270.43737643096</v>
      </c>
      <c r="H64" s="179">
        <v>332763.28378416499</v>
      </c>
      <c r="I64" s="179">
        <v>6735.1978592647502</v>
      </c>
      <c r="J64" s="179">
        <v>212190.89611395801</v>
      </c>
      <c r="K64" s="179">
        <v>1509.2029374860599</v>
      </c>
      <c r="L64" s="179">
        <v>106878.410273741</v>
      </c>
      <c r="M64" s="179">
        <v>49660.557370652801</v>
      </c>
      <c r="N64" s="179">
        <v>13402.2807380662</v>
      </c>
      <c r="O64" s="179">
        <v>80554.129100436898</v>
      </c>
      <c r="P64" s="179">
        <v>17176.883836939502</v>
      </c>
      <c r="Q64" s="179">
        <v>1618.43654597776</v>
      </c>
      <c r="R64" s="179"/>
      <c r="S64" s="179">
        <v>218328.77226096601</v>
      </c>
      <c r="T64" s="179">
        <v>14376.498544469699</v>
      </c>
      <c r="U64" s="179">
        <v>38034.999170381401</v>
      </c>
    </row>
    <row r="65" spans="1:21" x14ac:dyDescent="0.3">
      <c r="A65" s="156"/>
      <c r="B65" s="156"/>
      <c r="C65" s="179">
        <v>56</v>
      </c>
      <c r="D65" s="179">
        <v>1600.1776324244499</v>
      </c>
      <c r="E65" s="179">
        <v>2477455.6650115601</v>
      </c>
      <c r="F65" s="179">
        <v>551152.09107198205</v>
      </c>
      <c r="G65" s="179">
        <v>540058.02279941097</v>
      </c>
      <c r="H65" s="179">
        <v>332761.61387144402</v>
      </c>
      <c r="I65" s="179">
        <v>6698.1812020798197</v>
      </c>
      <c r="J65" s="179">
        <v>211969.678085138</v>
      </c>
      <c r="K65" s="179">
        <v>1509.2029374860599</v>
      </c>
      <c r="L65" s="179">
        <v>106853.910508733</v>
      </c>
      <c r="M65" s="179">
        <v>49526.902442776598</v>
      </c>
      <c r="N65" s="179">
        <v>13397.068785809601</v>
      </c>
      <c r="O65" s="179">
        <v>80545.395886287501</v>
      </c>
      <c r="P65" s="179">
        <v>17176.883836939502</v>
      </c>
      <c r="Q65" s="179">
        <v>1618.43654597776</v>
      </c>
      <c r="R65" s="179"/>
      <c r="S65" s="179">
        <v>218321.34490550301</v>
      </c>
      <c r="T65" s="179">
        <v>14365.497214544601</v>
      </c>
      <c r="U65" s="179">
        <v>38034.368579755101</v>
      </c>
    </row>
    <row r="66" spans="1:21" x14ac:dyDescent="0.3">
      <c r="A66" s="156"/>
      <c r="B66" s="156"/>
      <c r="C66" s="179">
        <v>57</v>
      </c>
      <c r="D66" s="179">
        <v>1597.17210599077</v>
      </c>
      <c r="E66" s="179">
        <v>2474831.2569748298</v>
      </c>
      <c r="F66" s="179">
        <v>550013.33137087699</v>
      </c>
      <c r="G66" s="179">
        <v>539272.02821066102</v>
      </c>
      <c r="H66" s="179">
        <v>332679.07096307998</v>
      </c>
      <c r="I66" s="179">
        <v>6687.0456811758604</v>
      </c>
      <c r="J66" s="179">
        <v>211968.24967522899</v>
      </c>
      <c r="K66" s="179">
        <v>1509.2029374860599</v>
      </c>
      <c r="L66" s="179">
        <v>106789.67248124399</v>
      </c>
      <c r="M66" s="179">
        <v>49504.489484798498</v>
      </c>
      <c r="N66" s="179">
        <v>13395.266997627101</v>
      </c>
      <c r="O66" s="179">
        <v>80528.021065129898</v>
      </c>
      <c r="P66" s="179">
        <v>17176.883836939502</v>
      </c>
      <c r="Q66" s="179">
        <v>1618.43654597776</v>
      </c>
      <c r="R66" s="179"/>
      <c r="S66" s="179">
        <v>218224.443352865</v>
      </c>
      <c r="T66" s="179">
        <v>14362.749474271201</v>
      </c>
      <c r="U66" s="179">
        <v>38023.780759722998</v>
      </c>
    </row>
    <row r="67" spans="1:21" x14ac:dyDescent="0.3">
      <c r="A67" s="156"/>
      <c r="B67" s="156"/>
      <c r="C67" s="179">
        <v>58</v>
      </c>
      <c r="D67" s="179">
        <v>1595.7785401010999</v>
      </c>
      <c r="E67" s="179">
        <v>2474523.4754751702</v>
      </c>
      <c r="F67" s="179">
        <v>549980.029725192</v>
      </c>
      <c r="G67" s="179">
        <v>538704.97375127196</v>
      </c>
      <c r="H67" s="179">
        <v>332659.88072187902</v>
      </c>
      <c r="I67" s="179">
        <v>6684.5186700726199</v>
      </c>
      <c r="J67" s="179">
        <v>211810.36263769699</v>
      </c>
      <c r="K67" s="179">
        <v>1509.2029374860599</v>
      </c>
      <c r="L67" s="179">
        <v>106745.57465383501</v>
      </c>
      <c r="M67" s="179">
        <v>49365.002825556898</v>
      </c>
      <c r="N67" s="179">
        <v>13376.821572843901</v>
      </c>
      <c r="O67" s="179">
        <v>80527.664815135504</v>
      </c>
      <c r="P67" s="179">
        <v>17176.883836939502</v>
      </c>
      <c r="Q67" s="179">
        <v>1618.43654597776</v>
      </c>
      <c r="R67" s="179"/>
      <c r="S67" s="179">
        <v>218200.797908899</v>
      </c>
      <c r="T67" s="179">
        <v>14362.625048296501</v>
      </c>
      <c r="U67" s="179">
        <v>38019.651408202299</v>
      </c>
    </row>
    <row r="68" spans="1:21" x14ac:dyDescent="0.3">
      <c r="A68" s="156"/>
      <c r="B68" s="156"/>
      <c r="C68" s="179">
        <v>59</v>
      </c>
      <c r="D68" s="179">
        <v>1594.6242693250799</v>
      </c>
      <c r="E68" s="179">
        <v>2468155.8086629598</v>
      </c>
      <c r="F68" s="179">
        <v>549421.17373256898</v>
      </c>
      <c r="G68" s="179">
        <v>538135.11751977401</v>
      </c>
      <c r="H68" s="179">
        <v>332589.01435052702</v>
      </c>
      <c r="I68" s="179">
        <v>6683.7904578816897</v>
      </c>
      <c r="J68" s="179">
        <v>211748.65559751799</v>
      </c>
      <c r="K68" s="179">
        <v>1509.2029374860599</v>
      </c>
      <c r="L68" s="179">
        <v>106662.608651508</v>
      </c>
      <c r="M68" s="179">
        <v>49306.763467888399</v>
      </c>
      <c r="N68" s="179">
        <v>13359.3839278916</v>
      </c>
      <c r="O68" s="179">
        <v>80517.974815286696</v>
      </c>
      <c r="P68" s="179">
        <v>17176.883836939502</v>
      </c>
      <c r="Q68" s="179">
        <v>1618.43654597776</v>
      </c>
      <c r="R68" s="179"/>
      <c r="S68" s="179">
        <v>218033.23473477</v>
      </c>
      <c r="T68" s="179">
        <v>14362.220663878899</v>
      </c>
      <c r="U68" s="179">
        <v>38017.9427110213</v>
      </c>
    </row>
    <row r="69" spans="1:21" x14ac:dyDescent="0.3">
      <c r="A69" s="156"/>
      <c r="B69" s="156"/>
      <c r="C69" s="179">
        <v>60</v>
      </c>
      <c r="D69" s="179">
        <v>1590.8884384369801</v>
      </c>
      <c r="E69" s="179">
        <v>2463349.04916718</v>
      </c>
      <c r="F69" s="179">
        <v>549207.30492044101</v>
      </c>
      <c r="G69" s="179">
        <v>537899.13532270701</v>
      </c>
      <c r="H69" s="179">
        <v>332436.88538531901</v>
      </c>
      <c r="I69" s="179">
        <v>6683.3836762974297</v>
      </c>
      <c r="J69" s="179">
        <v>211637.546635284</v>
      </c>
      <c r="K69" s="179">
        <v>1508.58109861606</v>
      </c>
      <c r="L69" s="179">
        <v>106655.50253420501</v>
      </c>
      <c r="M69" s="179">
        <v>49156.372714989899</v>
      </c>
      <c r="N69" s="179">
        <v>13358.0504010446</v>
      </c>
      <c r="O69" s="179">
        <v>80488.314458606503</v>
      </c>
      <c r="P69" s="179">
        <v>17176.883836939502</v>
      </c>
      <c r="Q69" s="179">
        <v>1618.43654597776</v>
      </c>
      <c r="R69" s="179"/>
      <c r="S69" s="179">
        <v>217984.67203939601</v>
      </c>
      <c r="T69" s="179">
        <v>14362.1169755667</v>
      </c>
      <c r="U69" s="179">
        <v>38006.5412256649</v>
      </c>
    </row>
    <row r="70" spans="1:21" x14ac:dyDescent="0.3">
      <c r="A70" s="156"/>
      <c r="B70" s="156"/>
      <c r="C70" s="179">
        <v>61</v>
      </c>
      <c r="D70" s="179">
        <v>1589.30989843416</v>
      </c>
      <c r="E70" s="179">
        <v>2462163.2511117002</v>
      </c>
      <c r="F70" s="179">
        <v>548934.12908106402</v>
      </c>
      <c r="G70" s="179">
        <v>537775.29239358497</v>
      </c>
      <c r="H70" s="179">
        <v>332383.80303339002</v>
      </c>
      <c r="I70" s="179">
        <v>6681.8438031627702</v>
      </c>
      <c r="J70" s="179">
        <v>211524.66477328699</v>
      </c>
      <c r="K70" s="179">
        <v>1508.58109861606</v>
      </c>
      <c r="L70" s="179">
        <v>106558.368068696</v>
      </c>
      <c r="M70" s="179">
        <v>48878.3266701955</v>
      </c>
      <c r="N70" s="179">
        <v>13331.725970310999</v>
      </c>
      <c r="O70" s="179">
        <v>80454.277316280393</v>
      </c>
      <c r="P70" s="179">
        <v>17176.883836939502</v>
      </c>
      <c r="Q70" s="179">
        <v>1618.43654597776</v>
      </c>
      <c r="R70" s="179"/>
      <c r="S70" s="179">
        <v>217972.80861957499</v>
      </c>
      <c r="T70" s="179">
        <v>14360.115791141199</v>
      </c>
      <c r="U70" s="179">
        <v>37997.072195453598</v>
      </c>
    </row>
    <row r="71" spans="1:21" x14ac:dyDescent="0.3">
      <c r="A71" s="156"/>
      <c r="B71" s="156"/>
      <c r="C71" s="179">
        <v>62</v>
      </c>
      <c r="D71" s="179">
        <v>1587.1987501087699</v>
      </c>
      <c r="E71" s="179">
        <v>2459447.0964208199</v>
      </c>
      <c r="F71" s="179">
        <v>548883.56607812305</v>
      </c>
      <c r="G71" s="179">
        <v>537674.59103878797</v>
      </c>
      <c r="H71" s="179">
        <v>332309.77307128703</v>
      </c>
      <c r="I71" s="179">
        <v>6679.5480446577603</v>
      </c>
      <c r="J71" s="179">
        <v>211396.54265737801</v>
      </c>
      <c r="K71" s="179">
        <v>1508.58109861606</v>
      </c>
      <c r="L71" s="179">
        <v>106419.88963714401</v>
      </c>
      <c r="M71" s="179">
        <v>48819.1708213042</v>
      </c>
      <c r="N71" s="179">
        <v>13315.7847257135</v>
      </c>
      <c r="O71" s="179">
        <v>80452.546959164494</v>
      </c>
      <c r="P71" s="179">
        <v>17176.883836939502</v>
      </c>
      <c r="Q71" s="179">
        <v>1618.43654597776</v>
      </c>
      <c r="R71" s="179"/>
      <c r="S71" s="179">
        <v>217950.04835358899</v>
      </c>
      <c r="T71" s="179">
        <v>14359.151489837601</v>
      </c>
      <c r="U71" s="179">
        <v>37977.971401966301</v>
      </c>
    </row>
    <row r="72" spans="1:21" x14ac:dyDescent="0.3">
      <c r="A72" s="156"/>
      <c r="B72" s="156"/>
      <c r="C72" s="179">
        <v>63</v>
      </c>
      <c r="D72" s="179">
        <v>1585.29478894507</v>
      </c>
      <c r="E72" s="179">
        <v>2455886.6714530401</v>
      </c>
      <c r="F72" s="179">
        <v>548850.41522819002</v>
      </c>
      <c r="G72" s="179">
        <v>537628.11608862504</v>
      </c>
      <c r="H72" s="179">
        <v>332076.664932649</v>
      </c>
      <c r="I72" s="179">
        <v>6676.3546813200301</v>
      </c>
      <c r="J72" s="179">
        <v>211362.798381951</v>
      </c>
      <c r="K72" s="179">
        <v>1508.58109861606</v>
      </c>
      <c r="L72" s="179">
        <v>106350.28813637501</v>
      </c>
      <c r="M72" s="179">
        <v>48787.098316936601</v>
      </c>
      <c r="N72" s="179">
        <v>13302.999155334001</v>
      </c>
      <c r="O72" s="179">
        <v>80447.651066383798</v>
      </c>
      <c r="P72" s="179">
        <v>17176.883836939502</v>
      </c>
      <c r="Q72" s="179">
        <v>1618.43654597776</v>
      </c>
      <c r="R72" s="179"/>
      <c r="S72" s="179">
        <v>217858.01019260901</v>
      </c>
      <c r="T72" s="179">
        <v>14355.076539168</v>
      </c>
      <c r="U72" s="179">
        <v>37970.678926497501</v>
      </c>
    </row>
    <row r="73" spans="1:21" x14ac:dyDescent="0.3">
      <c r="A73" s="156"/>
      <c r="B73" s="156"/>
      <c r="C73" s="179">
        <v>64</v>
      </c>
      <c r="D73" s="179">
        <v>1584.5260155293399</v>
      </c>
      <c r="E73" s="179">
        <v>2451580.8603768898</v>
      </c>
      <c r="F73" s="179">
        <v>548361.75954439503</v>
      </c>
      <c r="G73" s="179">
        <v>537111.40347716701</v>
      </c>
      <c r="H73" s="179">
        <v>331997.77893337299</v>
      </c>
      <c r="I73" s="179">
        <v>6673.6703700665903</v>
      </c>
      <c r="J73" s="179">
        <v>211344.94620309299</v>
      </c>
      <c r="K73" s="179">
        <v>1508.58109861606</v>
      </c>
      <c r="L73" s="179">
        <v>106265.125197348</v>
      </c>
      <c r="M73" s="179">
        <v>48734.246976912102</v>
      </c>
      <c r="N73" s="179">
        <v>13292.2698629932</v>
      </c>
      <c r="O73" s="179">
        <v>80412.107495509699</v>
      </c>
      <c r="P73" s="179">
        <v>17176.883836939502</v>
      </c>
      <c r="Q73" s="179">
        <v>1618.43654597776</v>
      </c>
      <c r="R73" s="179"/>
      <c r="S73" s="179">
        <v>217820.028935154</v>
      </c>
      <c r="T73" s="179">
        <v>14354.5995729318</v>
      </c>
      <c r="U73" s="179">
        <v>37967.912464394904</v>
      </c>
    </row>
    <row r="74" spans="1:21" x14ac:dyDescent="0.3">
      <c r="A74" s="156"/>
      <c r="B74" s="156"/>
      <c r="C74" s="179">
        <v>65</v>
      </c>
      <c r="D74" s="179">
        <v>1583.15324913057</v>
      </c>
      <c r="E74" s="179">
        <v>2451418.2291144901</v>
      </c>
      <c r="F74" s="179">
        <v>548109.75567562995</v>
      </c>
      <c r="G74" s="179">
        <v>537091.28231905797</v>
      </c>
      <c r="H74" s="179">
        <v>331922.83309730201</v>
      </c>
      <c r="I74" s="179">
        <v>6662.7315352773903</v>
      </c>
      <c r="J74" s="179">
        <v>211207.559765207</v>
      </c>
      <c r="K74" s="179">
        <v>1508.58109861606</v>
      </c>
      <c r="L74" s="179">
        <v>106248.832640632</v>
      </c>
      <c r="M74" s="179">
        <v>48697.398027000498</v>
      </c>
      <c r="N74" s="179">
        <v>13288.493233526</v>
      </c>
      <c r="O74" s="179">
        <v>80401.918745668605</v>
      </c>
      <c r="P74" s="179">
        <v>17176.883836939502</v>
      </c>
      <c r="Q74" s="179">
        <v>1618.43654597776</v>
      </c>
      <c r="R74" s="179"/>
      <c r="S74" s="179">
        <v>217818.055090004</v>
      </c>
      <c r="T74" s="179">
        <v>14351.3541287598</v>
      </c>
      <c r="U74" s="179">
        <v>37956.073633926702</v>
      </c>
    </row>
    <row r="75" spans="1:21" x14ac:dyDescent="0.3">
      <c r="A75" s="156"/>
      <c r="B75" s="156"/>
      <c r="C75" s="179">
        <v>66</v>
      </c>
      <c r="D75" s="179">
        <v>1578.33806602102</v>
      </c>
      <c r="E75" s="179">
        <v>2445789.3193425299</v>
      </c>
      <c r="F75" s="179">
        <v>547930.00564791902</v>
      </c>
      <c r="G75" s="179">
        <v>537042.56015224801</v>
      </c>
      <c r="H75" s="179">
        <v>331830.83183810202</v>
      </c>
      <c r="I75" s="179">
        <v>6661.2096357383498</v>
      </c>
      <c r="J75" s="179">
        <v>211101.95544358101</v>
      </c>
      <c r="K75" s="179">
        <v>1508.58109861606</v>
      </c>
      <c r="L75" s="179">
        <v>106239.69808402999</v>
      </c>
      <c r="M75" s="179">
        <v>48657.634974690503</v>
      </c>
      <c r="N75" s="179">
        <v>13284.5130121738</v>
      </c>
      <c r="O75" s="179">
        <v>80348.460889359805</v>
      </c>
      <c r="P75" s="179">
        <v>17176.883836939502</v>
      </c>
      <c r="Q75" s="179">
        <v>1618.43654597776</v>
      </c>
      <c r="R75" s="179"/>
      <c r="S75" s="179">
        <v>217779.972087954</v>
      </c>
      <c r="T75" s="179">
        <v>14348.813765110701</v>
      </c>
      <c r="U75" s="179">
        <v>37945.333251646298</v>
      </c>
    </row>
    <row r="76" spans="1:21" x14ac:dyDescent="0.3">
      <c r="A76" s="156"/>
      <c r="B76" s="156"/>
      <c r="C76" s="179">
        <v>67</v>
      </c>
      <c r="D76" s="179">
        <v>1575.9046265552299</v>
      </c>
      <c r="E76" s="179">
        <v>2443258.8669571802</v>
      </c>
      <c r="F76" s="179">
        <v>547603.95884005795</v>
      </c>
      <c r="G76" s="179">
        <v>537032.29020756495</v>
      </c>
      <c r="H76" s="179">
        <v>331651.16733403399</v>
      </c>
      <c r="I76" s="179">
        <v>6660.5434791243197</v>
      </c>
      <c r="J76" s="179">
        <v>211097.71652359</v>
      </c>
      <c r="K76" s="179">
        <v>1508.58109861606</v>
      </c>
      <c r="L76" s="179">
        <v>106206.556121067</v>
      </c>
      <c r="M76" s="179">
        <v>48490.269247377102</v>
      </c>
      <c r="N76" s="179">
        <v>13279.3315986999</v>
      </c>
      <c r="O76" s="179">
        <v>80317.884461265407</v>
      </c>
      <c r="P76" s="179">
        <v>17176.883836939502</v>
      </c>
      <c r="Q76" s="179">
        <v>1618.43654597776</v>
      </c>
      <c r="R76" s="179"/>
      <c r="S76" s="179">
        <v>217757.92403413501</v>
      </c>
      <c r="T76" s="179">
        <v>14344.9047157406</v>
      </c>
      <c r="U76" s="179">
        <v>37945.1501769483</v>
      </c>
    </row>
    <row r="77" spans="1:21" x14ac:dyDescent="0.3">
      <c r="A77" s="156"/>
      <c r="B77" s="156"/>
      <c r="C77" s="179">
        <v>68</v>
      </c>
      <c r="D77" s="179">
        <v>1572.9614985942201</v>
      </c>
      <c r="E77" s="179">
        <v>2442315.3948883899</v>
      </c>
      <c r="F77" s="179">
        <v>547547.95361128706</v>
      </c>
      <c r="G77" s="179">
        <v>536763.65733940795</v>
      </c>
      <c r="H77" s="179">
        <v>331487.46422694699</v>
      </c>
      <c r="I77" s="179">
        <v>6659.16238679453</v>
      </c>
      <c r="J77" s="179">
        <v>211092.76431350401</v>
      </c>
      <c r="K77" s="179">
        <v>1508.58109861606</v>
      </c>
      <c r="L77" s="179">
        <v>106179.784656738</v>
      </c>
      <c r="M77" s="179">
        <v>48451.116873656902</v>
      </c>
      <c r="N77" s="179">
        <v>13253.2921966052</v>
      </c>
      <c r="O77" s="179">
        <v>80295.359283045298</v>
      </c>
      <c r="P77" s="179">
        <v>17176.883836939502</v>
      </c>
      <c r="Q77" s="179">
        <v>1618.43654597776</v>
      </c>
      <c r="R77" s="179"/>
      <c r="S77" s="179">
        <v>217757.75106832301</v>
      </c>
      <c r="T77" s="179">
        <v>14343.8159884624</v>
      </c>
      <c r="U77" s="179">
        <v>37941.112362776599</v>
      </c>
    </row>
    <row r="78" spans="1:21" x14ac:dyDescent="0.3">
      <c r="A78" s="156"/>
      <c r="B78" s="156"/>
      <c r="C78" s="179">
        <v>69</v>
      </c>
      <c r="D78" s="179">
        <v>1571.8054103869599</v>
      </c>
      <c r="E78" s="179">
        <v>2441262.70209273</v>
      </c>
      <c r="F78" s="179">
        <v>547500.96834204101</v>
      </c>
      <c r="G78" s="179">
        <v>536685.34596680605</v>
      </c>
      <c r="H78" s="179">
        <v>331227.25011936203</v>
      </c>
      <c r="I78" s="179">
        <v>6656.92512821939</v>
      </c>
      <c r="J78" s="179">
        <v>211092.240823837</v>
      </c>
      <c r="K78" s="179">
        <v>1508.58109861606</v>
      </c>
      <c r="L78" s="179">
        <v>106001.93631091699</v>
      </c>
      <c r="M78" s="179">
        <v>48382.785386922202</v>
      </c>
      <c r="N78" s="179">
        <v>13224.921667427099</v>
      </c>
      <c r="O78" s="179">
        <v>80294.616247342696</v>
      </c>
      <c r="P78" s="179">
        <v>17176.883836939502</v>
      </c>
      <c r="Q78" s="179">
        <v>1618.43654597776</v>
      </c>
      <c r="R78" s="179"/>
      <c r="S78" s="179">
        <v>217749.30626690699</v>
      </c>
      <c r="T78" s="179">
        <v>14339.8447261049</v>
      </c>
      <c r="U78" s="179">
        <v>37923.689754020597</v>
      </c>
    </row>
    <row r="79" spans="1:21" x14ac:dyDescent="0.3">
      <c r="A79" s="156"/>
      <c r="B79" s="156"/>
      <c r="C79" s="179">
        <v>70</v>
      </c>
      <c r="D79" s="179">
        <v>1571.3516179993001</v>
      </c>
      <c r="E79" s="179">
        <v>2437758.4519225298</v>
      </c>
      <c r="F79" s="179">
        <v>546892.75899032794</v>
      </c>
      <c r="G79" s="179">
        <v>536457.67812067003</v>
      </c>
      <c r="H79" s="179">
        <v>330961.14691130299</v>
      </c>
      <c r="I79" s="179">
        <v>6654.9948920059996</v>
      </c>
      <c r="J79" s="179">
        <v>210931.25099783999</v>
      </c>
      <c r="K79" s="179">
        <v>1508.58109861606</v>
      </c>
      <c r="L79" s="179">
        <v>105884.787892687</v>
      </c>
      <c r="M79" s="179">
        <v>48289.075322642399</v>
      </c>
      <c r="N79" s="179">
        <v>13202.8421274961</v>
      </c>
      <c r="O79" s="179">
        <v>80279.877676143995</v>
      </c>
      <c r="P79" s="179">
        <v>17176.883836939502</v>
      </c>
      <c r="Q79" s="179">
        <v>1618.43654597776</v>
      </c>
      <c r="R79" s="179"/>
      <c r="S79" s="179">
        <v>217706.888945093</v>
      </c>
      <c r="T79" s="179">
        <v>14339.4092351937</v>
      </c>
      <c r="U79" s="179">
        <v>37919.885868629601</v>
      </c>
    </row>
    <row r="80" spans="1:21" x14ac:dyDescent="0.3">
      <c r="A80" s="156"/>
      <c r="B80" s="156"/>
      <c r="C80" s="179">
        <v>71</v>
      </c>
      <c r="D80" s="179">
        <v>1567.4163543228201</v>
      </c>
      <c r="E80" s="179">
        <v>2436697.7685803999</v>
      </c>
      <c r="F80" s="179">
        <v>546604.61324022</v>
      </c>
      <c r="G80" s="179">
        <v>536262.30511735799</v>
      </c>
      <c r="H80" s="179">
        <v>330955.90382644202</v>
      </c>
      <c r="I80" s="179">
        <v>6647.6862510863002</v>
      </c>
      <c r="J80" s="179">
        <v>210839.949018168</v>
      </c>
      <c r="K80" s="179">
        <v>1508.58109861606</v>
      </c>
      <c r="L80" s="179">
        <v>105786.86019167201</v>
      </c>
      <c r="M80" s="179">
        <v>48088.398599820597</v>
      </c>
      <c r="N80" s="179">
        <v>13184.915862019699</v>
      </c>
      <c r="O80" s="179">
        <v>80276.478033339896</v>
      </c>
      <c r="P80" s="179">
        <v>17176.883836939502</v>
      </c>
      <c r="Q80" s="179">
        <v>1618.43654597776</v>
      </c>
      <c r="R80" s="179"/>
      <c r="S80" s="179">
        <v>217607.24028838001</v>
      </c>
      <c r="T80" s="179">
        <v>14334.712154650701</v>
      </c>
      <c r="U80" s="179">
        <v>37915.797200375098</v>
      </c>
    </row>
    <row r="81" spans="1:21" x14ac:dyDescent="0.3">
      <c r="A81" s="156"/>
      <c r="B81" s="156"/>
      <c r="C81" s="179">
        <v>72</v>
      </c>
      <c r="D81" s="179">
        <v>1565.12425042668</v>
      </c>
      <c r="E81" s="179">
        <v>2435104.25208792</v>
      </c>
      <c r="F81" s="179">
        <v>546180.51736387296</v>
      </c>
      <c r="G81" s="179">
        <v>536222.50270887394</v>
      </c>
      <c r="H81" s="179">
        <v>330874.49729074998</v>
      </c>
      <c r="I81" s="179">
        <v>6635.0494352153801</v>
      </c>
      <c r="J81" s="179">
        <v>210564.89926643801</v>
      </c>
      <c r="K81" s="179">
        <v>1508.58109861606</v>
      </c>
      <c r="L81" s="179">
        <v>105786.208642659</v>
      </c>
      <c r="M81" s="179">
        <v>48030.486928161699</v>
      </c>
      <c r="N81" s="179">
        <v>13168.811743914301</v>
      </c>
      <c r="O81" s="179">
        <v>80258.838569329397</v>
      </c>
      <c r="P81" s="179">
        <v>17176.883836939502</v>
      </c>
      <c r="Q81" s="179">
        <v>1618.43654597776</v>
      </c>
      <c r="R81" s="179"/>
      <c r="S81" s="179">
        <v>217559.84765585201</v>
      </c>
      <c r="T81" s="179">
        <v>14326.3652455182</v>
      </c>
      <c r="U81" s="179">
        <v>37911.535628239202</v>
      </c>
    </row>
    <row r="82" spans="1:21" x14ac:dyDescent="0.3">
      <c r="A82" s="156"/>
      <c r="B82" s="156"/>
      <c r="C82" s="179">
        <v>73</v>
      </c>
      <c r="D82" s="179">
        <v>1561.56337758623</v>
      </c>
      <c r="E82" s="179">
        <v>2434858.2576452801</v>
      </c>
      <c r="F82" s="179">
        <v>546031.73157258995</v>
      </c>
      <c r="G82" s="179">
        <v>535918.90715552506</v>
      </c>
      <c r="H82" s="179">
        <v>330745.85965096601</v>
      </c>
      <c r="I82" s="179">
        <v>6633.5245198483499</v>
      </c>
      <c r="J82" s="179">
        <v>210448.86641556601</v>
      </c>
      <c r="K82" s="179">
        <v>1508.58109861606</v>
      </c>
      <c r="L82" s="179">
        <v>105737.618141121</v>
      </c>
      <c r="M82" s="179">
        <v>47915.723146911201</v>
      </c>
      <c r="N82" s="179">
        <v>13164.006975427699</v>
      </c>
      <c r="O82" s="179">
        <v>80239.784283912406</v>
      </c>
      <c r="P82" s="179">
        <v>17176.883836939502</v>
      </c>
      <c r="Q82" s="179">
        <v>1618.43654597776</v>
      </c>
      <c r="R82" s="179"/>
      <c r="S82" s="179">
        <v>217548.55400576501</v>
      </c>
      <c r="T82" s="179">
        <v>14325.2557805776</v>
      </c>
      <c r="U82" s="179">
        <v>37899.951068184899</v>
      </c>
    </row>
    <row r="83" spans="1:21" x14ac:dyDescent="0.3">
      <c r="A83" s="156"/>
      <c r="B83" s="156"/>
      <c r="C83" s="179">
        <v>74</v>
      </c>
      <c r="D83" s="179">
        <v>1560.7291766457599</v>
      </c>
      <c r="E83" s="179">
        <v>2433861.5766848102</v>
      </c>
      <c r="F83" s="179">
        <v>546006.35328915506</v>
      </c>
      <c r="G83" s="179">
        <v>535860.68830579799</v>
      </c>
      <c r="H83" s="179">
        <v>330723.05662048102</v>
      </c>
      <c r="I83" s="179">
        <v>6631.3158678731797</v>
      </c>
      <c r="J83" s="179">
        <v>210430.24358029</v>
      </c>
      <c r="K83" s="179">
        <v>1508.58109861606</v>
      </c>
      <c r="L83" s="179">
        <v>105731.138168951</v>
      </c>
      <c r="M83" s="179">
        <v>47746.000040833504</v>
      </c>
      <c r="N83" s="179">
        <v>13163.3554813956</v>
      </c>
      <c r="O83" s="179">
        <v>80239.509462488102</v>
      </c>
      <c r="P83" s="179">
        <v>17176.883836939502</v>
      </c>
      <c r="Q83" s="179">
        <v>1618.43654597776</v>
      </c>
      <c r="R83" s="179"/>
      <c r="S83" s="179">
        <v>217506.64540692899</v>
      </c>
      <c r="T83" s="179">
        <v>14322.9435312154</v>
      </c>
      <c r="U83" s="179">
        <v>37891.560144528303</v>
      </c>
    </row>
    <row r="84" spans="1:21" x14ac:dyDescent="0.3">
      <c r="A84" s="156"/>
      <c r="B84" s="156"/>
      <c r="C84" s="179">
        <v>75</v>
      </c>
      <c r="D84" s="179">
        <v>1557.21547624289</v>
      </c>
      <c r="E84" s="179">
        <v>2433771.55552185</v>
      </c>
      <c r="F84" s="179">
        <v>545394.24316062196</v>
      </c>
      <c r="G84" s="179">
        <v>535760.12174496299</v>
      </c>
      <c r="H84" s="179">
        <v>330700.75415040902</v>
      </c>
      <c r="I84" s="179">
        <v>6630.69404883681</v>
      </c>
      <c r="J84" s="179">
        <v>210236.20495101399</v>
      </c>
      <c r="K84" s="179">
        <v>1508.58109861606</v>
      </c>
      <c r="L84" s="179">
        <v>105729.132601274</v>
      </c>
      <c r="M84" s="179">
        <v>47624.058399597699</v>
      </c>
      <c r="N84" s="179">
        <v>13147.8417797568</v>
      </c>
      <c r="O84" s="179">
        <v>80218.226069962999</v>
      </c>
      <c r="P84" s="179">
        <v>17176.883836939502</v>
      </c>
      <c r="Q84" s="179">
        <v>1618.43654597776</v>
      </c>
      <c r="R84" s="179"/>
      <c r="S84" s="179">
        <v>217439.06664667901</v>
      </c>
      <c r="T84" s="179">
        <v>14320.175053279499</v>
      </c>
      <c r="U84" s="179">
        <v>37882.538630245399</v>
      </c>
    </row>
    <row r="85" spans="1:21" x14ac:dyDescent="0.3">
      <c r="A85" s="156"/>
      <c r="B85" s="156"/>
      <c r="C85" s="179">
        <v>76</v>
      </c>
      <c r="D85" s="179">
        <v>1557.00412918303</v>
      </c>
      <c r="E85" s="179">
        <v>2432738.9213336301</v>
      </c>
      <c r="F85" s="179">
        <v>545055.83159289602</v>
      </c>
      <c r="G85" s="179">
        <v>535601.21163336304</v>
      </c>
      <c r="H85" s="179">
        <v>330551.222144217</v>
      </c>
      <c r="I85" s="179">
        <v>6629.1365226919397</v>
      </c>
      <c r="J85" s="179">
        <v>210223.82528224101</v>
      </c>
      <c r="K85" s="179">
        <v>1508.58109861606</v>
      </c>
      <c r="L85" s="179">
        <v>105704.13954606401</v>
      </c>
      <c r="M85" s="179">
        <v>47516.732231917398</v>
      </c>
      <c r="N85" s="179">
        <v>13139.1484062662</v>
      </c>
      <c r="O85" s="179">
        <v>80208.912677251094</v>
      </c>
      <c r="P85" s="179">
        <v>17176.883836939502</v>
      </c>
      <c r="Q85" s="179">
        <v>1618.43654597776</v>
      </c>
      <c r="R85" s="179"/>
      <c r="S85" s="179">
        <v>217325.570550534</v>
      </c>
      <c r="T85" s="179">
        <v>14317.126616900699</v>
      </c>
      <c r="U85" s="179">
        <v>37877.768517281802</v>
      </c>
    </row>
    <row r="86" spans="1:21" x14ac:dyDescent="0.3">
      <c r="A86" s="156"/>
      <c r="B86" s="156"/>
      <c r="C86" s="179">
        <v>77</v>
      </c>
      <c r="D86" s="179">
        <v>1556.7462154959901</v>
      </c>
      <c r="E86" s="179">
        <v>2432411.9952444402</v>
      </c>
      <c r="F86" s="179">
        <v>544811.96906152298</v>
      </c>
      <c r="G86" s="179">
        <v>535575.72472365596</v>
      </c>
      <c r="H86" s="179">
        <v>330516.57753870898</v>
      </c>
      <c r="I86" s="179">
        <v>6622.9363697295603</v>
      </c>
      <c r="J86" s="179">
        <v>210160.292237266</v>
      </c>
      <c r="K86" s="179">
        <v>1508.58109861606</v>
      </c>
      <c r="L86" s="179">
        <v>105577.57900787699</v>
      </c>
      <c r="M86" s="179">
        <v>47319.002729757703</v>
      </c>
      <c r="N86" s="179">
        <v>13125.8843949569</v>
      </c>
      <c r="O86" s="179">
        <v>80192.688034647101</v>
      </c>
      <c r="P86" s="179">
        <v>17176.883836939502</v>
      </c>
      <c r="Q86" s="179">
        <v>1618.43654597776</v>
      </c>
      <c r="R86" s="179"/>
      <c r="S86" s="179">
        <v>217286.89742982999</v>
      </c>
      <c r="T86" s="179">
        <v>14315.395022086799</v>
      </c>
      <c r="U86" s="179">
        <v>37873.242503915499</v>
      </c>
    </row>
    <row r="87" spans="1:21" x14ac:dyDescent="0.3">
      <c r="A87" s="156"/>
      <c r="B87" s="156"/>
      <c r="C87" s="179">
        <v>78</v>
      </c>
      <c r="D87" s="179">
        <v>1554.9436871893199</v>
      </c>
      <c r="E87" s="179">
        <v>2429242.3323859498</v>
      </c>
      <c r="F87" s="179">
        <v>544781.24760511704</v>
      </c>
      <c r="G87" s="179">
        <v>535359.55202087399</v>
      </c>
      <c r="H87" s="179">
        <v>330514.05578649399</v>
      </c>
      <c r="I87" s="179">
        <v>6608.4147994654504</v>
      </c>
      <c r="J87" s="179">
        <v>209966.74756523699</v>
      </c>
      <c r="K87" s="179">
        <v>1508.58109861606</v>
      </c>
      <c r="L87" s="179">
        <v>105501.028224241</v>
      </c>
      <c r="M87" s="179">
        <v>47200.418379959003</v>
      </c>
      <c r="N87" s="179">
        <v>13095.559383682399</v>
      </c>
      <c r="O87" s="179">
        <v>80146.955713931995</v>
      </c>
      <c r="P87" s="179">
        <v>17176.883836939502</v>
      </c>
      <c r="Q87" s="179">
        <v>1618.43654597776</v>
      </c>
      <c r="R87" s="179"/>
      <c r="S87" s="179">
        <v>217208.49304463199</v>
      </c>
      <c r="T87" s="179">
        <v>14313.6530584418</v>
      </c>
      <c r="U87" s="179">
        <v>37862.105459789498</v>
      </c>
    </row>
    <row r="88" spans="1:21" x14ac:dyDescent="0.3">
      <c r="A88" s="156"/>
      <c r="B88" s="156"/>
      <c r="C88" s="179">
        <v>79</v>
      </c>
      <c r="D88" s="179">
        <v>1554.8784212140199</v>
      </c>
      <c r="E88" s="179">
        <v>2427342.22768238</v>
      </c>
      <c r="F88" s="179">
        <v>544729.59373284201</v>
      </c>
      <c r="G88" s="179">
        <v>534704.68601506902</v>
      </c>
      <c r="H88" s="179">
        <v>330414.44274317502</v>
      </c>
      <c r="I88" s="179">
        <v>6599.2083320296297</v>
      </c>
      <c r="J88" s="179">
        <v>209892.51647130799</v>
      </c>
      <c r="K88" s="179">
        <v>1507.9592597460601</v>
      </c>
      <c r="L88" s="179">
        <v>105471.976485074</v>
      </c>
      <c r="M88" s="179">
        <v>47145.136374439302</v>
      </c>
      <c r="N88" s="179">
        <v>13094.561783445801</v>
      </c>
      <c r="O88" s="179">
        <v>80119.534642931205</v>
      </c>
      <c r="P88" s="179">
        <v>17176.883836939502</v>
      </c>
      <c r="Q88" s="179">
        <v>1618.43654597776</v>
      </c>
      <c r="R88" s="179"/>
      <c r="S88" s="179">
        <v>217159.79808128401</v>
      </c>
      <c r="T88" s="179">
        <v>14311.8177753157</v>
      </c>
      <c r="U88" s="179">
        <v>37858.281232765403</v>
      </c>
    </row>
    <row r="89" spans="1:21" x14ac:dyDescent="0.3">
      <c r="A89" s="156"/>
      <c r="B89" s="156"/>
      <c r="C89" s="179">
        <v>80</v>
      </c>
      <c r="D89" s="179">
        <v>1553.94410000575</v>
      </c>
      <c r="E89" s="179">
        <v>2425069.10697765</v>
      </c>
      <c r="F89" s="179">
        <v>544627.13169354002</v>
      </c>
      <c r="G89" s="179">
        <v>534535.91295896296</v>
      </c>
      <c r="H89" s="179">
        <v>330234.98768250301</v>
      </c>
      <c r="I89" s="179">
        <v>6596.5907050627502</v>
      </c>
      <c r="J89" s="179">
        <v>209880.240956258</v>
      </c>
      <c r="K89" s="179">
        <v>1507.9592597460601</v>
      </c>
      <c r="L89" s="179">
        <v>105465.048293196</v>
      </c>
      <c r="M89" s="179">
        <v>47121.461289444203</v>
      </c>
      <c r="N89" s="179">
        <v>13088.0366635308</v>
      </c>
      <c r="O89" s="179">
        <v>80111.055893063502</v>
      </c>
      <c r="P89" s="179">
        <v>17176.883836939502</v>
      </c>
      <c r="Q89" s="179">
        <v>1618.43654597776</v>
      </c>
      <c r="R89" s="179"/>
      <c r="S89" s="179">
        <v>217157.06115166799</v>
      </c>
      <c r="T89" s="179">
        <v>14299.084850576901</v>
      </c>
      <c r="U89" s="179">
        <v>37839.119414378802</v>
      </c>
    </row>
    <row r="90" spans="1:21" x14ac:dyDescent="0.3">
      <c r="A90" s="156"/>
      <c r="B90" s="156"/>
      <c r="C90" s="179">
        <v>81</v>
      </c>
      <c r="D90" s="179">
        <v>1553.0938248956199</v>
      </c>
      <c r="E90" s="179">
        <v>2421137.0359606799</v>
      </c>
      <c r="F90" s="179">
        <v>544419.52501157799</v>
      </c>
      <c r="G90" s="179">
        <v>534468.513776529</v>
      </c>
      <c r="H90" s="179">
        <v>330116.02666446398</v>
      </c>
      <c r="I90" s="179">
        <v>6588.7115456134097</v>
      </c>
      <c r="J90" s="179">
        <v>209622.946477461</v>
      </c>
      <c r="K90" s="179">
        <v>1507.9592597460601</v>
      </c>
      <c r="L90" s="179">
        <v>105410.838333448</v>
      </c>
      <c r="M90" s="179">
        <v>46982.661273996098</v>
      </c>
      <c r="N90" s="179">
        <v>13083.2115358557</v>
      </c>
      <c r="O90" s="179">
        <v>80102.862143191305</v>
      </c>
      <c r="P90" s="179">
        <v>17176.883836939502</v>
      </c>
      <c r="Q90" s="179">
        <v>1618.43654597776</v>
      </c>
      <c r="R90" s="179"/>
      <c r="S90" s="179">
        <v>217142.186091824</v>
      </c>
      <c r="T90" s="179">
        <v>14296.4719051093</v>
      </c>
      <c r="U90" s="179">
        <v>37838.682069267001</v>
      </c>
    </row>
    <row r="91" spans="1:21" x14ac:dyDescent="0.3">
      <c r="A91" s="156"/>
      <c r="B91" s="156"/>
      <c r="C91" s="179">
        <v>82</v>
      </c>
      <c r="D91" s="179">
        <v>1553.0252875440799</v>
      </c>
      <c r="E91" s="179">
        <v>2419639.24907562</v>
      </c>
      <c r="F91" s="179">
        <v>544170.12060022401</v>
      </c>
      <c r="G91" s="179">
        <v>534323.29898558499</v>
      </c>
      <c r="H91" s="179">
        <v>329707.76701800199</v>
      </c>
      <c r="I91" s="179">
        <v>6572.7431863588199</v>
      </c>
      <c r="J91" s="179">
        <v>209552.31732772</v>
      </c>
      <c r="K91" s="179">
        <v>1507.9592597460601</v>
      </c>
      <c r="L91" s="179">
        <v>105270.38024461101</v>
      </c>
      <c r="M91" s="179">
        <v>46914.0634591989</v>
      </c>
      <c r="N91" s="179">
        <v>13039.744668403</v>
      </c>
      <c r="O91" s="179">
        <v>80097.844107555298</v>
      </c>
      <c r="P91" s="179">
        <v>17176.883836939502</v>
      </c>
      <c r="Q91" s="179">
        <v>1618.43654597776</v>
      </c>
      <c r="R91" s="179"/>
      <c r="S91" s="179">
        <v>217130.72965038399</v>
      </c>
      <c r="T91" s="179">
        <v>14294.823260945201</v>
      </c>
      <c r="U91" s="179">
        <v>37836.129194312001</v>
      </c>
    </row>
    <row r="92" spans="1:21" x14ac:dyDescent="0.3">
      <c r="A92" s="156"/>
      <c r="B92" s="156"/>
      <c r="C92" s="179">
        <v>83</v>
      </c>
      <c r="D92" s="179">
        <v>1551.4198899462201</v>
      </c>
      <c r="E92" s="179">
        <v>2418917.2109268699</v>
      </c>
      <c r="F92" s="179">
        <v>543693.80085008603</v>
      </c>
      <c r="G92" s="179">
        <v>534252.89168055204</v>
      </c>
      <c r="H92" s="179">
        <v>329594.79301204399</v>
      </c>
      <c r="I92" s="179">
        <v>6559.0056134344304</v>
      </c>
      <c r="J92" s="179">
        <v>209487.016546956</v>
      </c>
      <c r="K92" s="179">
        <v>1507.9592597460601</v>
      </c>
      <c r="L92" s="179">
        <v>105254.449890485</v>
      </c>
      <c r="M92" s="179">
        <v>46788.843262813498</v>
      </c>
      <c r="N92" s="179">
        <v>13027.315383822201</v>
      </c>
      <c r="O92" s="179">
        <v>80081.904464946798</v>
      </c>
      <c r="P92" s="179">
        <v>17176.883836939502</v>
      </c>
      <c r="Q92" s="179">
        <v>1618.43654597776</v>
      </c>
      <c r="R92" s="179"/>
      <c r="S92" s="179">
        <v>217120.69763328001</v>
      </c>
      <c r="T92" s="179">
        <v>14293.8382219792</v>
      </c>
      <c r="U92" s="179">
        <v>37821.249289694402</v>
      </c>
    </row>
    <row r="93" spans="1:21" x14ac:dyDescent="0.3">
      <c r="A93" s="156"/>
      <c r="B93" s="156"/>
      <c r="C93" s="179">
        <v>84</v>
      </c>
      <c r="D93" s="179">
        <v>1551.3895994255099</v>
      </c>
      <c r="E93" s="179">
        <v>2417388.7935627201</v>
      </c>
      <c r="F93" s="179">
        <v>543504.718922192</v>
      </c>
      <c r="G93" s="179">
        <v>533948.54153033299</v>
      </c>
      <c r="H93" s="179">
        <v>329388.11666791502</v>
      </c>
      <c r="I93" s="179">
        <v>6555.9342613177396</v>
      </c>
      <c r="J93" s="179">
        <v>209462.72391543299</v>
      </c>
      <c r="K93" s="179">
        <v>1507.9592597460601</v>
      </c>
      <c r="L93" s="179">
        <v>105233.470550267</v>
      </c>
      <c r="M93" s="179">
        <v>46694.247939957902</v>
      </c>
      <c r="N93" s="179">
        <v>13026.226167237301</v>
      </c>
      <c r="O93" s="179">
        <v>80067.817322309493</v>
      </c>
      <c r="P93" s="179">
        <v>17176.883836939502</v>
      </c>
      <c r="Q93" s="179">
        <v>1618.43654597776</v>
      </c>
      <c r="R93" s="179"/>
      <c r="S93" s="179">
        <v>217094.478051051</v>
      </c>
      <c r="T93" s="179">
        <v>14286.932580386299</v>
      </c>
      <c r="U93" s="179">
        <v>37821.005190097101</v>
      </c>
    </row>
    <row r="94" spans="1:21" x14ac:dyDescent="0.3">
      <c r="A94" s="156"/>
      <c r="B94" s="156"/>
      <c r="C94" s="179">
        <v>85</v>
      </c>
      <c r="D94" s="179">
        <v>1550.9847565193199</v>
      </c>
      <c r="E94" s="179">
        <v>2416846.1463370398</v>
      </c>
      <c r="F94" s="179">
        <v>543489.68430025096</v>
      </c>
      <c r="G94" s="179">
        <v>533544.59614573501</v>
      </c>
      <c r="H94" s="179">
        <v>329357.99543829297</v>
      </c>
      <c r="I94" s="179">
        <v>6549.2877812637898</v>
      </c>
      <c r="J94" s="179">
        <v>209364.25136384001</v>
      </c>
      <c r="K94" s="179">
        <v>1507.9592597460601</v>
      </c>
      <c r="L94" s="179">
        <v>105231.162930486</v>
      </c>
      <c r="M94" s="179">
        <v>46647.660013454901</v>
      </c>
      <c r="N94" s="179">
        <v>12955.5390647568</v>
      </c>
      <c r="O94" s="179">
        <v>80056.376608202205</v>
      </c>
      <c r="P94" s="179">
        <v>17176.883836939502</v>
      </c>
      <c r="Q94" s="179">
        <v>1618.43654597776</v>
      </c>
      <c r="R94" s="179"/>
      <c r="S94" s="179">
        <v>217068.24829436201</v>
      </c>
      <c r="T94" s="179">
        <v>14286.808154411699</v>
      </c>
      <c r="U94" s="179">
        <v>37813.9974974918</v>
      </c>
    </row>
    <row r="95" spans="1:21" x14ac:dyDescent="0.3">
      <c r="A95" s="156"/>
      <c r="B95" s="156"/>
      <c r="C95" s="179">
        <v>86</v>
      </c>
      <c r="D95" s="179">
        <v>1548.1768252490999</v>
      </c>
      <c r="E95" s="179">
        <v>2409136.5382602098</v>
      </c>
      <c r="F95" s="179">
        <v>543324.74182603101</v>
      </c>
      <c r="G95" s="179">
        <v>533192.03560576902</v>
      </c>
      <c r="H95" s="179">
        <v>329348.47818123898</v>
      </c>
      <c r="I95" s="179">
        <v>6546.2251332265896</v>
      </c>
      <c r="J95" s="179">
        <v>209172.365977432</v>
      </c>
      <c r="K95" s="179">
        <v>1507.9592597460601</v>
      </c>
      <c r="L95" s="179">
        <v>105212.007359353</v>
      </c>
      <c r="M95" s="179">
        <v>46640.593419260302</v>
      </c>
      <c r="N95" s="179">
        <v>12937.704415628599</v>
      </c>
      <c r="O95" s="179">
        <v>80026.166608673506</v>
      </c>
      <c r="P95" s="179">
        <v>17176.883836939502</v>
      </c>
      <c r="Q95" s="179">
        <v>1618.43654597776</v>
      </c>
      <c r="R95" s="179"/>
      <c r="S95" s="179">
        <v>217047.34995447099</v>
      </c>
      <c r="T95" s="179">
        <v>14284.5684868681</v>
      </c>
      <c r="U95" s="179">
        <v>37807.874665926603</v>
      </c>
    </row>
    <row r="96" spans="1:21" x14ac:dyDescent="0.3">
      <c r="A96" s="156"/>
      <c r="B96" s="156"/>
      <c r="C96" s="179">
        <v>87</v>
      </c>
      <c r="D96" s="179">
        <v>1546.17962986264</v>
      </c>
      <c r="E96" s="179">
        <v>2409010.33886657</v>
      </c>
      <c r="F96" s="179">
        <v>543225.31936108298</v>
      </c>
      <c r="G96" s="179">
        <v>532989.14424526796</v>
      </c>
      <c r="H96" s="179">
        <v>329322.25226686202</v>
      </c>
      <c r="I96" s="179">
        <v>6539.0633057433597</v>
      </c>
      <c r="J96" s="179">
        <v>209102.850441816</v>
      </c>
      <c r="K96" s="179">
        <v>1507.9592597460601</v>
      </c>
      <c r="L96" s="179">
        <v>105204.98786891</v>
      </c>
      <c r="M96" s="179">
        <v>46624.101636189902</v>
      </c>
      <c r="N96" s="179">
        <v>12924.348787970999</v>
      </c>
      <c r="O96" s="179">
        <v>80021.911965882799</v>
      </c>
      <c r="P96" s="179">
        <v>17176.883836939502</v>
      </c>
      <c r="Q96" s="179">
        <v>1618.43654597776</v>
      </c>
      <c r="R96" s="179"/>
      <c r="S96" s="179">
        <v>216912.11103829401</v>
      </c>
      <c r="T96" s="179">
        <v>14283.6560297206</v>
      </c>
      <c r="U96" s="179">
        <v>37791.581017807999</v>
      </c>
    </row>
    <row r="97" spans="1:21" x14ac:dyDescent="0.3">
      <c r="A97" s="156"/>
      <c r="B97" s="156"/>
      <c r="C97" s="179">
        <v>88</v>
      </c>
      <c r="D97" s="179">
        <v>1545.9474025371701</v>
      </c>
      <c r="E97" s="179">
        <v>2408265.55760027</v>
      </c>
      <c r="F97" s="179">
        <v>543212.59685991099</v>
      </c>
      <c r="G97" s="179">
        <v>532861.08891262102</v>
      </c>
      <c r="H97" s="179">
        <v>329260.20949279598</v>
      </c>
      <c r="I97" s="179">
        <v>6536.48650054262</v>
      </c>
      <c r="J97" s="179">
        <v>209096.005438722</v>
      </c>
      <c r="K97" s="179">
        <v>1507.9592597460601</v>
      </c>
      <c r="L97" s="179">
        <v>105170.892283366</v>
      </c>
      <c r="M97" s="179">
        <v>46596.915251153499</v>
      </c>
      <c r="N97" s="179">
        <v>12881.431618607799</v>
      </c>
      <c r="O97" s="179">
        <v>80010.135358923595</v>
      </c>
      <c r="P97" s="179">
        <v>17176.883836939502</v>
      </c>
      <c r="Q97" s="179">
        <v>1618.43654597776</v>
      </c>
      <c r="R97" s="179"/>
      <c r="S97" s="179">
        <v>216911.90754910299</v>
      </c>
      <c r="T97" s="179">
        <v>14283.521234914801</v>
      </c>
      <c r="U97" s="179">
        <v>37791.031793714101</v>
      </c>
    </row>
    <row r="98" spans="1:21" x14ac:dyDescent="0.3">
      <c r="A98" s="156"/>
      <c r="B98" s="156"/>
      <c r="C98" s="179">
        <v>89</v>
      </c>
      <c r="D98" s="179">
        <v>1545.55362576788</v>
      </c>
      <c r="E98" s="179">
        <v>2403861.9286585301</v>
      </c>
      <c r="F98" s="179">
        <v>543112.390551602</v>
      </c>
      <c r="G98" s="179">
        <v>532845.94944815699</v>
      </c>
      <c r="H98" s="179">
        <v>329216.73212810501</v>
      </c>
      <c r="I98" s="179">
        <v>6533.4467278315296</v>
      </c>
      <c r="J98" s="179">
        <v>209072.217070796</v>
      </c>
      <c r="K98" s="179">
        <v>1507.9592597460601</v>
      </c>
      <c r="L98" s="179">
        <v>105169.850381061</v>
      </c>
      <c r="M98" s="179">
        <v>46544.832699160601</v>
      </c>
      <c r="N98" s="179">
        <v>12860.5532707986</v>
      </c>
      <c r="O98" s="179">
        <v>79987.701787844999</v>
      </c>
      <c r="P98" s="179">
        <v>17176.883836939502</v>
      </c>
      <c r="Q98" s="179">
        <v>1618.43654597776</v>
      </c>
      <c r="R98" s="179"/>
      <c r="S98" s="179">
        <v>216905.009265537</v>
      </c>
      <c r="T98" s="179">
        <v>14280.5972245106</v>
      </c>
      <c r="U98" s="179">
        <v>37788.7128475399</v>
      </c>
    </row>
    <row r="99" spans="1:21" x14ac:dyDescent="0.3">
      <c r="A99" s="156"/>
      <c r="B99" s="156"/>
      <c r="C99" s="179">
        <v>90</v>
      </c>
      <c r="D99" s="179">
        <v>1545.3314548952801</v>
      </c>
      <c r="E99" s="179">
        <v>2401941.4387268801</v>
      </c>
      <c r="F99" s="179">
        <v>542753.378805054</v>
      </c>
      <c r="G99" s="179">
        <v>532628.92055004404</v>
      </c>
      <c r="H99" s="179">
        <v>329208.14494764898</v>
      </c>
      <c r="I99" s="179">
        <v>6532.7707002536399</v>
      </c>
      <c r="J99" s="179">
        <v>209006.93182671099</v>
      </c>
      <c r="K99" s="179">
        <v>1507.9592597460601</v>
      </c>
      <c r="L99" s="179">
        <v>105141.11658020401</v>
      </c>
      <c r="M99" s="179">
        <v>46542.447406949701</v>
      </c>
      <c r="N99" s="179">
        <v>12841.140784561499</v>
      </c>
      <c r="O99" s="179">
        <v>79973.156609500496</v>
      </c>
      <c r="P99" s="179">
        <v>17176.883836939502</v>
      </c>
      <c r="Q99" s="179">
        <v>1618.43654597776</v>
      </c>
      <c r="R99" s="179"/>
      <c r="S99" s="179">
        <v>216887.17343796699</v>
      </c>
      <c r="T99" s="179">
        <v>14279.0626374899</v>
      </c>
      <c r="U99" s="179">
        <v>37788.021232014296</v>
      </c>
    </row>
    <row r="100" spans="1:21" x14ac:dyDescent="0.3">
      <c r="A100" s="156"/>
      <c r="B100" s="156"/>
      <c r="C100" s="179">
        <v>91</v>
      </c>
      <c r="D100" s="179">
        <v>1545.1608990699799</v>
      </c>
      <c r="E100" s="179">
        <v>2400176.4071373101</v>
      </c>
      <c r="F100" s="179">
        <v>542193.67341167806</v>
      </c>
      <c r="G100" s="179">
        <v>532566.49586730904</v>
      </c>
      <c r="H100" s="179">
        <v>329180.43992665497</v>
      </c>
      <c r="I100" s="179">
        <v>6531.2621304484101</v>
      </c>
      <c r="J100" s="179">
        <v>208948.83584189299</v>
      </c>
      <c r="K100" s="179">
        <v>1507.3374208760599</v>
      </c>
      <c r="L100" s="179">
        <v>105091.392599813</v>
      </c>
      <c r="M100" s="179">
        <v>46516.696189059301</v>
      </c>
      <c r="N100" s="179">
        <v>12783.656615824801</v>
      </c>
      <c r="O100" s="179">
        <v>79966.001073897904</v>
      </c>
      <c r="P100" s="179">
        <v>17176.883836939502</v>
      </c>
      <c r="Q100" s="179">
        <v>1618.43654597776</v>
      </c>
      <c r="R100" s="179"/>
      <c r="S100" s="179">
        <v>216828.883959275</v>
      </c>
      <c r="T100" s="179">
        <v>14275.5268660437</v>
      </c>
      <c r="U100" s="179">
        <v>37786.119289318798</v>
      </c>
    </row>
    <row r="101" spans="1:21" x14ac:dyDescent="0.3">
      <c r="A101" s="156"/>
      <c r="B101" s="156"/>
      <c r="C101" s="179">
        <v>92</v>
      </c>
      <c r="D101" s="179">
        <v>1545.1317797827301</v>
      </c>
      <c r="E101" s="179">
        <v>2399942.3366869702</v>
      </c>
      <c r="F101" s="179">
        <v>541981.00933068502</v>
      </c>
      <c r="G101" s="179">
        <v>532152.50688203098</v>
      </c>
      <c r="H101" s="179">
        <v>329173.10197990399</v>
      </c>
      <c r="I101" s="179">
        <v>6529.8169933933696</v>
      </c>
      <c r="J101" s="179">
        <v>208940.93651685101</v>
      </c>
      <c r="K101" s="179">
        <v>1507.3374208760599</v>
      </c>
      <c r="L101" s="179">
        <v>105008.039374318</v>
      </c>
      <c r="M101" s="179">
        <v>46446.078811092499</v>
      </c>
      <c r="N101" s="179">
        <v>12778.342867625601</v>
      </c>
      <c r="O101" s="179">
        <v>79958.672502583606</v>
      </c>
      <c r="P101" s="179">
        <v>17176.883836939502</v>
      </c>
      <c r="Q101" s="179">
        <v>1618.43654597776</v>
      </c>
      <c r="R101" s="179"/>
      <c r="S101" s="179">
        <v>216824.08161437299</v>
      </c>
      <c r="T101" s="179">
        <v>14273.919697204499</v>
      </c>
      <c r="U101" s="179">
        <v>37783.220606601099</v>
      </c>
    </row>
    <row r="102" spans="1:21" x14ac:dyDescent="0.3">
      <c r="A102" s="156"/>
      <c r="B102" s="156"/>
      <c r="C102" s="179">
        <v>93</v>
      </c>
      <c r="D102" s="179">
        <v>1545.0790742766901</v>
      </c>
      <c r="E102" s="179">
        <v>2397989.5270954901</v>
      </c>
      <c r="F102" s="179">
        <v>541838.62593185005</v>
      </c>
      <c r="G102" s="179">
        <v>531942.97446180205</v>
      </c>
      <c r="H102" s="179">
        <v>328759.27047266799</v>
      </c>
      <c r="I102" s="179">
        <v>6528.3726165793896</v>
      </c>
      <c r="J102" s="179">
        <v>208895.47948770499</v>
      </c>
      <c r="K102" s="179">
        <v>1507.3374208760599</v>
      </c>
      <c r="L102" s="179">
        <v>104957.86547326201</v>
      </c>
      <c r="M102" s="179">
        <v>46437.7786442629</v>
      </c>
      <c r="N102" s="179">
        <v>12761.404022791599</v>
      </c>
      <c r="O102" s="179">
        <v>79958.662324012403</v>
      </c>
      <c r="P102" s="179">
        <v>17176.883836939502</v>
      </c>
      <c r="Q102" s="179">
        <v>1618.43654597776</v>
      </c>
      <c r="R102" s="179"/>
      <c r="S102" s="179">
        <v>216803.01030867</v>
      </c>
      <c r="T102" s="179">
        <v>14269.1292971806</v>
      </c>
      <c r="U102" s="179">
        <v>37779.691333256997</v>
      </c>
    </row>
    <row r="103" spans="1:21" x14ac:dyDescent="0.3">
      <c r="A103" s="156"/>
      <c r="B103" s="156"/>
      <c r="C103" s="179">
        <v>94</v>
      </c>
      <c r="D103" s="179">
        <v>1544.52027475055</v>
      </c>
      <c r="E103" s="179">
        <v>2397538.1755501302</v>
      </c>
      <c r="F103" s="179">
        <v>541402.361123348</v>
      </c>
      <c r="G103" s="179">
        <v>531791.52824534394</v>
      </c>
      <c r="H103" s="179">
        <v>328756.49464433198</v>
      </c>
      <c r="I103" s="179">
        <v>6524.4566531497703</v>
      </c>
      <c r="J103" s="179">
        <v>208835.80581381699</v>
      </c>
      <c r="K103" s="179">
        <v>1507.3374208760599</v>
      </c>
      <c r="L103" s="179">
        <v>104950.28491452801</v>
      </c>
      <c r="M103" s="179">
        <v>46436.300317798501</v>
      </c>
      <c r="N103" s="179">
        <v>12754.9094416593</v>
      </c>
      <c r="O103" s="179">
        <v>79941.653931420602</v>
      </c>
      <c r="P103" s="179">
        <v>17176.883836939502</v>
      </c>
      <c r="Q103" s="179">
        <v>1618.43654597776</v>
      </c>
      <c r="R103" s="179"/>
      <c r="S103" s="179">
        <v>216793.80242278799</v>
      </c>
      <c r="T103" s="179">
        <v>14265.614263396799</v>
      </c>
      <c r="U103" s="179">
        <v>37769.927349365702</v>
      </c>
    </row>
    <row r="104" spans="1:21" x14ac:dyDescent="0.3">
      <c r="A104" s="156"/>
      <c r="B104" s="156"/>
      <c r="C104" s="179">
        <v>95</v>
      </c>
      <c r="D104" s="179">
        <v>1543.20574692627</v>
      </c>
      <c r="E104" s="179">
        <v>2394799.64214091</v>
      </c>
      <c r="F104" s="179">
        <v>541194.02944302105</v>
      </c>
      <c r="G104" s="179">
        <v>531716.88377560803</v>
      </c>
      <c r="H104" s="179">
        <v>328724.93260315002</v>
      </c>
      <c r="I104" s="179">
        <v>6522.1716404807203</v>
      </c>
      <c r="J104" s="179">
        <v>208732.22960050701</v>
      </c>
      <c r="K104" s="179">
        <v>1507.3374208760599</v>
      </c>
      <c r="L104" s="179">
        <v>104929.20123464501</v>
      </c>
      <c r="M104" s="179">
        <v>46372.541007764303</v>
      </c>
      <c r="N104" s="179">
        <v>12750.48131816</v>
      </c>
      <c r="O104" s="179">
        <v>79929.633038750995</v>
      </c>
      <c r="P104" s="179">
        <v>17176.883836939502</v>
      </c>
      <c r="Q104" s="179">
        <v>1618.43654597776</v>
      </c>
      <c r="R104" s="179"/>
      <c r="S104" s="179">
        <v>216759.056643466</v>
      </c>
      <c r="T104" s="179">
        <v>14264.6395932621</v>
      </c>
      <c r="U104" s="179">
        <v>37768.208481368201</v>
      </c>
    </row>
    <row r="105" spans="1:21" x14ac:dyDescent="0.3">
      <c r="A105" s="156"/>
      <c r="B105" s="156"/>
      <c r="C105" s="179">
        <v>96</v>
      </c>
      <c r="D105" s="179">
        <v>1543.0892697772799</v>
      </c>
      <c r="E105" s="179">
        <v>2394148.4360707998</v>
      </c>
      <c r="F105" s="179">
        <v>540662.73881620704</v>
      </c>
      <c r="G105" s="179">
        <v>531666.77030898898</v>
      </c>
      <c r="H105" s="179">
        <v>328708.03425648902</v>
      </c>
      <c r="I105" s="179">
        <v>6515.0222505915499</v>
      </c>
      <c r="J105" s="179">
        <v>208626.38676171901</v>
      </c>
      <c r="K105" s="179">
        <v>1507.3374208760599</v>
      </c>
      <c r="L105" s="179">
        <v>104919.57257818199</v>
      </c>
      <c r="M105" s="179">
        <v>46270.381337939398</v>
      </c>
      <c r="N105" s="179">
        <v>12746.9693581433</v>
      </c>
      <c r="O105" s="179">
        <v>79927.169824503697</v>
      </c>
      <c r="P105" s="179">
        <v>17176.883836939502</v>
      </c>
      <c r="Q105" s="179">
        <v>1618.43654597776</v>
      </c>
      <c r="R105" s="179"/>
      <c r="S105" s="179">
        <v>216731.10740311601</v>
      </c>
      <c r="T105" s="179">
        <v>14262.990949098001</v>
      </c>
      <c r="U105" s="179">
        <v>37767.160887263199</v>
      </c>
    </row>
    <row r="106" spans="1:21" x14ac:dyDescent="0.3">
      <c r="A106" s="156"/>
      <c r="B106" s="156"/>
      <c r="C106" s="179">
        <v>97</v>
      </c>
      <c r="D106" s="179">
        <v>1541.8783759212099</v>
      </c>
      <c r="E106" s="179">
        <v>2392073.0964142401</v>
      </c>
      <c r="F106" s="179">
        <v>540491.13850349304</v>
      </c>
      <c r="G106" s="179">
        <v>531385.06389153504</v>
      </c>
      <c r="H106" s="179">
        <v>328468.11192015</v>
      </c>
      <c r="I106" s="179">
        <v>6514.74415345123</v>
      </c>
      <c r="J106" s="179">
        <v>208621.18748761201</v>
      </c>
      <c r="K106" s="179">
        <v>1507.3374208760599</v>
      </c>
      <c r="L106" s="179">
        <v>104840.721658496</v>
      </c>
      <c r="M106" s="179">
        <v>46179.995625875898</v>
      </c>
      <c r="N106" s="179">
        <v>12712.4808928202</v>
      </c>
      <c r="O106" s="179">
        <v>79925.347860246402</v>
      </c>
      <c r="P106" s="179">
        <v>17176.883836939502</v>
      </c>
      <c r="Q106" s="179">
        <v>1618.43654597776</v>
      </c>
      <c r="R106" s="179"/>
      <c r="S106" s="179">
        <v>216720.515790737</v>
      </c>
      <c r="T106" s="179">
        <v>14261.954065976</v>
      </c>
      <c r="U106" s="179">
        <v>37755.708547823997</v>
      </c>
    </row>
    <row r="107" spans="1:21" x14ac:dyDescent="0.3">
      <c r="A107" s="156"/>
      <c r="B107" s="156"/>
      <c r="C107" s="179">
        <v>98</v>
      </c>
      <c r="D107" s="179">
        <v>1540.7374329743</v>
      </c>
      <c r="E107" s="179">
        <v>2390594.3618526901</v>
      </c>
      <c r="F107" s="179">
        <v>540324.79484795604</v>
      </c>
      <c r="G107" s="179">
        <v>531006.647998153</v>
      </c>
      <c r="H107" s="179">
        <v>328461.85933084902</v>
      </c>
      <c r="I107" s="179">
        <v>6502.3077307679196</v>
      </c>
      <c r="J107" s="179">
        <v>208605.49631939799</v>
      </c>
      <c r="K107" s="179">
        <v>1507.3374208760599</v>
      </c>
      <c r="L107" s="179">
        <v>104818.336961183</v>
      </c>
      <c r="M107" s="179">
        <v>46169.989167000298</v>
      </c>
      <c r="N107" s="179">
        <v>12709.050369557501</v>
      </c>
      <c r="O107" s="179">
        <v>79917.754646079105</v>
      </c>
      <c r="P107" s="179">
        <v>17176.883836939502</v>
      </c>
      <c r="Q107" s="179">
        <v>1618.43654597776</v>
      </c>
      <c r="R107" s="179"/>
      <c r="S107" s="179">
        <v>216697.908141644</v>
      </c>
      <c r="T107" s="179">
        <v>14261.031239997301</v>
      </c>
      <c r="U107" s="179">
        <v>37751.253730173601</v>
      </c>
    </row>
    <row r="108" spans="1:21" x14ac:dyDescent="0.3">
      <c r="A108" s="156"/>
      <c r="B108" s="156"/>
      <c r="C108" s="179">
        <v>99</v>
      </c>
      <c r="D108" s="179">
        <v>1540.5642115831799</v>
      </c>
      <c r="E108" s="179">
        <v>2388191.32286597</v>
      </c>
      <c r="F108" s="179">
        <v>539771.65091516904</v>
      </c>
      <c r="G108" s="179">
        <v>530748.58323965396</v>
      </c>
      <c r="H108" s="179">
        <v>328258.23215681902</v>
      </c>
      <c r="I108" s="179">
        <v>6493.9946422737603</v>
      </c>
      <c r="J108" s="179">
        <v>208514.327286363</v>
      </c>
      <c r="K108" s="179">
        <v>1507.3374208760599</v>
      </c>
      <c r="L108" s="179">
        <v>104769.257866974</v>
      </c>
      <c r="M108" s="179">
        <v>46168.168540425402</v>
      </c>
      <c r="N108" s="179">
        <v>12704.785119566301</v>
      </c>
      <c r="O108" s="179">
        <v>79909.4387533517</v>
      </c>
      <c r="P108" s="179">
        <v>17176.883836939502</v>
      </c>
      <c r="Q108" s="179">
        <v>1618.43654597776</v>
      </c>
      <c r="R108" s="179"/>
      <c r="S108" s="179">
        <v>216697.14505717799</v>
      </c>
      <c r="T108" s="179">
        <v>14258.7812036225</v>
      </c>
      <c r="U108" s="179">
        <v>37749.7281076906</v>
      </c>
    </row>
    <row r="109" spans="1:21" x14ac:dyDescent="0.3">
      <c r="A109" s="156"/>
      <c r="B109" s="156"/>
      <c r="C109" s="179">
        <v>100</v>
      </c>
      <c r="D109" s="179">
        <v>1539.9296857552499</v>
      </c>
      <c r="E109" s="179">
        <v>2386932.0544869201</v>
      </c>
      <c r="F109" s="179">
        <v>539664.48650288605</v>
      </c>
      <c r="G109" s="179">
        <v>530690.37935532106</v>
      </c>
      <c r="H109" s="179">
        <v>328077.68379326002</v>
      </c>
      <c r="I109" s="179">
        <v>6485.0243266860898</v>
      </c>
      <c r="J109" s="179">
        <v>208491.57287232901</v>
      </c>
      <c r="K109" s="179">
        <v>1507.3374208760599</v>
      </c>
      <c r="L109" s="179">
        <v>104760.92791512499</v>
      </c>
      <c r="M109" s="179">
        <v>46049.860851097597</v>
      </c>
      <c r="N109" s="179">
        <v>12703.909674460599</v>
      </c>
      <c r="O109" s="179">
        <v>79899.5350035062</v>
      </c>
      <c r="P109" s="179">
        <v>17176.883836939502</v>
      </c>
      <c r="Q109" s="179">
        <v>1618.43654597776</v>
      </c>
      <c r="R109" s="179"/>
      <c r="S109" s="179">
        <v>216693.22789025601</v>
      </c>
      <c r="T109" s="179">
        <v>14258.179811411699</v>
      </c>
      <c r="U109" s="179">
        <v>37731.735933207601</v>
      </c>
    </row>
    <row r="110" spans="1:21" x14ac:dyDescent="0.3">
      <c r="A110" s="156"/>
      <c r="B110" s="156"/>
      <c r="C110" s="179">
        <v>101</v>
      </c>
      <c r="D110" s="179">
        <v>1539.89030807833</v>
      </c>
      <c r="E110" s="179">
        <v>2386061.20251523</v>
      </c>
      <c r="F110" s="179">
        <v>539417.10461547901</v>
      </c>
      <c r="G110" s="179">
        <v>530446.34808306396</v>
      </c>
      <c r="H110" s="179">
        <v>327871.69157337199</v>
      </c>
      <c r="I110" s="179">
        <v>6477.9205196944604</v>
      </c>
      <c r="J110" s="179">
        <v>208360.09989867799</v>
      </c>
      <c r="K110" s="179">
        <v>1507.3374208760599</v>
      </c>
      <c r="L110" s="179">
        <v>104735.85824436101</v>
      </c>
      <c r="M110" s="179">
        <v>45980.977976206799</v>
      </c>
      <c r="N110" s="179">
        <v>12703.8791356779</v>
      </c>
      <c r="O110" s="179">
        <v>79874.414289612396</v>
      </c>
      <c r="P110" s="179">
        <v>17176.883836939502</v>
      </c>
      <c r="Q110" s="179">
        <v>1618.43654597776</v>
      </c>
      <c r="R110" s="179"/>
      <c r="S110" s="179">
        <v>216637.400630772</v>
      </c>
      <c r="T110" s="179">
        <v>14252.331790603301</v>
      </c>
      <c r="U110" s="179">
        <v>37721.392212772698</v>
      </c>
    </row>
    <row r="111" spans="1:21" x14ac:dyDescent="0.3">
      <c r="A111" s="156"/>
      <c r="B111" s="156"/>
      <c r="C111" s="179">
        <v>102</v>
      </c>
      <c r="D111" s="179">
        <v>1538.48842239231</v>
      </c>
      <c r="E111" s="179">
        <v>2385519.1726864702</v>
      </c>
      <c r="F111" s="179">
        <v>539290.80499703099</v>
      </c>
      <c r="G111" s="179">
        <v>529982.82866886898</v>
      </c>
      <c r="H111" s="179">
        <v>327853.91640574398</v>
      </c>
      <c r="I111" s="179">
        <v>6468.4474548554999</v>
      </c>
      <c r="J111" s="179">
        <v>208343.832246568</v>
      </c>
      <c r="K111" s="179">
        <v>1507.3374208760599</v>
      </c>
      <c r="L111" s="179">
        <v>104654.203998625</v>
      </c>
      <c r="M111" s="179">
        <v>45877.683873724003</v>
      </c>
      <c r="N111" s="179">
        <v>12691.429491908601</v>
      </c>
      <c r="O111" s="179">
        <v>79867.910182570995</v>
      </c>
      <c r="P111" s="179">
        <v>17176.883836939502</v>
      </c>
      <c r="Q111" s="179">
        <v>1618.43654597776</v>
      </c>
      <c r="R111" s="179"/>
      <c r="S111" s="179">
        <v>216617.12293291299</v>
      </c>
      <c r="T111" s="179">
        <v>14248.4745853892</v>
      </c>
      <c r="U111" s="179">
        <v>37709.746627818997</v>
      </c>
    </row>
    <row r="112" spans="1:21" x14ac:dyDescent="0.3">
      <c r="A112" s="156"/>
      <c r="B112" s="156"/>
      <c r="C112" s="179">
        <v>103</v>
      </c>
      <c r="D112" s="179">
        <v>1536.95757986276</v>
      </c>
      <c r="E112" s="179">
        <v>2384091.03327015</v>
      </c>
      <c r="F112" s="179">
        <v>539268.05274170602</v>
      </c>
      <c r="G112" s="179">
        <v>529743.35796050099</v>
      </c>
      <c r="H112" s="179">
        <v>327272.33183967898</v>
      </c>
      <c r="I112" s="179">
        <v>6461.7439874048796</v>
      </c>
      <c r="J112" s="179">
        <v>208317.38368258299</v>
      </c>
      <c r="K112" s="179">
        <v>1507.3374208760599</v>
      </c>
      <c r="L112" s="179">
        <v>104632.49085409001</v>
      </c>
      <c r="M112" s="179">
        <v>45846.866671981203</v>
      </c>
      <c r="N112" s="179">
        <v>12687.622323658699</v>
      </c>
      <c r="O112" s="179">
        <v>79867.167146868305</v>
      </c>
      <c r="P112" s="179">
        <v>17176.883836939502</v>
      </c>
      <c r="Q112" s="179">
        <v>1618.43654597776</v>
      </c>
      <c r="R112" s="179"/>
      <c r="S112" s="179">
        <v>216604.00805456901</v>
      </c>
      <c r="T112" s="179">
        <v>14248.1531516214</v>
      </c>
      <c r="U112" s="179">
        <v>37704.773098524398</v>
      </c>
    </row>
    <row r="113" spans="1:21" x14ac:dyDescent="0.3">
      <c r="A113" s="156"/>
      <c r="B113" s="156"/>
      <c r="C113" s="179">
        <v>104</v>
      </c>
      <c r="D113" s="179">
        <v>1536.5665494340201</v>
      </c>
      <c r="E113" s="179">
        <v>2383208.0391534101</v>
      </c>
      <c r="F113" s="179">
        <v>539224.77831151802</v>
      </c>
      <c r="G113" s="179">
        <v>529695.16079156497</v>
      </c>
      <c r="H113" s="179">
        <v>327139.51843926898</v>
      </c>
      <c r="I113" s="179">
        <v>6452.7124955543904</v>
      </c>
      <c r="J113" s="179">
        <v>208255.966094139</v>
      </c>
      <c r="K113" s="179">
        <v>1507.3374208760599</v>
      </c>
      <c r="L113" s="179">
        <v>104627.441557807</v>
      </c>
      <c r="M113" s="179">
        <v>45823.073462302797</v>
      </c>
      <c r="N113" s="179">
        <v>12661.1859173882</v>
      </c>
      <c r="O113" s="179">
        <v>79866.597146877204</v>
      </c>
      <c r="P113" s="179">
        <v>17176.883836939502</v>
      </c>
      <c r="Q113" s="179">
        <v>1618.43654597776</v>
      </c>
      <c r="R113" s="179"/>
      <c r="S113" s="179">
        <v>216585.34809577701</v>
      </c>
      <c r="T113" s="179">
        <v>14248.018356815501</v>
      </c>
      <c r="U113" s="179">
        <v>37698.009505516398</v>
      </c>
    </row>
    <row r="114" spans="1:21" x14ac:dyDescent="0.3">
      <c r="A114" s="156"/>
      <c r="B114" s="156"/>
      <c r="C114" s="179">
        <v>105</v>
      </c>
      <c r="D114" s="179">
        <v>1536.32511379025</v>
      </c>
      <c r="E114" s="179">
        <v>2382952.2463611201</v>
      </c>
      <c r="F114" s="179">
        <v>538252.60294371902</v>
      </c>
      <c r="G114" s="179">
        <v>529683.00426677801</v>
      </c>
      <c r="H114" s="179">
        <v>327005.62842735602</v>
      </c>
      <c r="I114" s="179">
        <v>6450.5592840202498</v>
      </c>
      <c r="J114" s="179">
        <v>208107.74252448199</v>
      </c>
      <c r="K114" s="179">
        <v>1507.3374208760599</v>
      </c>
      <c r="L114" s="179">
        <v>104599.862544309</v>
      </c>
      <c r="M114" s="179">
        <v>45818.4761102259</v>
      </c>
      <c r="N114" s="179">
        <v>12652.003923373601</v>
      </c>
      <c r="O114" s="179">
        <v>79852.601611381295</v>
      </c>
      <c r="P114" s="179">
        <v>17176.883836939502</v>
      </c>
      <c r="Q114" s="179">
        <v>1618.43654597776</v>
      </c>
      <c r="R114" s="179"/>
      <c r="S114" s="179">
        <v>216585.13443212601</v>
      </c>
      <c r="T114" s="179">
        <v>14245.592050309901</v>
      </c>
      <c r="U114" s="179">
        <v>37690.981471277897</v>
      </c>
    </row>
    <row r="115" spans="1:21" x14ac:dyDescent="0.3">
      <c r="A115" s="156"/>
      <c r="B115" s="156"/>
      <c r="C115" s="179">
        <v>106</v>
      </c>
      <c r="D115" s="179">
        <v>1535.6097728530599</v>
      </c>
      <c r="E115" s="179">
        <v>2382170.66168587</v>
      </c>
      <c r="F115" s="179">
        <v>537782.19617873197</v>
      </c>
      <c r="G115" s="179">
        <v>529678.56995542801</v>
      </c>
      <c r="H115" s="179">
        <v>326938.95186230802</v>
      </c>
      <c r="I115" s="179">
        <v>6442.6982007609204</v>
      </c>
      <c r="J115" s="179">
        <v>208055.20474332501</v>
      </c>
      <c r="K115" s="179">
        <v>1507.3374208760599</v>
      </c>
      <c r="L115" s="179">
        <v>104503.81065695699</v>
      </c>
      <c r="M115" s="179">
        <v>45817.958298043603</v>
      </c>
      <c r="N115" s="179">
        <v>12630.6064162575</v>
      </c>
      <c r="O115" s="179">
        <v>79837.354111619105</v>
      </c>
      <c r="P115" s="179">
        <v>17176.883836939502</v>
      </c>
      <c r="Q115" s="179">
        <v>1618.43654597776</v>
      </c>
      <c r="R115" s="179"/>
      <c r="S115" s="179">
        <v>216576.709979629</v>
      </c>
      <c r="T115" s="179">
        <v>14243.756767183901</v>
      </c>
      <c r="U115" s="179">
        <v>37685.560426055003</v>
      </c>
    </row>
    <row r="116" spans="1:21" x14ac:dyDescent="0.3">
      <c r="A116" s="156"/>
      <c r="B116" s="156"/>
      <c r="C116" s="179">
        <v>107</v>
      </c>
      <c r="D116" s="179">
        <v>1534.93586934821</v>
      </c>
      <c r="E116" s="179">
        <v>2382090.5352727901</v>
      </c>
      <c r="F116" s="179">
        <v>537552.79855085898</v>
      </c>
      <c r="G116" s="179">
        <v>529280.36695172801</v>
      </c>
      <c r="H116" s="179">
        <v>326786.86328616802</v>
      </c>
      <c r="I116" s="179">
        <v>6442.0597194393804</v>
      </c>
      <c r="J116" s="179">
        <v>208050.67163626201</v>
      </c>
      <c r="K116" s="179">
        <v>1506.71558200607</v>
      </c>
      <c r="L116" s="179">
        <v>104449.28650313</v>
      </c>
      <c r="M116" s="179">
        <v>45679.022749513999</v>
      </c>
      <c r="N116" s="179">
        <v>12624.6106352436</v>
      </c>
      <c r="O116" s="179">
        <v>79829.058576034295</v>
      </c>
      <c r="P116" s="179">
        <v>17176.883836939502</v>
      </c>
      <c r="Q116" s="179">
        <v>1618.43654597776</v>
      </c>
      <c r="R116" s="179"/>
      <c r="S116" s="179">
        <v>216504.09486190701</v>
      </c>
      <c r="T116" s="179">
        <v>14242.191073669601</v>
      </c>
      <c r="U116" s="179">
        <v>37678.3594879351</v>
      </c>
    </row>
    <row r="117" spans="1:21" x14ac:dyDescent="0.3">
      <c r="A117" s="156"/>
      <c r="B117" s="156"/>
      <c r="C117" s="179">
        <v>108</v>
      </c>
      <c r="D117" s="179">
        <v>1534.85097511549</v>
      </c>
      <c r="E117" s="179">
        <v>2381725.0784760099</v>
      </c>
      <c r="F117" s="179">
        <v>537407.61444320495</v>
      </c>
      <c r="G117" s="179">
        <v>529081.33793542697</v>
      </c>
      <c r="H117" s="179">
        <v>326765.65792037098</v>
      </c>
      <c r="I117" s="179">
        <v>6440.6607348452198</v>
      </c>
      <c r="J117" s="179">
        <v>207990.04479703799</v>
      </c>
      <c r="K117" s="179">
        <v>1506.71558200607</v>
      </c>
      <c r="L117" s="179">
        <v>104428.135930442</v>
      </c>
      <c r="M117" s="179">
        <v>45621.184469925203</v>
      </c>
      <c r="N117" s="179">
        <v>12606.9693984062</v>
      </c>
      <c r="O117" s="179">
        <v>79787.733576679006</v>
      </c>
      <c r="P117" s="179">
        <v>17176.883836939502</v>
      </c>
      <c r="Q117" s="179">
        <v>1618.43654597776</v>
      </c>
      <c r="R117" s="179"/>
      <c r="S117" s="179">
        <v>216489.61660598501</v>
      </c>
      <c r="T117" s="179">
        <v>14232.8072814149</v>
      </c>
      <c r="U117" s="179">
        <v>37677.739068125396</v>
      </c>
    </row>
    <row r="118" spans="1:21" x14ac:dyDescent="0.3">
      <c r="A118" s="156"/>
      <c r="B118" s="156"/>
      <c r="C118" s="179">
        <v>109</v>
      </c>
      <c r="D118" s="179">
        <v>1534.85097511549</v>
      </c>
      <c r="E118" s="179">
        <v>2381330.6003480498</v>
      </c>
      <c r="F118" s="179">
        <v>536747.66883342795</v>
      </c>
      <c r="G118" s="179">
        <v>529023.96662433795</v>
      </c>
      <c r="H118" s="179">
        <v>326764.07478415</v>
      </c>
      <c r="I118" s="179">
        <v>6440.07080904756</v>
      </c>
      <c r="J118" s="179">
        <v>207931.429744814</v>
      </c>
      <c r="K118" s="179">
        <v>1506.71558200607</v>
      </c>
      <c r="L118" s="179">
        <v>104418.290968541</v>
      </c>
      <c r="M118" s="179">
        <v>45596.032336865101</v>
      </c>
      <c r="N118" s="179">
        <v>12604.0478548561</v>
      </c>
      <c r="O118" s="179">
        <v>79775.305541158596</v>
      </c>
      <c r="P118" s="179">
        <v>17176.883836939502</v>
      </c>
      <c r="Q118" s="179">
        <v>1618.43654597776</v>
      </c>
      <c r="R118" s="179"/>
      <c r="S118" s="179">
        <v>216477.03079953699</v>
      </c>
      <c r="T118" s="179">
        <v>14227.270325543201</v>
      </c>
      <c r="U118" s="179">
        <v>37672.3180229024</v>
      </c>
    </row>
    <row r="119" spans="1:21" x14ac:dyDescent="0.3">
      <c r="A119" s="156"/>
      <c r="B119" s="156"/>
      <c r="C119" s="179">
        <v>110</v>
      </c>
      <c r="D119" s="179">
        <v>1534.63894147049</v>
      </c>
      <c r="E119" s="179">
        <v>2380511.3102332698</v>
      </c>
      <c r="F119" s="179">
        <v>536496.14684370905</v>
      </c>
      <c r="G119" s="179">
        <v>528818.97182284098</v>
      </c>
      <c r="H119" s="179">
        <v>326749.82941917802</v>
      </c>
      <c r="I119" s="179">
        <v>6433.0783390532197</v>
      </c>
      <c r="J119" s="179">
        <v>207920.27944255399</v>
      </c>
      <c r="K119" s="179">
        <v>1506.71558200607</v>
      </c>
      <c r="L119" s="179">
        <v>104409.437457568</v>
      </c>
      <c r="M119" s="179">
        <v>45541.821563048798</v>
      </c>
      <c r="N119" s="179">
        <v>12599.426319066</v>
      </c>
      <c r="O119" s="179">
        <v>79773.218934048302</v>
      </c>
      <c r="P119" s="179">
        <v>17176.883836939502</v>
      </c>
      <c r="Q119" s="179">
        <v>1618.43654597776</v>
      </c>
      <c r="R119" s="179"/>
      <c r="S119" s="179">
        <v>216458.523457637</v>
      </c>
      <c r="T119" s="179">
        <v>14226.4822943704</v>
      </c>
      <c r="U119" s="179">
        <v>37671.921361056797</v>
      </c>
    </row>
    <row r="120" spans="1:21" x14ac:dyDescent="0.3">
      <c r="A120" s="156"/>
      <c r="B120" s="156"/>
      <c r="C120" s="179">
        <v>111</v>
      </c>
      <c r="D120" s="179">
        <v>1532.4277334583401</v>
      </c>
      <c r="E120" s="179">
        <v>2380209.2559895101</v>
      </c>
      <c r="F120" s="179">
        <v>536171.35823210003</v>
      </c>
      <c r="G120" s="179">
        <v>528736.85928009904</v>
      </c>
      <c r="H120" s="179">
        <v>326689.11156343197</v>
      </c>
      <c r="I120" s="179">
        <v>6432.9850486359101</v>
      </c>
      <c r="J120" s="179">
        <v>207860.61412555099</v>
      </c>
      <c r="K120" s="179">
        <v>1506.71558200607</v>
      </c>
      <c r="L120" s="179">
        <v>104371.205807166</v>
      </c>
      <c r="M120" s="179">
        <v>45463.431756657003</v>
      </c>
      <c r="N120" s="179">
        <v>12598.642490308701</v>
      </c>
      <c r="O120" s="179">
        <v>79750.225541549895</v>
      </c>
      <c r="P120" s="179">
        <v>17176.883836939502</v>
      </c>
      <c r="Q120" s="179">
        <v>1618.43654597776</v>
      </c>
      <c r="R120" s="179"/>
      <c r="S120" s="179">
        <v>216362.17132581401</v>
      </c>
      <c r="T120" s="179">
        <v>14224.6262735819</v>
      </c>
      <c r="U120" s="179">
        <v>37671.646749009902</v>
      </c>
    </row>
    <row r="121" spans="1:21" x14ac:dyDescent="0.3">
      <c r="A121" s="156"/>
      <c r="B121" s="156"/>
      <c r="C121" s="179">
        <v>112</v>
      </c>
      <c r="D121" s="179">
        <v>1531.8533847982401</v>
      </c>
      <c r="E121" s="179">
        <v>2374192.5853490499</v>
      </c>
      <c r="F121" s="179">
        <v>536163.06862842594</v>
      </c>
      <c r="G121" s="179">
        <v>528415.70432503195</v>
      </c>
      <c r="H121" s="179">
        <v>326576.58185424702</v>
      </c>
      <c r="I121" s="179">
        <v>6428.0480962894499</v>
      </c>
      <c r="J121" s="179">
        <v>207815.47537472699</v>
      </c>
      <c r="K121" s="179">
        <v>1506.71558200607</v>
      </c>
      <c r="L121" s="179">
        <v>104339.284493678</v>
      </c>
      <c r="M121" s="179">
        <v>45424.516135080703</v>
      </c>
      <c r="N121" s="179">
        <v>12590.3868393709</v>
      </c>
      <c r="O121" s="179">
        <v>79738.560898874697</v>
      </c>
      <c r="P121" s="179">
        <v>17176.883836939502</v>
      </c>
      <c r="Q121" s="179">
        <v>1618.43654597776</v>
      </c>
      <c r="R121" s="179"/>
      <c r="S121" s="179">
        <v>216358.97654551899</v>
      </c>
      <c r="T121" s="179">
        <v>14220.520216418599</v>
      </c>
      <c r="U121" s="179">
        <v>37668.890457723901</v>
      </c>
    </row>
    <row r="122" spans="1:21" x14ac:dyDescent="0.3">
      <c r="A122" s="156"/>
      <c r="B122" s="156"/>
      <c r="C122" s="179">
        <v>113</v>
      </c>
      <c r="D122" s="179">
        <v>1531.80970586737</v>
      </c>
      <c r="E122" s="179">
        <v>2373796.7629541801</v>
      </c>
      <c r="F122" s="179">
        <v>536128.13530131103</v>
      </c>
      <c r="G122" s="179">
        <v>527968.39556185994</v>
      </c>
      <c r="H122" s="179">
        <v>326515.69123940199</v>
      </c>
      <c r="I122" s="179">
        <v>6427.2707148889804</v>
      </c>
      <c r="J122" s="179">
        <v>207748.046893964</v>
      </c>
      <c r="K122" s="179">
        <v>1506.71558200607</v>
      </c>
      <c r="L122" s="179">
        <v>104299.424496762</v>
      </c>
      <c r="M122" s="179">
        <v>45402.373467511701</v>
      </c>
      <c r="N122" s="179">
        <v>12584.5844706477</v>
      </c>
      <c r="O122" s="179">
        <v>79679.118042659204</v>
      </c>
      <c r="P122" s="179">
        <v>17176.883836939502</v>
      </c>
      <c r="Q122" s="179">
        <v>1618.43654597776</v>
      </c>
      <c r="R122" s="179"/>
      <c r="S122" s="179">
        <v>216323.101401188</v>
      </c>
      <c r="T122" s="179">
        <v>14218.1250164066</v>
      </c>
      <c r="U122" s="179">
        <v>37663.591462299497</v>
      </c>
    </row>
    <row r="123" spans="1:21" x14ac:dyDescent="0.3">
      <c r="A123" s="156"/>
      <c r="B123" s="156"/>
      <c r="C123" s="179">
        <v>114</v>
      </c>
      <c r="D123" s="179">
        <v>1531.5997925588199</v>
      </c>
      <c r="E123" s="179">
        <v>2373781.3457835801</v>
      </c>
      <c r="F123" s="179">
        <v>536011.94501719996</v>
      </c>
      <c r="G123" s="179">
        <v>527945.05445425399</v>
      </c>
      <c r="H123" s="179">
        <v>326483.35378464201</v>
      </c>
      <c r="I123" s="179">
        <v>6425.5888308570602</v>
      </c>
      <c r="J123" s="179">
        <v>207735.261597456</v>
      </c>
      <c r="K123" s="179">
        <v>1506.71558200607</v>
      </c>
      <c r="L123" s="179">
        <v>104291.775699741</v>
      </c>
      <c r="M123" s="179">
        <v>45378.1158698668</v>
      </c>
      <c r="N123" s="179">
        <v>12581.3880780529</v>
      </c>
      <c r="O123" s="179">
        <v>79671.138042783699</v>
      </c>
      <c r="P123" s="179">
        <v>17176.883836939502</v>
      </c>
      <c r="Q123" s="179">
        <v>1618.43654597776</v>
      </c>
      <c r="R123" s="179"/>
      <c r="S123" s="179">
        <v>216299.303340329</v>
      </c>
      <c r="T123" s="179">
        <v>14216.0305125001</v>
      </c>
      <c r="U123" s="179">
        <v>37657.071968888798</v>
      </c>
    </row>
    <row r="124" spans="1:21" x14ac:dyDescent="0.3">
      <c r="A124" s="156"/>
      <c r="B124" s="156"/>
      <c r="C124" s="179">
        <v>115</v>
      </c>
      <c r="D124" s="179">
        <v>1530.796770661</v>
      </c>
      <c r="E124" s="179">
        <v>2372595.4860125198</v>
      </c>
      <c r="F124" s="179">
        <v>535933.52129837801</v>
      </c>
      <c r="G124" s="179">
        <v>527820.89964841597</v>
      </c>
      <c r="H124" s="179">
        <v>326426.44545665401</v>
      </c>
      <c r="I124" s="179">
        <v>6422.00891583045</v>
      </c>
      <c r="J124" s="179">
        <v>207735.18469255901</v>
      </c>
      <c r="K124" s="179">
        <v>1506.71558200607</v>
      </c>
      <c r="L124" s="179">
        <v>104248.939294164</v>
      </c>
      <c r="M124" s="179">
        <v>45364.901814377597</v>
      </c>
      <c r="N124" s="179">
        <v>12577.3874975121</v>
      </c>
      <c r="O124" s="179">
        <v>79660.959471513896</v>
      </c>
      <c r="P124" s="179">
        <v>17176.883836939502</v>
      </c>
      <c r="Q124" s="179">
        <v>1618.43654597776</v>
      </c>
      <c r="R124" s="179"/>
      <c r="S124" s="179">
        <v>216280.684079375</v>
      </c>
      <c r="T124" s="179">
        <v>14213.065026771001</v>
      </c>
      <c r="U124" s="179">
        <v>37648.243700120402</v>
      </c>
    </row>
    <row r="125" spans="1:21" x14ac:dyDescent="0.3">
      <c r="A125" s="156"/>
      <c r="B125" s="156"/>
      <c r="C125" s="179">
        <v>116</v>
      </c>
      <c r="D125" s="179">
        <v>1530.1852656288199</v>
      </c>
      <c r="E125" s="179">
        <v>2371630.52962344</v>
      </c>
      <c r="F125" s="179">
        <v>535813.22710682906</v>
      </c>
      <c r="G125" s="179">
        <v>527739.579990734</v>
      </c>
      <c r="H125" s="179">
        <v>326273.70587914198</v>
      </c>
      <c r="I125" s="179">
        <v>6417.5602331106802</v>
      </c>
      <c r="J125" s="179">
        <v>207714.66171644599</v>
      </c>
      <c r="K125" s="179">
        <v>1506.71558200607</v>
      </c>
      <c r="L125" s="179">
        <v>104187.802627956</v>
      </c>
      <c r="M125" s="179">
        <v>45269.055171824999</v>
      </c>
      <c r="N125" s="179">
        <v>12569.264181299601</v>
      </c>
      <c r="O125" s="179">
        <v>79639.441971849606</v>
      </c>
      <c r="P125" s="179">
        <v>17176.883836939502</v>
      </c>
      <c r="Q125" s="179">
        <v>1618.43654597776</v>
      </c>
      <c r="R125" s="179"/>
      <c r="S125" s="179">
        <v>216277.17389083499</v>
      </c>
      <c r="T125" s="179">
        <v>14212.7332241719</v>
      </c>
      <c r="U125" s="179">
        <v>37648.213187670699</v>
      </c>
    </row>
    <row r="126" spans="1:21" x14ac:dyDescent="0.3">
      <c r="A126" s="156"/>
      <c r="B126" s="156"/>
      <c r="C126" s="179">
        <v>117</v>
      </c>
      <c r="D126" s="179">
        <v>1530.05497600239</v>
      </c>
      <c r="E126" s="179">
        <v>2371237.1402167799</v>
      </c>
      <c r="F126" s="179">
        <v>535582.08150839806</v>
      </c>
      <c r="G126" s="179">
        <v>527561.13295222796</v>
      </c>
      <c r="H126" s="179">
        <v>325965.21923330397</v>
      </c>
      <c r="I126" s="179">
        <v>6392.3942217373497</v>
      </c>
      <c r="J126" s="179">
        <v>207647.107120031</v>
      </c>
      <c r="K126" s="179">
        <v>1506.71558200607</v>
      </c>
      <c r="L126" s="179">
        <v>104164.001643971</v>
      </c>
      <c r="M126" s="179">
        <v>45220.490858256002</v>
      </c>
      <c r="N126" s="179">
        <v>12568.592328079099</v>
      </c>
      <c r="O126" s="179">
        <v>79610.310900875498</v>
      </c>
      <c r="P126" s="179">
        <v>17176.883836939502</v>
      </c>
      <c r="Q126" s="179">
        <v>1618.43654597776</v>
      </c>
      <c r="R126" s="179"/>
      <c r="S126" s="179">
        <v>216256.285725403</v>
      </c>
      <c r="T126" s="179">
        <v>14209.352985194</v>
      </c>
      <c r="U126" s="179">
        <v>37646.423123957298</v>
      </c>
    </row>
    <row r="127" spans="1:21" x14ac:dyDescent="0.3">
      <c r="A127" s="156"/>
      <c r="B127" s="156"/>
      <c r="C127" s="179">
        <v>118</v>
      </c>
      <c r="D127" s="179">
        <v>1529.01217434259</v>
      </c>
      <c r="E127" s="179">
        <v>2369752.9254909498</v>
      </c>
      <c r="F127" s="179">
        <v>535521.52648047602</v>
      </c>
      <c r="G127" s="179">
        <v>527400.75676303997</v>
      </c>
      <c r="H127" s="179">
        <v>325944.68263919803</v>
      </c>
      <c r="I127" s="179">
        <v>6389.7048332915201</v>
      </c>
      <c r="J127" s="179">
        <v>207622.634119311</v>
      </c>
      <c r="K127" s="179">
        <v>1506.71558200607</v>
      </c>
      <c r="L127" s="179">
        <v>104053.879126463</v>
      </c>
      <c r="M127" s="179">
        <v>45156.729633131501</v>
      </c>
      <c r="N127" s="179">
        <v>12566.6276663886</v>
      </c>
      <c r="O127" s="179">
        <v>79564.232508737201</v>
      </c>
      <c r="P127" s="179">
        <v>17176.883836939502</v>
      </c>
      <c r="Q127" s="179">
        <v>1618.43654597776</v>
      </c>
      <c r="R127" s="179"/>
      <c r="S127" s="179">
        <v>216249.000812374</v>
      </c>
      <c r="T127" s="179">
        <v>14204.365577376901</v>
      </c>
      <c r="U127" s="179">
        <v>37631.461852807202</v>
      </c>
    </row>
    <row r="128" spans="1:21" x14ac:dyDescent="0.3">
      <c r="A128" s="156"/>
      <c r="B128" s="156"/>
      <c r="C128" s="179">
        <v>119</v>
      </c>
      <c r="D128" s="179">
        <v>1526.6220503214299</v>
      </c>
      <c r="E128" s="179">
        <v>2369292.9103350402</v>
      </c>
      <c r="F128" s="179">
        <v>535449.93110187503</v>
      </c>
      <c r="G128" s="179">
        <v>526883.89332714002</v>
      </c>
      <c r="H128" s="179">
        <v>325871.12348775798</v>
      </c>
      <c r="I128" s="179">
        <v>6389.6425021649702</v>
      </c>
      <c r="J128" s="179">
        <v>207493.71782655001</v>
      </c>
      <c r="K128" s="179">
        <v>1506.71558200607</v>
      </c>
      <c r="L128" s="179">
        <v>104053.866783658</v>
      </c>
      <c r="M128" s="179">
        <v>45116.132866894201</v>
      </c>
      <c r="N128" s="179">
        <v>12561.130685492901</v>
      </c>
      <c r="O128" s="179">
        <v>79560.435901653604</v>
      </c>
      <c r="P128" s="179">
        <v>17176.883836939502</v>
      </c>
      <c r="Q128" s="179">
        <v>1618.43654597776</v>
      </c>
      <c r="R128" s="179"/>
      <c r="S128" s="179">
        <v>216244.89033072101</v>
      </c>
      <c r="T128" s="179">
        <v>14201.6178371035</v>
      </c>
      <c r="U128" s="179">
        <v>37630.597333400197</v>
      </c>
    </row>
    <row r="129" spans="1:21" x14ac:dyDescent="0.3">
      <c r="A129" s="156"/>
      <c r="B129" s="156"/>
      <c r="C129" s="179">
        <v>120</v>
      </c>
      <c r="D129" s="179">
        <v>1526.07682094857</v>
      </c>
      <c r="E129" s="179">
        <v>2367918.75679415</v>
      </c>
      <c r="F129" s="179">
        <v>535393.73089433496</v>
      </c>
      <c r="G129" s="179">
        <v>526865.32389792101</v>
      </c>
      <c r="H129" s="179">
        <v>325581.74105033203</v>
      </c>
      <c r="I129" s="179">
        <v>6386.07707883483</v>
      </c>
      <c r="J129" s="179">
        <v>207415.45056615199</v>
      </c>
      <c r="K129" s="179">
        <v>1506.0937431360701</v>
      </c>
      <c r="L129" s="179">
        <v>104041.945362787</v>
      </c>
      <c r="M129" s="179">
        <v>45053.855467205103</v>
      </c>
      <c r="N129" s="179">
        <v>12559.3187177162</v>
      </c>
      <c r="O129" s="179">
        <v>79547.997687561903</v>
      </c>
      <c r="P129" s="179">
        <v>17176.883836939502</v>
      </c>
      <c r="Q129" s="179">
        <v>1618.43654597776</v>
      </c>
      <c r="R129" s="179"/>
      <c r="S129" s="179">
        <v>216209.36111801499</v>
      </c>
      <c r="T129" s="179">
        <v>14199.5648085218</v>
      </c>
      <c r="U129" s="179">
        <v>37630.2210131877</v>
      </c>
    </row>
    <row r="130" spans="1:21" x14ac:dyDescent="0.3">
      <c r="A130" s="156"/>
      <c r="B130" s="156"/>
      <c r="C130" s="179">
        <v>121</v>
      </c>
      <c r="D130" s="179">
        <v>1525.87488414381</v>
      </c>
      <c r="E130" s="179">
        <v>2367141.0007641399</v>
      </c>
      <c r="F130" s="179">
        <v>535134.890269347</v>
      </c>
      <c r="G130" s="179">
        <v>526846.16226943</v>
      </c>
      <c r="H130" s="179">
        <v>325487.65258947399</v>
      </c>
      <c r="I130" s="179">
        <v>6385.2112080731104</v>
      </c>
      <c r="J130" s="179">
        <v>207285.30572620599</v>
      </c>
      <c r="K130" s="179">
        <v>1506.0937431360701</v>
      </c>
      <c r="L130" s="179">
        <v>104030.58210332</v>
      </c>
      <c r="M130" s="179">
        <v>44937.889896853601</v>
      </c>
      <c r="N130" s="179">
        <v>12555.419933118001</v>
      </c>
      <c r="O130" s="179">
        <v>79514.540723798098</v>
      </c>
      <c r="P130" s="179">
        <v>17176.883836939502</v>
      </c>
      <c r="Q130" s="179">
        <v>1618.43654597776</v>
      </c>
      <c r="R130" s="179"/>
      <c r="S130" s="179">
        <v>216206.67506069699</v>
      </c>
      <c r="T130" s="179">
        <v>14199.430013715901</v>
      </c>
      <c r="U130" s="179">
        <v>37626.061149217297</v>
      </c>
    </row>
    <row r="131" spans="1:21" x14ac:dyDescent="0.3">
      <c r="A131" s="156"/>
      <c r="B131" s="156"/>
      <c r="C131" s="179">
        <v>122</v>
      </c>
      <c r="D131" s="179">
        <v>1524.9729132116599</v>
      </c>
      <c r="E131" s="179">
        <v>2365083.2557960302</v>
      </c>
      <c r="F131" s="179">
        <v>534822.17824392102</v>
      </c>
      <c r="G131" s="179">
        <v>526738.33032728196</v>
      </c>
      <c r="H131" s="179">
        <v>325386.24382179201</v>
      </c>
      <c r="I131" s="179">
        <v>6376.7374426118804</v>
      </c>
      <c r="J131" s="179">
        <v>207284.79928370501</v>
      </c>
      <c r="K131" s="179">
        <v>1506.0937431360701</v>
      </c>
      <c r="L131" s="179">
        <v>103974.018311715</v>
      </c>
      <c r="M131" s="179">
        <v>44683.143664499003</v>
      </c>
      <c r="N131" s="179">
        <v>12554.3205369388</v>
      </c>
      <c r="O131" s="179">
        <v>79509.054473883705</v>
      </c>
      <c r="P131" s="179">
        <v>17176.883836939502</v>
      </c>
      <c r="Q131" s="179">
        <v>1618.43654597776</v>
      </c>
      <c r="R131" s="179"/>
      <c r="S131" s="179">
        <v>216202.42213661</v>
      </c>
      <c r="T131" s="179">
        <v>14199.3678007286</v>
      </c>
      <c r="U131" s="179">
        <v>37613.276432809696</v>
      </c>
    </row>
    <row r="132" spans="1:21" x14ac:dyDescent="0.3">
      <c r="A132" s="156"/>
      <c r="B132" s="156"/>
      <c r="C132" s="179">
        <v>123</v>
      </c>
      <c r="D132" s="179">
        <v>1524.3199707471399</v>
      </c>
      <c r="E132" s="179">
        <v>2364181.2965172399</v>
      </c>
      <c r="F132" s="179">
        <v>534753.82322660903</v>
      </c>
      <c r="G132" s="179">
        <v>526607.17550647305</v>
      </c>
      <c r="H132" s="179">
        <v>325365.75456921099</v>
      </c>
      <c r="I132" s="179">
        <v>6376.4348002653996</v>
      </c>
      <c r="J132" s="179">
        <v>207266.691559078</v>
      </c>
      <c r="K132" s="179">
        <v>1506.0937431360701</v>
      </c>
      <c r="L132" s="179">
        <v>103947.061691108</v>
      </c>
      <c r="M132" s="179">
        <v>44632.8808041476</v>
      </c>
      <c r="N132" s="179">
        <v>12554.1678430251</v>
      </c>
      <c r="O132" s="179">
        <v>79481.236438603402</v>
      </c>
      <c r="P132" s="179">
        <v>17176.883836939502</v>
      </c>
      <c r="Q132" s="179">
        <v>1618.43654597776</v>
      </c>
      <c r="R132" s="179"/>
      <c r="S132" s="179">
        <v>216164.76646186001</v>
      </c>
      <c r="T132" s="179">
        <v>14197.024444872701</v>
      </c>
      <c r="U132" s="179">
        <v>37606.685743683003</v>
      </c>
    </row>
    <row r="133" spans="1:21" x14ac:dyDescent="0.3">
      <c r="A133" s="156"/>
      <c r="B133" s="156"/>
      <c r="C133" s="179">
        <v>124</v>
      </c>
      <c r="D133" s="179">
        <v>1522.9972846759499</v>
      </c>
      <c r="E133" s="179">
        <v>2363338.84848639</v>
      </c>
      <c r="F133" s="179">
        <v>534356.71132233401</v>
      </c>
      <c r="G133" s="179">
        <v>526425.16894644697</v>
      </c>
      <c r="H133" s="179">
        <v>325196.356056505</v>
      </c>
      <c r="I133" s="179">
        <v>6376.2837525781197</v>
      </c>
      <c r="J133" s="179">
        <v>207223.43463253899</v>
      </c>
      <c r="K133" s="179">
        <v>1506.0937431360701</v>
      </c>
      <c r="L133" s="179">
        <v>103935.087373777</v>
      </c>
      <c r="M133" s="179">
        <v>44608.701939300401</v>
      </c>
      <c r="N133" s="179">
        <v>12551.480430142699</v>
      </c>
      <c r="O133" s="179">
        <v>79427.452868013905</v>
      </c>
      <c r="P133" s="179">
        <v>17176.883836939502</v>
      </c>
      <c r="Q133" s="179">
        <v>1618.43654597776</v>
      </c>
      <c r="R133" s="179"/>
      <c r="S133" s="179">
        <v>216154.561478944</v>
      </c>
      <c r="T133" s="179">
        <v>14194.5359253798</v>
      </c>
      <c r="U133" s="179">
        <v>37591.2362733384</v>
      </c>
    </row>
    <row r="134" spans="1:21" x14ac:dyDescent="0.3">
      <c r="A134" s="156"/>
      <c r="B134" s="156"/>
      <c r="C134" s="179">
        <v>125</v>
      </c>
      <c r="D134" s="179">
        <v>1522.7432077881999</v>
      </c>
      <c r="E134" s="179">
        <v>2358442.92297622</v>
      </c>
      <c r="F134" s="179">
        <v>534261.43679137598</v>
      </c>
      <c r="G134" s="179">
        <v>526222.69493504497</v>
      </c>
      <c r="H134" s="179">
        <v>325155.06120613002</v>
      </c>
      <c r="I134" s="179">
        <v>6374.5539261971899</v>
      </c>
      <c r="J134" s="179">
        <v>207199.82046227899</v>
      </c>
      <c r="K134" s="179">
        <v>1506.0937431360701</v>
      </c>
      <c r="L134" s="179">
        <v>103916.241336786</v>
      </c>
      <c r="M134" s="179">
        <v>44518.754784607401</v>
      </c>
      <c r="N134" s="179">
        <v>12537.6463615553</v>
      </c>
      <c r="O134" s="179">
        <v>79423.839475213201</v>
      </c>
      <c r="P134" s="179">
        <v>17176.883836939502</v>
      </c>
      <c r="Q134" s="179">
        <v>1618.43654597776</v>
      </c>
      <c r="R134" s="179"/>
      <c r="S134" s="179">
        <v>216135.17913352401</v>
      </c>
      <c r="T134" s="179">
        <v>14194.297442261701</v>
      </c>
      <c r="U134" s="179">
        <v>37582.621591717601</v>
      </c>
    </row>
    <row r="135" spans="1:21" x14ac:dyDescent="0.3">
      <c r="A135" s="156"/>
      <c r="B135" s="156"/>
      <c r="C135" s="179">
        <v>126</v>
      </c>
      <c r="D135" s="179">
        <v>1521.65331446553</v>
      </c>
      <c r="E135" s="179">
        <v>2358243.80468571</v>
      </c>
      <c r="F135" s="179">
        <v>534222.76336973102</v>
      </c>
      <c r="G135" s="179">
        <v>526204.32255618798</v>
      </c>
      <c r="H135" s="179">
        <v>325150.86540502601</v>
      </c>
      <c r="I135" s="179">
        <v>6369.56299280855</v>
      </c>
      <c r="J135" s="179">
        <v>207185.24086339099</v>
      </c>
      <c r="K135" s="179">
        <v>1506.0937431360701</v>
      </c>
      <c r="L135" s="179">
        <v>103895.073737529</v>
      </c>
      <c r="M135" s="179">
        <v>44511.714299357503</v>
      </c>
      <c r="N135" s="179">
        <v>12537.391871698999</v>
      </c>
      <c r="O135" s="179">
        <v>79408.011796888604</v>
      </c>
      <c r="P135" s="179">
        <v>17176.883836939502</v>
      </c>
      <c r="Q135" s="179">
        <v>1618.43654597776</v>
      </c>
      <c r="R135" s="179"/>
      <c r="S135" s="179">
        <v>216108.77641102401</v>
      </c>
      <c r="T135" s="179">
        <v>14191.9229799122</v>
      </c>
      <c r="U135" s="179">
        <v>37578.949926941801</v>
      </c>
    </row>
    <row r="136" spans="1:21" x14ac:dyDescent="0.3">
      <c r="A136" s="156"/>
      <c r="B136" s="156"/>
      <c r="C136" s="179">
        <v>127</v>
      </c>
      <c r="D136" s="179">
        <v>1521.33130603666</v>
      </c>
      <c r="E136" s="179">
        <v>2353361.2368012201</v>
      </c>
      <c r="F136" s="179">
        <v>533938.71221595095</v>
      </c>
      <c r="G136" s="179">
        <v>526180.64362035505</v>
      </c>
      <c r="H136" s="179">
        <v>325101.68715507898</v>
      </c>
      <c r="I136" s="179">
        <v>6367.8257712902296</v>
      </c>
      <c r="J136" s="179">
        <v>207122.32469179601</v>
      </c>
      <c r="K136" s="179">
        <v>1506.0937431360701</v>
      </c>
      <c r="L136" s="179">
        <v>103850.400632912</v>
      </c>
      <c r="M136" s="179">
        <v>44479.137668338597</v>
      </c>
      <c r="N136" s="179">
        <v>12537.391871698999</v>
      </c>
      <c r="O136" s="179">
        <v>79401.416082705793</v>
      </c>
      <c r="P136" s="179">
        <v>17176.883836939502</v>
      </c>
      <c r="Q136" s="179">
        <v>1618.43654597776</v>
      </c>
      <c r="R136" s="179"/>
      <c r="S136" s="179">
        <v>216102.62086300299</v>
      </c>
      <c r="T136" s="179">
        <v>14187.6406526181</v>
      </c>
      <c r="U136" s="179">
        <v>37574.729038072102</v>
      </c>
    </row>
    <row r="137" spans="1:21" x14ac:dyDescent="0.3">
      <c r="A137" s="156"/>
      <c r="B137" s="156"/>
      <c r="C137" s="179">
        <v>128</v>
      </c>
      <c r="D137" s="179">
        <v>1521.3122028149301</v>
      </c>
      <c r="E137" s="179">
        <v>2352483.4161545499</v>
      </c>
      <c r="F137" s="179">
        <v>533850.36269166798</v>
      </c>
      <c r="G137" s="179">
        <v>525421.25621913106</v>
      </c>
      <c r="H137" s="179">
        <v>325086.72281082202</v>
      </c>
      <c r="I137" s="179">
        <v>6366.4939815674497</v>
      </c>
      <c r="J137" s="179">
        <v>207110.24305181499</v>
      </c>
      <c r="K137" s="179">
        <v>1505.4719042660699</v>
      </c>
      <c r="L137" s="179">
        <v>103843.577488207</v>
      </c>
      <c r="M137" s="179">
        <v>44475.1053072793</v>
      </c>
      <c r="N137" s="179">
        <v>12535.905650938401</v>
      </c>
      <c r="O137" s="179">
        <v>79400.438939863903</v>
      </c>
      <c r="P137" s="179">
        <v>17176.883836939502</v>
      </c>
      <c r="Q137" s="179">
        <v>1618.43654597776</v>
      </c>
      <c r="R137" s="179"/>
      <c r="S137" s="179">
        <v>216056.601782513</v>
      </c>
      <c r="T137" s="179">
        <v>14187.0911045634</v>
      </c>
      <c r="U137" s="179">
        <v>37567.701003833703</v>
      </c>
    </row>
    <row r="138" spans="1:21" x14ac:dyDescent="0.3">
      <c r="A138" s="156"/>
      <c r="B138" s="156"/>
      <c r="C138" s="179">
        <v>129</v>
      </c>
      <c r="D138" s="179">
        <v>1520.7053019419</v>
      </c>
      <c r="E138" s="179">
        <v>2351622.8003068902</v>
      </c>
      <c r="F138" s="179">
        <v>533048.13589051401</v>
      </c>
      <c r="G138" s="179">
        <v>525304.45718807098</v>
      </c>
      <c r="H138" s="179">
        <v>325065.53627934703</v>
      </c>
      <c r="I138" s="179">
        <v>6358.1768343572103</v>
      </c>
      <c r="J138" s="179">
        <v>206953.673908942</v>
      </c>
      <c r="K138" s="179">
        <v>1505.4719042660699</v>
      </c>
      <c r="L138" s="179">
        <v>103806.58296983301</v>
      </c>
      <c r="M138" s="179">
        <v>44430.500614442702</v>
      </c>
      <c r="N138" s="179">
        <v>12528.729036991201</v>
      </c>
      <c r="O138" s="179">
        <v>79371.033047465506</v>
      </c>
      <c r="P138" s="179">
        <v>17176.883836939502</v>
      </c>
      <c r="Q138" s="179">
        <v>1618.43654597776</v>
      </c>
      <c r="R138" s="179"/>
      <c r="S138" s="179">
        <v>216051.779088693</v>
      </c>
      <c r="T138" s="179">
        <v>14179.5529642661</v>
      </c>
      <c r="U138" s="179">
        <v>37567.5179291358</v>
      </c>
    </row>
    <row r="139" spans="1:21" x14ac:dyDescent="0.3">
      <c r="A139" s="156"/>
      <c r="B139" s="156"/>
      <c r="C139" s="179">
        <v>130</v>
      </c>
      <c r="D139" s="179">
        <v>1520.5384617538</v>
      </c>
      <c r="E139" s="179">
        <v>2350815.1638241601</v>
      </c>
      <c r="F139" s="179">
        <v>532982.61782215605</v>
      </c>
      <c r="G139" s="179">
        <v>525088.99647992104</v>
      </c>
      <c r="H139" s="179">
        <v>324989.160883567</v>
      </c>
      <c r="I139" s="179">
        <v>6347.9338607482296</v>
      </c>
      <c r="J139" s="179">
        <v>206851.30699682201</v>
      </c>
      <c r="K139" s="179">
        <v>1505.4719042660699</v>
      </c>
      <c r="L139" s="179">
        <v>103779.996526587</v>
      </c>
      <c r="M139" s="179">
        <v>44394.010860608498</v>
      </c>
      <c r="N139" s="179">
        <v>12523.282954066801</v>
      </c>
      <c r="O139" s="179">
        <v>79370.900726039006</v>
      </c>
      <c r="P139" s="179">
        <v>17176.883836939502</v>
      </c>
      <c r="Q139" s="179">
        <v>1618.43654597776</v>
      </c>
      <c r="R139" s="179"/>
      <c r="S139" s="179">
        <v>216033.24122341501</v>
      </c>
      <c r="T139" s="179">
        <v>14178.0494837391</v>
      </c>
      <c r="U139" s="179">
        <v>37566.744947077699</v>
      </c>
    </row>
    <row r="140" spans="1:21" x14ac:dyDescent="0.3">
      <c r="A140" s="156"/>
      <c r="B140" s="156"/>
      <c r="C140" s="179">
        <v>131</v>
      </c>
      <c r="D140" s="179">
        <v>1520.5235588176099</v>
      </c>
      <c r="E140" s="179">
        <v>2348793.49200388</v>
      </c>
      <c r="F140" s="179">
        <v>532714.27825873799</v>
      </c>
      <c r="G140" s="179">
        <v>525039.00009774195</v>
      </c>
      <c r="H140" s="179">
        <v>324986.78596145101</v>
      </c>
      <c r="I140" s="179">
        <v>6347.5320263530803</v>
      </c>
      <c r="J140" s="179">
        <v>206833.2980102</v>
      </c>
      <c r="K140" s="179">
        <v>1504.85006539607</v>
      </c>
      <c r="L140" s="179">
        <v>103761.59458508799</v>
      </c>
      <c r="M140" s="179">
        <v>44309.108014880898</v>
      </c>
      <c r="N140" s="179">
        <v>12521.328471970601</v>
      </c>
      <c r="O140" s="179">
        <v>79356.0807262702</v>
      </c>
      <c r="P140" s="179">
        <v>17176.883836939502</v>
      </c>
      <c r="Q140" s="179">
        <v>1618.43654597776</v>
      </c>
      <c r="R140" s="179"/>
      <c r="S140" s="179">
        <v>216027.136547692</v>
      </c>
      <c r="T140" s="179">
        <v>14174.119696706501</v>
      </c>
      <c r="U140" s="179">
        <v>37561.110314707097</v>
      </c>
    </row>
    <row r="141" spans="1:21" x14ac:dyDescent="0.3">
      <c r="A141" s="156"/>
      <c r="B141" s="156"/>
      <c r="C141" s="179">
        <v>132</v>
      </c>
      <c r="D141" s="179">
        <v>1520.29302776129</v>
      </c>
      <c r="E141" s="179">
        <v>2347975.3386927801</v>
      </c>
      <c r="F141" s="179">
        <v>532679.75569519203</v>
      </c>
      <c r="G141" s="179">
        <v>525026.31000979105</v>
      </c>
      <c r="H141" s="179">
        <v>324936.43871878798</v>
      </c>
      <c r="I141" s="179">
        <v>6346.1149413020503</v>
      </c>
      <c r="J141" s="179">
        <v>206804.25630926099</v>
      </c>
      <c r="K141" s="179">
        <v>1504.85006539607</v>
      </c>
      <c r="L141" s="179">
        <v>103752.805412783</v>
      </c>
      <c r="M141" s="179">
        <v>44284.869740357797</v>
      </c>
      <c r="N141" s="179">
        <v>12521.257214810799</v>
      </c>
      <c r="O141" s="179">
        <v>79353.973762017398</v>
      </c>
      <c r="P141" s="179">
        <v>17176.883836939502</v>
      </c>
      <c r="Q141" s="179">
        <v>1618.43654597776</v>
      </c>
      <c r="R141" s="179"/>
      <c r="S141" s="179">
        <v>216026.54642903901</v>
      </c>
      <c r="T141" s="179">
        <v>14171.8178161755</v>
      </c>
      <c r="U141" s="179">
        <v>37549.891904048702</v>
      </c>
    </row>
    <row r="142" spans="1:21" x14ac:dyDescent="0.3">
      <c r="A142" s="156"/>
      <c r="B142" s="156"/>
      <c r="C142" s="179">
        <v>133</v>
      </c>
      <c r="D142" s="179">
        <v>1520.04900732642</v>
      </c>
      <c r="E142" s="179">
        <v>2347369.4008676</v>
      </c>
      <c r="F142" s="179">
        <v>532501.60179186997</v>
      </c>
      <c r="G142" s="179">
        <v>524949.87092446699</v>
      </c>
      <c r="H142" s="179">
        <v>324922.50822808099</v>
      </c>
      <c r="I142" s="179">
        <v>6344.57594793322</v>
      </c>
      <c r="J142" s="179">
        <v>206742.28009580501</v>
      </c>
      <c r="K142" s="179">
        <v>1504.85006539607</v>
      </c>
      <c r="L142" s="179">
        <v>103643.146129717</v>
      </c>
      <c r="M142" s="179">
        <v>44250.013255445898</v>
      </c>
      <c r="N142" s="179">
        <v>12520.3206921397</v>
      </c>
      <c r="O142" s="179">
        <v>79336.883940855405</v>
      </c>
      <c r="P142" s="179">
        <v>17176.883836939502</v>
      </c>
      <c r="Q142" s="179">
        <v>1618.43654597776</v>
      </c>
      <c r="R142" s="179"/>
      <c r="S142" s="179">
        <v>216022.720832252</v>
      </c>
      <c r="T142" s="179">
        <v>14169.650730450399</v>
      </c>
      <c r="U142" s="179">
        <v>37545.325207416201</v>
      </c>
    </row>
    <row r="143" spans="1:21" x14ac:dyDescent="0.3">
      <c r="A143" s="156"/>
      <c r="B143" s="156"/>
      <c r="C143" s="179">
        <v>134</v>
      </c>
      <c r="D143" s="179">
        <v>1519.9019973325501</v>
      </c>
      <c r="E143" s="179">
        <v>2346840.9359104401</v>
      </c>
      <c r="F143" s="179">
        <v>532416.862480273</v>
      </c>
      <c r="G143" s="179">
        <v>524808.31511456205</v>
      </c>
      <c r="H143" s="179">
        <v>324913.40996965399</v>
      </c>
      <c r="I143" s="179">
        <v>6339.2192427694099</v>
      </c>
      <c r="J143" s="179">
        <v>206706.61056913499</v>
      </c>
      <c r="K143" s="179">
        <v>1504.2282265260701</v>
      </c>
      <c r="L143" s="179">
        <v>103607.980678233</v>
      </c>
      <c r="M143" s="179">
        <v>44204.779927007403</v>
      </c>
      <c r="N143" s="179">
        <v>12514.3554499085</v>
      </c>
      <c r="O143" s="179">
        <v>79310.531619838002</v>
      </c>
      <c r="P143" s="179">
        <v>17176.883836939502</v>
      </c>
      <c r="Q143" s="179">
        <v>1618.43654597776</v>
      </c>
      <c r="R143" s="179"/>
      <c r="S143" s="179">
        <v>216004.58994535601</v>
      </c>
      <c r="T143" s="179">
        <v>14166.716351215</v>
      </c>
      <c r="U143" s="179">
        <v>37544.653933523601</v>
      </c>
    </row>
    <row r="144" spans="1:21" x14ac:dyDescent="0.3">
      <c r="A144" s="156"/>
      <c r="B144" s="156"/>
      <c r="C144" s="179">
        <v>135</v>
      </c>
      <c r="D144" s="179">
        <v>1518.06332233783</v>
      </c>
      <c r="E144" s="179">
        <v>2345575.5439577699</v>
      </c>
      <c r="F144" s="179">
        <v>532404.86729859002</v>
      </c>
      <c r="G144" s="179">
        <v>524729.30113230599</v>
      </c>
      <c r="H144" s="179">
        <v>324878.80859195098</v>
      </c>
      <c r="I144" s="179">
        <v>6336.7142053984298</v>
      </c>
      <c r="J144" s="179">
        <v>206659.875942896</v>
      </c>
      <c r="K144" s="179">
        <v>1504.2282265260701</v>
      </c>
      <c r="L144" s="179">
        <v>103588.504874472</v>
      </c>
      <c r="M144" s="179">
        <v>44127.600629533998</v>
      </c>
      <c r="N144" s="179">
        <v>12514.2740131545</v>
      </c>
      <c r="O144" s="179">
        <v>79269.400013336795</v>
      </c>
      <c r="P144" s="179">
        <v>17176.883836939502</v>
      </c>
      <c r="Q144" s="179">
        <v>1618.43654597776</v>
      </c>
      <c r="R144" s="179"/>
      <c r="S144" s="179">
        <v>215970.24096995601</v>
      </c>
      <c r="T144" s="179">
        <v>14164.1656187347</v>
      </c>
      <c r="U144" s="179">
        <v>37537.1580417238</v>
      </c>
    </row>
    <row r="145" spans="1:21" x14ac:dyDescent="0.3">
      <c r="A145" s="156"/>
      <c r="B145" s="156"/>
      <c r="C145" s="179">
        <v>136</v>
      </c>
      <c r="D145" s="179">
        <v>1516.80792160999</v>
      </c>
      <c r="E145" s="179">
        <v>2344079.8388012098</v>
      </c>
      <c r="F145" s="179">
        <v>532162.32047921803</v>
      </c>
      <c r="G145" s="179">
        <v>524380.30396292906</v>
      </c>
      <c r="H145" s="179">
        <v>324812.74961926503</v>
      </c>
      <c r="I145" s="179">
        <v>6336.3254000197303</v>
      </c>
      <c r="J145" s="179">
        <v>206605.309016905</v>
      </c>
      <c r="K145" s="179">
        <v>1504.2282265260701</v>
      </c>
      <c r="L145" s="179">
        <v>103530.96501095399</v>
      </c>
      <c r="M145" s="179">
        <v>44061.1569340231</v>
      </c>
      <c r="N145" s="179">
        <v>12502.3638878806</v>
      </c>
      <c r="O145" s="179">
        <v>79242.976442320505</v>
      </c>
      <c r="P145" s="179">
        <v>17176.883836939502</v>
      </c>
      <c r="Q145" s="179">
        <v>1618.43654597776</v>
      </c>
      <c r="R145" s="179"/>
      <c r="S145" s="179">
        <v>215961.90808759499</v>
      </c>
      <c r="T145" s="179">
        <v>14160.370626508</v>
      </c>
      <c r="U145" s="179">
        <v>37535.184903312402</v>
      </c>
    </row>
    <row r="146" spans="1:21" x14ac:dyDescent="0.3">
      <c r="A146" s="156"/>
      <c r="B146" s="156"/>
      <c r="C146" s="179">
        <v>137</v>
      </c>
      <c r="D146" s="179">
        <v>1516.24128693582</v>
      </c>
      <c r="E146" s="179">
        <v>2341722.4090832402</v>
      </c>
      <c r="F146" s="179">
        <v>532139.53311052499</v>
      </c>
      <c r="G146" s="179">
        <v>524351.99640375003</v>
      </c>
      <c r="H146" s="179">
        <v>324751.08985545702</v>
      </c>
      <c r="I146" s="179">
        <v>6330.1806943613301</v>
      </c>
      <c r="J146" s="179">
        <v>206592.066865809</v>
      </c>
      <c r="K146" s="179">
        <v>1504.2282265260701</v>
      </c>
      <c r="L146" s="179">
        <v>103522.85867005499</v>
      </c>
      <c r="M146" s="179">
        <v>44046.127182978002</v>
      </c>
      <c r="N146" s="179">
        <v>12502.129757212801</v>
      </c>
      <c r="O146" s="179">
        <v>79229.174299678605</v>
      </c>
      <c r="P146" s="179">
        <v>17176.883836939502</v>
      </c>
      <c r="Q146" s="179">
        <v>1618.43654597776</v>
      </c>
      <c r="R146" s="179"/>
      <c r="S146" s="179">
        <v>215943.848421915</v>
      </c>
      <c r="T146" s="179">
        <v>14159.9973485841</v>
      </c>
      <c r="U146" s="179">
        <v>37517.874173538403</v>
      </c>
    </row>
    <row r="147" spans="1:21" x14ac:dyDescent="0.3">
      <c r="A147" s="156"/>
      <c r="B147" s="156"/>
      <c r="C147" s="179">
        <v>138</v>
      </c>
      <c r="D147" s="179">
        <v>1516.0001743909399</v>
      </c>
      <c r="E147" s="179">
        <v>2341099.9332526098</v>
      </c>
      <c r="F147" s="179">
        <v>532100.54031726404</v>
      </c>
      <c r="G147" s="179">
        <v>524177.18363652902</v>
      </c>
      <c r="H147" s="179">
        <v>324723.51214833598</v>
      </c>
      <c r="I147" s="179">
        <v>6328.2809388806099</v>
      </c>
      <c r="J147" s="179">
        <v>206548.540314985</v>
      </c>
      <c r="K147" s="179">
        <v>1503.60638765607</v>
      </c>
      <c r="L147" s="179">
        <v>103513.343951182</v>
      </c>
      <c r="M147" s="179">
        <v>44027.067294119297</v>
      </c>
      <c r="N147" s="179">
        <v>12500.1752751165</v>
      </c>
      <c r="O147" s="179">
        <v>79217.876085569194</v>
      </c>
      <c r="P147" s="179">
        <v>17176.883836939502</v>
      </c>
      <c r="Q147" s="179">
        <v>1618.43654597776</v>
      </c>
      <c r="R147" s="179"/>
      <c r="S147" s="179">
        <v>215942.40364866101</v>
      </c>
      <c r="T147" s="179">
        <v>14159.3752187108</v>
      </c>
      <c r="U147" s="179">
        <v>37514.924636737902</v>
      </c>
    </row>
    <row r="148" spans="1:21" x14ac:dyDescent="0.3">
      <c r="A148" s="156"/>
      <c r="B148" s="156"/>
      <c r="C148" s="179">
        <v>139</v>
      </c>
      <c r="D148" s="179">
        <v>1514.9849976860401</v>
      </c>
      <c r="E148" s="179">
        <v>2338374.54807676</v>
      </c>
      <c r="F148" s="179">
        <v>531945.76900840504</v>
      </c>
      <c r="G148" s="179">
        <v>524056.79741182702</v>
      </c>
      <c r="H148" s="179">
        <v>324666.45685121801</v>
      </c>
      <c r="I148" s="179">
        <v>6313.8268674242099</v>
      </c>
      <c r="J148" s="179">
        <v>206504.90778917901</v>
      </c>
      <c r="K148" s="179">
        <v>1503.60638765607</v>
      </c>
      <c r="L148" s="179">
        <v>103506.64754017501</v>
      </c>
      <c r="M148" s="179">
        <v>44010.463549920998</v>
      </c>
      <c r="N148" s="179">
        <v>12500.0938383625</v>
      </c>
      <c r="O148" s="179">
        <v>79215.138049897607</v>
      </c>
      <c r="P148" s="179">
        <v>17176.883836939502</v>
      </c>
      <c r="Q148" s="179">
        <v>1618.43654597776</v>
      </c>
      <c r="R148" s="179"/>
      <c r="S148" s="179">
        <v>215929.63470194099</v>
      </c>
      <c r="T148" s="179">
        <v>14158.545712213199</v>
      </c>
      <c r="U148" s="179">
        <v>37510.612210519299</v>
      </c>
    </row>
    <row r="149" spans="1:21" x14ac:dyDescent="0.3">
      <c r="A149" s="156"/>
      <c r="B149" s="156"/>
      <c r="C149" s="179">
        <v>140</v>
      </c>
      <c r="D149" s="179">
        <v>1514.78855356237</v>
      </c>
      <c r="E149" s="179">
        <v>2336673.4856289201</v>
      </c>
      <c r="F149" s="179">
        <v>531682.82224689901</v>
      </c>
      <c r="G149" s="179">
        <v>523973.32052475598</v>
      </c>
      <c r="H149" s="179">
        <v>324625.26339437201</v>
      </c>
      <c r="I149" s="179">
        <v>6310.9163014401902</v>
      </c>
      <c r="J149" s="179">
        <v>206412.21217861699</v>
      </c>
      <c r="K149" s="179">
        <v>1502.98454878608</v>
      </c>
      <c r="L149" s="179">
        <v>103475.168846222</v>
      </c>
      <c r="M149" s="179">
        <v>43886.367645314502</v>
      </c>
      <c r="N149" s="179">
        <v>12472.8634237405</v>
      </c>
      <c r="O149" s="179">
        <v>79148.4276937955</v>
      </c>
      <c r="P149" s="179">
        <v>17176.883836939502</v>
      </c>
      <c r="Q149" s="179">
        <v>1618.43654597776</v>
      </c>
      <c r="R149" s="179"/>
      <c r="S149" s="179">
        <v>215926.94864462299</v>
      </c>
      <c r="T149" s="179">
        <v>14156.751904412</v>
      </c>
      <c r="U149" s="179">
        <v>37499.414141494002</v>
      </c>
    </row>
    <row r="150" spans="1:21" x14ac:dyDescent="0.3">
      <c r="A150" s="156"/>
      <c r="B150" s="156"/>
      <c r="C150" s="179">
        <v>141</v>
      </c>
      <c r="D150" s="179">
        <v>1514.04902059597</v>
      </c>
      <c r="E150" s="179">
        <v>2334947.1943318699</v>
      </c>
      <c r="F150" s="179">
        <v>531266.03583041904</v>
      </c>
      <c r="G150" s="179">
        <v>523734.24516802299</v>
      </c>
      <c r="H150" s="179">
        <v>324620.14621813298</v>
      </c>
      <c r="I150" s="179">
        <v>6308.9722449759502</v>
      </c>
      <c r="J150" s="179">
        <v>206406.23829572101</v>
      </c>
      <c r="K150" s="179">
        <v>1502.98454878608</v>
      </c>
      <c r="L150" s="179">
        <v>103436.762613724</v>
      </c>
      <c r="M150" s="179">
        <v>43816.591046722002</v>
      </c>
      <c r="N150" s="179">
        <v>12461.2892250768</v>
      </c>
      <c r="O150" s="179">
        <v>79144.244301003593</v>
      </c>
      <c r="P150" s="179">
        <v>17176.883836939502</v>
      </c>
      <c r="Q150" s="179">
        <v>1618.43654597776</v>
      </c>
      <c r="R150" s="179"/>
      <c r="S150" s="179">
        <v>215923.428281623</v>
      </c>
      <c r="T150" s="179">
        <v>14156.3578888257</v>
      </c>
      <c r="U150" s="179">
        <v>37498.447913921402</v>
      </c>
    </row>
    <row r="151" spans="1:21" x14ac:dyDescent="0.3">
      <c r="A151" s="156"/>
      <c r="B151" s="156"/>
      <c r="C151" s="179">
        <v>142</v>
      </c>
      <c r="D151" s="179">
        <v>1513.2033496449801</v>
      </c>
      <c r="E151" s="179">
        <v>2334036.67887918</v>
      </c>
      <c r="F151" s="179">
        <v>531096.13958490803</v>
      </c>
      <c r="G151" s="179">
        <v>523225.26267302799</v>
      </c>
      <c r="H151" s="179">
        <v>324510.12951290398</v>
      </c>
      <c r="I151" s="179">
        <v>6306.5147715380699</v>
      </c>
      <c r="J151" s="179">
        <v>206374.79434723599</v>
      </c>
      <c r="K151" s="179">
        <v>1502.3627099160799</v>
      </c>
      <c r="L151" s="179">
        <v>103393.090566378</v>
      </c>
      <c r="M151" s="179">
        <v>43736.084135788398</v>
      </c>
      <c r="N151" s="179">
        <v>12461.1059923803</v>
      </c>
      <c r="O151" s="179">
        <v>79132.834122610206</v>
      </c>
      <c r="P151" s="179">
        <v>17176.883836939502</v>
      </c>
      <c r="Q151" s="179">
        <v>1618.43654597776</v>
      </c>
      <c r="R151" s="179"/>
      <c r="S151" s="179">
        <v>215914.566327365</v>
      </c>
      <c r="T151" s="179">
        <v>14156.326782332</v>
      </c>
      <c r="U151" s="179">
        <v>37495.071202825602</v>
      </c>
    </row>
    <row r="152" spans="1:21" x14ac:dyDescent="0.3">
      <c r="A152" s="156"/>
      <c r="B152" s="156"/>
      <c r="C152" s="179">
        <v>143</v>
      </c>
      <c r="D152" s="179">
        <v>1511.2577289184601</v>
      </c>
      <c r="E152" s="179">
        <v>2331829.83061213</v>
      </c>
      <c r="F152" s="179">
        <v>530740.10433909297</v>
      </c>
      <c r="G152" s="179">
        <v>523010.82813615899</v>
      </c>
      <c r="H152" s="179">
        <v>324388.75883714901</v>
      </c>
      <c r="I152" s="179">
        <v>6302.4939158240504</v>
      </c>
      <c r="J152" s="179">
        <v>206361.93823065699</v>
      </c>
      <c r="K152" s="179">
        <v>1502.3627099160799</v>
      </c>
      <c r="L152" s="179">
        <v>103256.888069543</v>
      </c>
      <c r="M152" s="179">
        <v>43724.964092812203</v>
      </c>
      <c r="N152" s="179">
        <v>12458.6934285428</v>
      </c>
      <c r="O152" s="179">
        <v>79130.106265509894</v>
      </c>
      <c r="P152" s="179">
        <v>17176.883836939502</v>
      </c>
      <c r="Q152" s="179">
        <v>1618.43654597776</v>
      </c>
      <c r="R152" s="179"/>
      <c r="S152" s="179">
        <v>215869.157714448</v>
      </c>
      <c r="T152" s="179">
        <v>14155.4143251846</v>
      </c>
      <c r="U152" s="179">
        <v>37493.718484224002</v>
      </c>
    </row>
    <row r="153" spans="1:21" x14ac:dyDescent="0.3">
      <c r="A153" s="156"/>
      <c r="B153" s="156"/>
      <c r="C153" s="179">
        <v>144</v>
      </c>
      <c r="D153" s="179">
        <v>1510.3863312185499</v>
      </c>
      <c r="E153" s="179">
        <v>2331575.6721966499</v>
      </c>
      <c r="F153" s="179">
        <v>530692.66620111803</v>
      </c>
      <c r="G153" s="179">
        <v>523003.45388397097</v>
      </c>
      <c r="H153" s="179">
        <v>324358.65750677697</v>
      </c>
      <c r="I153" s="179">
        <v>6298.6165185759701</v>
      </c>
      <c r="J153" s="179">
        <v>206204.60772173799</v>
      </c>
      <c r="K153" s="179">
        <v>1502.3627099160799</v>
      </c>
      <c r="L153" s="179">
        <v>103204.113950824</v>
      </c>
      <c r="M153" s="179">
        <v>43680.802007320897</v>
      </c>
      <c r="N153" s="179">
        <v>12457.655109929199</v>
      </c>
      <c r="O153" s="179">
        <v>79120.986265652202</v>
      </c>
      <c r="P153" s="179">
        <v>17176.883836939502</v>
      </c>
      <c r="Q153" s="179">
        <v>1618.43654597776</v>
      </c>
      <c r="R153" s="179"/>
      <c r="S153" s="179">
        <v>215833.31309349599</v>
      </c>
      <c r="T153" s="179">
        <v>14153.9212134888</v>
      </c>
      <c r="U153" s="179">
        <v>37487.961802054801</v>
      </c>
    </row>
    <row r="154" spans="1:21" x14ac:dyDescent="0.3">
      <c r="A154" s="156"/>
      <c r="B154" s="156"/>
      <c r="C154" s="179">
        <v>145</v>
      </c>
      <c r="D154" s="179">
        <v>1508.9281859387199</v>
      </c>
      <c r="E154" s="179">
        <v>2331143.2481392599</v>
      </c>
      <c r="F154" s="179">
        <v>530623.27383499895</v>
      </c>
      <c r="G154" s="179">
        <v>522837.042857881</v>
      </c>
      <c r="H154" s="179">
        <v>324315.97976291302</v>
      </c>
      <c r="I154" s="179">
        <v>6292.6656056422598</v>
      </c>
      <c r="J154" s="179">
        <v>206197.081762135</v>
      </c>
      <c r="K154" s="179">
        <v>1502.3627099160799</v>
      </c>
      <c r="L154" s="179">
        <v>103197.910531378</v>
      </c>
      <c r="M154" s="179">
        <v>43665.021732625901</v>
      </c>
      <c r="N154" s="179">
        <v>12453.919198838999</v>
      </c>
      <c r="O154" s="179">
        <v>79119.6834085296</v>
      </c>
      <c r="P154" s="179">
        <v>17176.883836939502</v>
      </c>
      <c r="Q154" s="179">
        <v>1618.43654597776</v>
      </c>
      <c r="R154" s="179"/>
      <c r="S154" s="179">
        <v>215796.685039159</v>
      </c>
      <c r="T154" s="179">
        <v>14152.272569324699</v>
      </c>
      <c r="U154" s="179">
        <v>37480.903255366698</v>
      </c>
    </row>
    <row r="155" spans="1:21" x14ac:dyDescent="0.3">
      <c r="A155" s="156"/>
      <c r="B155" s="156"/>
      <c r="C155" s="179">
        <v>146</v>
      </c>
      <c r="D155" s="179">
        <v>1508.2334829429799</v>
      </c>
      <c r="E155" s="179">
        <v>2321343.0567067601</v>
      </c>
      <c r="F155" s="179">
        <v>530495.26005539403</v>
      </c>
      <c r="G155" s="179">
        <v>522813.55461317499</v>
      </c>
      <c r="H155" s="179">
        <v>324265.969309584</v>
      </c>
      <c r="I155" s="179">
        <v>6273.7065069255696</v>
      </c>
      <c r="J155" s="179">
        <v>206181.62041564399</v>
      </c>
      <c r="K155" s="179">
        <v>1502.3627099160799</v>
      </c>
      <c r="L155" s="179">
        <v>103181.82260607601</v>
      </c>
      <c r="M155" s="179">
        <v>43536.393878349998</v>
      </c>
      <c r="N155" s="179">
        <v>12450.4174184165</v>
      </c>
      <c r="O155" s="179">
        <v>79107.7439444302</v>
      </c>
      <c r="P155" s="179">
        <v>17176.883836939502</v>
      </c>
      <c r="Q155" s="179">
        <v>1618.43654597776</v>
      </c>
      <c r="R155" s="179"/>
      <c r="S155" s="179">
        <v>215796.247537399</v>
      </c>
      <c r="T155" s="179">
        <v>14150.219540743101</v>
      </c>
      <c r="U155" s="179">
        <v>37475.543235042998</v>
      </c>
    </row>
    <row r="156" spans="1:21" x14ac:dyDescent="0.3">
      <c r="A156" s="156"/>
      <c r="B156" s="156"/>
      <c r="C156" s="179">
        <v>147</v>
      </c>
      <c r="D156" s="179">
        <v>1508.2256074075999</v>
      </c>
      <c r="E156" s="179">
        <v>2319794.2517277999</v>
      </c>
      <c r="F156" s="179">
        <v>530382.56667960098</v>
      </c>
      <c r="G156" s="179">
        <v>522788.08324252901</v>
      </c>
      <c r="H156" s="179">
        <v>324107.52620835201</v>
      </c>
      <c r="I156" s="179">
        <v>6272.4821745101299</v>
      </c>
      <c r="J156" s="179">
        <v>206149.97318550901</v>
      </c>
      <c r="K156" s="179">
        <v>1501.74087104608</v>
      </c>
      <c r="L156" s="179">
        <v>103165.662884044</v>
      </c>
      <c r="M156" s="179">
        <v>43471.387714667297</v>
      </c>
      <c r="N156" s="179">
        <v>12448.076111738799</v>
      </c>
      <c r="O156" s="179">
        <v>79106.522515877805</v>
      </c>
      <c r="P156" s="179">
        <v>17176.883836939502</v>
      </c>
      <c r="Q156" s="179">
        <v>1618.43654597776</v>
      </c>
      <c r="R156" s="179"/>
      <c r="S156" s="179">
        <v>215786.642847596</v>
      </c>
      <c r="T156" s="179">
        <v>14150.0121641187</v>
      </c>
      <c r="U156" s="179">
        <v>37472.970018455002</v>
      </c>
    </row>
    <row r="157" spans="1:21" x14ac:dyDescent="0.3">
      <c r="A157" s="156"/>
      <c r="B157" s="156"/>
      <c r="C157" s="179">
        <v>148</v>
      </c>
      <c r="D157" s="179">
        <v>1507.5996033128299</v>
      </c>
      <c r="E157" s="179">
        <v>2318473.22868024</v>
      </c>
      <c r="F157" s="179">
        <v>530341.43896002497</v>
      </c>
      <c r="G157" s="179">
        <v>522573.519443753</v>
      </c>
      <c r="H157" s="179">
        <v>324090.92762294097</v>
      </c>
      <c r="I157" s="179">
        <v>6269.6667755365997</v>
      </c>
      <c r="J157" s="179">
        <v>206131.827694501</v>
      </c>
      <c r="K157" s="179">
        <v>1501.74087104608</v>
      </c>
      <c r="L157" s="179">
        <v>103149.782882752</v>
      </c>
      <c r="M157" s="179">
        <v>43466.986751890501</v>
      </c>
      <c r="N157" s="179">
        <v>12444.3096618658</v>
      </c>
      <c r="O157" s="179">
        <v>79100.863230251794</v>
      </c>
      <c r="P157" s="179">
        <v>17176.883836939502</v>
      </c>
      <c r="Q157" s="179">
        <v>1618.43654597776</v>
      </c>
      <c r="R157" s="179"/>
      <c r="S157" s="179">
        <v>215740.14556750801</v>
      </c>
      <c r="T157" s="179">
        <v>14149.2656082708</v>
      </c>
      <c r="U157" s="179">
        <v>37471.281662907102</v>
      </c>
    </row>
    <row r="158" spans="1:21" x14ac:dyDescent="0.3">
      <c r="A158" s="156"/>
      <c r="B158" s="156"/>
      <c r="C158" s="179">
        <v>149</v>
      </c>
      <c r="D158" s="179">
        <v>1507.4986349104499</v>
      </c>
      <c r="E158" s="179">
        <v>2317130.1075036</v>
      </c>
      <c r="F158" s="179">
        <v>530097.08350477996</v>
      </c>
      <c r="G158" s="179">
        <v>522532.54307531798</v>
      </c>
      <c r="H158" s="179">
        <v>324070.451468652</v>
      </c>
      <c r="I158" s="179">
        <v>6268.5172254489798</v>
      </c>
      <c r="J158" s="179">
        <v>206120.96805718899</v>
      </c>
      <c r="K158" s="179">
        <v>1501.74087104608</v>
      </c>
      <c r="L158" s="179">
        <v>103132.948095794</v>
      </c>
      <c r="M158" s="179">
        <v>43350.812170084697</v>
      </c>
      <c r="N158" s="179">
        <v>12443.719245399199</v>
      </c>
      <c r="O158" s="179">
        <v>79100.781801681704</v>
      </c>
      <c r="P158" s="179">
        <v>17176.883836939502</v>
      </c>
      <c r="Q158" s="179">
        <v>1618.43654597776</v>
      </c>
      <c r="R158" s="179"/>
      <c r="S158" s="179">
        <v>215731.63971933399</v>
      </c>
      <c r="T158" s="179">
        <v>14146.994834233499</v>
      </c>
      <c r="U158" s="179">
        <v>37466.796332807098</v>
      </c>
    </row>
    <row r="159" spans="1:21" x14ac:dyDescent="0.3">
      <c r="A159" s="156"/>
      <c r="B159" s="156"/>
      <c r="C159" s="179">
        <v>150</v>
      </c>
      <c r="D159" s="179">
        <v>1506.9189551187001</v>
      </c>
      <c r="E159" s="179">
        <v>2316717.5525231902</v>
      </c>
      <c r="F159" s="179">
        <v>529976.31366787897</v>
      </c>
      <c r="G159" s="179">
        <v>522341.31643865601</v>
      </c>
      <c r="H159" s="179">
        <v>323935.96883186698</v>
      </c>
      <c r="I159" s="179">
        <v>6265.8014355669502</v>
      </c>
      <c r="J159" s="179">
        <v>206113.55965901999</v>
      </c>
      <c r="K159" s="179">
        <v>1501.74087104608</v>
      </c>
      <c r="L159" s="179">
        <v>103117.911917091</v>
      </c>
      <c r="M159" s="179">
        <v>43318.567286326499</v>
      </c>
      <c r="N159" s="179">
        <v>12439.810281206799</v>
      </c>
      <c r="O159" s="179">
        <v>79099.326265990094</v>
      </c>
      <c r="P159" s="179">
        <v>17176.883836939502</v>
      </c>
      <c r="Q159" s="179">
        <v>1618.43654597776</v>
      </c>
      <c r="R159" s="179"/>
      <c r="S159" s="179">
        <v>215722.60479926399</v>
      </c>
      <c r="T159" s="179">
        <v>14146.580080984701</v>
      </c>
      <c r="U159" s="179">
        <v>37463.236547013403</v>
      </c>
    </row>
    <row r="160" spans="1:21" x14ac:dyDescent="0.3">
      <c r="A160" s="156"/>
      <c r="B160" s="156"/>
      <c r="C160" s="179">
        <v>151</v>
      </c>
      <c r="D160" s="179">
        <v>1505.8041024069701</v>
      </c>
      <c r="E160" s="179">
        <v>2314660.9823859702</v>
      </c>
      <c r="F160" s="179">
        <v>529842.36349788704</v>
      </c>
      <c r="G160" s="179">
        <v>522234.48621604597</v>
      </c>
      <c r="H160" s="179">
        <v>323930.94202692801</v>
      </c>
      <c r="I160" s="179">
        <v>6262.9232761035501</v>
      </c>
      <c r="J160" s="179">
        <v>206112.62330109099</v>
      </c>
      <c r="K160" s="179">
        <v>1501.74087104608</v>
      </c>
      <c r="L160" s="179">
        <v>103107.009663378</v>
      </c>
      <c r="M160" s="179">
        <v>43307.044033701401</v>
      </c>
      <c r="N160" s="179">
        <v>12437.6216684427</v>
      </c>
      <c r="O160" s="179">
        <v>79093.809480361902</v>
      </c>
      <c r="P160" s="179">
        <v>17176.883836939502</v>
      </c>
      <c r="Q160" s="179">
        <v>1618.43654597776</v>
      </c>
      <c r="R160" s="179"/>
      <c r="S160" s="179">
        <v>215719.46089126699</v>
      </c>
      <c r="T160" s="179">
        <v>14144.319675778601</v>
      </c>
      <c r="U160" s="179">
        <v>37458.730875280198</v>
      </c>
    </row>
    <row r="161" spans="1:21" x14ac:dyDescent="0.3">
      <c r="A161" s="156"/>
      <c r="B161" s="156"/>
      <c r="C161" s="179">
        <v>152</v>
      </c>
      <c r="D161" s="179">
        <v>1504.65132596331</v>
      </c>
      <c r="E161" s="179">
        <v>2314515.73706622</v>
      </c>
      <c r="F161" s="179">
        <v>529811.09945943602</v>
      </c>
      <c r="G161" s="179">
        <v>522105.21528060001</v>
      </c>
      <c r="H161" s="179">
        <v>323918.18167260202</v>
      </c>
      <c r="I161" s="179">
        <v>6256.6949573944203</v>
      </c>
      <c r="J161" s="179">
        <v>206108.64061091701</v>
      </c>
      <c r="K161" s="179">
        <v>1501.74087104608</v>
      </c>
      <c r="L161" s="179">
        <v>103071.43733913401</v>
      </c>
      <c r="M161" s="179">
        <v>43170.351738052101</v>
      </c>
      <c r="N161" s="179">
        <v>12433.580369525</v>
      </c>
      <c r="O161" s="179">
        <v>79058.795195193801</v>
      </c>
      <c r="P161" s="179">
        <v>17176.883836939502</v>
      </c>
      <c r="Q161" s="179">
        <v>1618.43654597776</v>
      </c>
      <c r="R161" s="179"/>
      <c r="S161" s="179">
        <v>215716.65274043501</v>
      </c>
      <c r="T161" s="179">
        <v>14144.247093960001</v>
      </c>
      <c r="U161" s="179">
        <v>37454.774427640899</v>
      </c>
    </row>
    <row r="162" spans="1:21" x14ac:dyDescent="0.3">
      <c r="A162" s="156"/>
      <c r="B162" s="156"/>
      <c r="C162" s="179">
        <v>153</v>
      </c>
      <c r="D162" s="179">
        <v>1504.4998733597299</v>
      </c>
      <c r="E162" s="179">
        <v>2313888.1866530399</v>
      </c>
      <c r="F162" s="179">
        <v>529481.04558944702</v>
      </c>
      <c r="G162" s="179">
        <v>522049.35016129498</v>
      </c>
      <c r="H162" s="179">
        <v>323892.34014668001</v>
      </c>
      <c r="I162" s="179">
        <v>6254.5886998270698</v>
      </c>
      <c r="J162" s="179">
        <v>206092.842570546</v>
      </c>
      <c r="K162" s="179">
        <v>1501.74087104608</v>
      </c>
      <c r="L162" s="179">
        <v>103035.748523471</v>
      </c>
      <c r="M162" s="179">
        <v>43082.810478467298</v>
      </c>
      <c r="N162" s="179">
        <v>12433.1935449435</v>
      </c>
      <c r="O162" s="179">
        <v>79058.286266630399</v>
      </c>
      <c r="P162" s="179">
        <v>17176.883836939502</v>
      </c>
      <c r="Q162" s="179">
        <v>1618.43654597776</v>
      </c>
      <c r="R162" s="179"/>
      <c r="S162" s="179">
        <v>215690.44333266499</v>
      </c>
      <c r="T162" s="179">
        <v>14143.3346368126</v>
      </c>
      <c r="U162" s="179">
        <v>37453.737004352501</v>
      </c>
    </row>
    <row r="163" spans="1:21" x14ac:dyDescent="0.3">
      <c r="A163" s="156"/>
      <c r="B163" s="156"/>
      <c r="C163" s="179">
        <v>154</v>
      </c>
      <c r="D163" s="179">
        <v>1504.2275009974701</v>
      </c>
      <c r="E163" s="179">
        <v>2312211.12358688</v>
      </c>
      <c r="F163" s="179">
        <v>528936.95494658803</v>
      </c>
      <c r="G163" s="179">
        <v>522026.41463706997</v>
      </c>
      <c r="H163" s="179">
        <v>323806.69429806102</v>
      </c>
      <c r="I163" s="179">
        <v>6252.3229237881997</v>
      </c>
      <c r="J163" s="179">
        <v>206016.00811957801</v>
      </c>
      <c r="K163" s="179">
        <v>1501.74087104608</v>
      </c>
      <c r="L163" s="179">
        <v>102976.453380021</v>
      </c>
      <c r="M163" s="179">
        <v>43029.557419447599</v>
      </c>
      <c r="N163" s="179">
        <v>12429.6205073613</v>
      </c>
      <c r="O163" s="179">
        <v>79054.245373836296</v>
      </c>
      <c r="P163" s="179">
        <v>17176.883836939502</v>
      </c>
      <c r="Q163" s="179">
        <v>1618.43654597776</v>
      </c>
      <c r="R163" s="179"/>
      <c r="S163" s="179">
        <v>215669.64673737</v>
      </c>
      <c r="T163" s="179">
        <v>14143.075416032099</v>
      </c>
      <c r="U163" s="179">
        <v>37446.291966635297</v>
      </c>
    </row>
    <row r="164" spans="1:21" x14ac:dyDescent="0.3">
      <c r="A164" s="156"/>
      <c r="B164" s="156"/>
      <c r="C164" s="179">
        <v>155</v>
      </c>
      <c r="D164" s="179">
        <v>1503.9279883286499</v>
      </c>
      <c r="E164" s="179">
        <v>2312072.1586293299</v>
      </c>
      <c r="F164" s="179">
        <v>528839.72128700698</v>
      </c>
      <c r="G164" s="179">
        <v>521795.77047970099</v>
      </c>
      <c r="H164" s="179">
        <v>323776.42628899898</v>
      </c>
      <c r="I164" s="179">
        <v>6246.9235710170797</v>
      </c>
      <c r="J164" s="179">
        <v>205944.85791612699</v>
      </c>
      <c r="K164" s="179">
        <v>1501.74087104608</v>
      </c>
      <c r="L164" s="179">
        <v>102956.29865697501</v>
      </c>
      <c r="M164" s="179">
        <v>43000.234469896997</v>
      </c>
      <c r="N164" s="179">
        <v>12427.5133313513</v>
      </c>
      <c r="O164" s="179">
        <v>79048.535195353907</v>
      </c>
      <c r="P164" s="179">
        <v>17176.883836939502</v>
      </c>
      <c r="Q164" s="179">
        <v>1618.43654597776</v>
      </c>
      <c r="R164" s="179"/>
      <c r="S164" s="179">
        <v>215625.62185095</v>
      </c>
      <c r="T164" s="179">
        <v>14141.3852965431</v>
      </c>
      <c r="U164" s="179">
        <v>37443.47465045</v>
      </c>
    </row>
    <row r="165" spans="1:21" x14ac:dyDescent="0.3">
      <c r="A165" s="156"/>
      <c r="B165" s="156"/>
      <c r="C165" s="179">
        <v>156</v>
      </c>
      <c r="D165" s="179">
        <v>1502.9836914422201</v>
      </c>
      <c r="E165" s="179">
        <v>2308821.4031394999</v>
      </c>
      <c r="F165" s="179">
        <v>528198.47430610994</v>
      </c>
      <c r="G165" s="179">
        <v>521783.91992013302</v>
      </c>
      <c r="H165" s="179">
        <v>323749.96464156703</v>
      </c>
      <c r="I165" s="179">
        <v>6246.76110973904</v>
      </c>
      <c r="J165" s="179">
        <v>205935.14165471299</v>
      </c>
      <c r="K165" s="179">
        <v>1501.1190321760801</v>
      </c>
      <c r="L165" s="179">
        <v>102938.540396453</v>
      </c>
      <c r="M165" s="179">
        <v>42947.299605210603</v>
      </c>
      <c r="N165" s="179">
        <v>12427.1061475812</v>
      </c>
      <c r="O165" s="179">
        <v>79006.355196011893</v>
      </c>
      <c r="P165" s="179">
        <v>17176.883836939502</v>
      </c>
      <c r="Q165" s="179">
        <v>1618.43654597776</v>
      </c>
      <c r="R165" s="179"/>
      <c r="S165" s="179">
        <v>215598.598486417</v>
      </c>
      <c r="T165" s="179">
        <v>14140.4209952396</v>
      </c>
      <c r="U165" s="179">
        <v>37439.935206289403</v>
      </c>
    </row>
    <row r="166" spans="1:21" x14ac:dyDescent="0.3">
      <c r="A166" s="156"/>
      <c r="B166" s="156"/>
      <c r="C166" s="179">
        <v>157</v>
      </c>
      <c r="D166" s="179">
        <v>1502.8921736822999</v>
      </c>
      <c r="E166" s="179">
        <v>2306643.5665395102</v>
      </c>
      <c r="F166" s="179">
        <v>528007.40285981505</v>
      </c>
      <c r="G166" s="179">
        <v>521756.48415220698</v>
      </c>
      <c r="H166" s="179">
        <v>323714.47173943598</v>
      </c>
      <c r="I166" s="179">
        <v>6236.0911626011903</v>
      </c>
      <c r="J166" s="179">
        <v>205925.07864984899</v>
      </c>
      <c r="K166" s="179">
        <v>1501.1190321760801</v>
      </c>
      <c r="L166" s="179">
        <v>102918.70653586301</v>
      </c>
      <c r="M166" s="179">
        <v>42903.346253786898</v>
      </c>
      <c r="N166" s="179">
        <v>12424.693583743699</v>
      </c>
      <c r="O166" s="179">
        <v>78982.649303524595</v>
      </c>
      <c r="P166" s="179">
        <v>17176.883836939502</v>
      </c>
      <c r="Q166" s="179">
        <v>1618.43654597776</v>
      </c>
      <c r="R166" s="179"/>
      <c r="S166" s="179">
        <v>215580.75248438801</v>
      </c>
      <c r="T166" s="179">
        <v>14138.8241952317</v>
      </c>
      <c r="U166" s="179">
        <v>37438.419754622999</v>
      </c>
    </row>
    <row r="167" spans="1:21" x14ac:dyDescent="0.3">
      <c r="A167" s="156"/>
      <c r="B167" s="156"/>
      <c r="C167" s="179">
        <v>158</v>
      </c>
      <c r="D167" s="179">
        <v>1502.6051407080099</v>
      </c>
      <c r="E167" s="179">
        <v>2306116.2429250302</v>
      </c>
      <c r="F167" s="179">
        <v>527980.90951754304</v>
      </c>
      <c r="G167" s="179">
        <v>521702.31225358997</v>
      </c>
      <c r="H167" s="179">
        <v>323644.28423708299</v>
      </c>
      <c r="I167" s="179">
        <v>6236.0388545324104</v>
      </c>
      <c r="J167" s="179">
        <v>205903.964901325</v>
      </c>
      <c r="K167" s="179">
        <v>1501.1190321760801</v>
      </c>
      <c r="L167" s="179">
        <v>102911.497960562</v>
      </c>
      <c r="M167" s="179">
        <v>42880.219715582301</v>
      </c>
      <c r="N167" s="179">
        <v>12424.296579567899</v>
      </c>
      <c r="O167" s="179">
        <v>78978.720375014498</v>
      </c>
      <c r="P167" s="179">
        <v>17176.883836939502</v>
      </c>
      <c r="Q167" s="179">
        <v>1618.43654597776</v>
      </c>
      <c r="R167" s="179"/>
      <c r="S167" s="179">
        <v>215576.560607058</v>
      </c>
      <c r="T167" s="179">
        <v>14136.397888726</v>
      </c>
      <c r="U167" s="179">
        <v>37435.144751692802</v>
      </c>
    </row>
    <row r="168" spans="1:21" x14ac:dyDescent="0.3">
      <c r="A168" s="156"/>
      <c r="B168" s="156"/>
      <c r="C168" s="179">
        <v>159</v>
      </c>
      <c r="D168" s="179">
        <v>1502.0227549630799</v>
      </c>
      <c r="E168" s="179">
        <v>2305483.76546421</v>
      </c>
      <c r="F168" s="179">
        <v>527662.33835170604</v>
      </c>
      <c r="G168" s="179">
        <v>521685.85485979501</v>
      </c>
      <c r="H168" s="179">
        <v>323591.82873050403</v>
      </c>
      <c r="I168" s="179">
        <v>6235.8021190681502</v>
      </c>
      <c r="J168" s="179">
        <v>205903.735240421</v>
      </c>
      <c r="K168" s="179">
        <v>1501.1190321760801</v>
      </c>
      <c r="L168" s="179">
        <v>102906.60876612</v>
      </c>
      <c r="M168" s="179">
        <v>42815.989996239099</v>
      </c>
      <c r="N168" s="179">
        <v>12422.983411909499</v>
      </c>
      <c r="O168" s="179">
        <v>78969.295018018704</v>
      </c>
      <c r="P168" s="179">
        <v>17176.883836939502</v>
      </c>
      <c r="Q168" s="179">
        <v>1618.43654597776</v>
      </c>
      <c r="R168" s="179"/>
      <c r="S168" s="179">
        <v>215569.15360051501</v>
      </c>
      <c r="T168" s="179">
        <v>14134.044164039</v>
      </c>
      <c r="U168" s="179">
        <v>37431.859577946001</v>
      </c>
    </row>
    <row r="169" spans="1:21" x14ac:dyDescent="0.3">
      <c r="A169" s="156"/>
      <c r="B169" s="156"/>
      <c r="C169" s="179">
        <v>160</v>
      </c>
      <c r="D169" s="179">
        <v>1501.6566839233999</v>
      </c>
      <c r="E169" s="179">
        <v>2305154.6375344899</v>
      </c>
      <c r="F169" s="179">
        <v>527263.48832938902</v>
      </c>
      <c r="G169" s="179">
        <v>521666.31659661903</v>
      </c>
      <c r="H169" s="179">
        <v>323468.64439678</v>
      </c>
      <c r="I169" s="179">
        <v>6231.2412263906799</v>
      </c>
      <c r="J169" s="179">
        <v>205901.63821090001</v>
      </c>
      <c r="K169" s="179">
        <v>1501.1190321760801</v>
      </c>
      <c r="L169" s="179">
        <v>102904.18674650999</v>
      </c>
      <c r="M169" s="179">
        <v>42785.160779307698</v>
      </c>
      <c r="N169" s="179">
        <v>12422.433713819901</v>
      </c>
      <c r="O169" s="179">
        <v>78959.869661022894</v>
      </c>
      <c r="P169" s="179">
        <v>17176.883836939502</v>
      </c>
      <c r="Q169" s="179">
        <v>1618.43654597776</v>
      </c>
      <c r="R169" s="179"/>
      <c r="S169" s="179">
        <v>215506.855384764</v>
      </c>
      <c r="T169" s="179">
        <v>14132.395519874901</v>
      </c>
      <c r="U169" s="179">
        <v>37421.1802205649</v>
      </c>
    </row>
    <row r="170" spans="1:21" x14ac:dyDescent="0.3">
      <c r="A170" s="156"/>
      <c r="B170" s="156"/>
      <c r="C170" s="179">
        <v>161</v>
      </c>
      <c r="D170" s="179">
        <v>1500.5923961875901</v>
      </c>
      <c r="E170" s="179">
        <v>2302839.2642521299</v>
      </c>
      <c r="F170" s="179">
        <v>526796.37385855103</v>
      </c>
      <c r="G170" s="179">
        <v>521613.23133804998</v>
      </c>
      <c r="H170" s="179">
        <v>323396.11498618103</v>
      </c>
      <c r="I170" s="179">
        <v>6230.2120289376198</v>
      </c>
      <c r="J170" s="179">
        <v>205871.72280346</v>
      </c>
      <c r="K170" s="179">
        <v>1501.1190321760801</v>
      </c>
      <c r="L170" s="179">
        <v>102873.22212325</v>
      </c>
      <c r="M170" s="179">
        <v>42782.574666064902</v>
      </c>
      <c r="N170" s="179">
        <v>12415.4810509463</v>
      </c>
      <c r="O170" s="179">
        <v>78957.996803909205</v>
      </c>
      <c r="P170" s="179">
        <v>17176.883836939502</v>
      </c>
      <c r="Q170" s="179">
        <v>1618.43654597776</v>
      </c>
      <c r="R170" s="179"/>
      <c r="S170" s="179">
        <v>215487.02536312499</v>
      </c>
      <c r="T170" s="179">
        <v>14130.2699094747</v>
      </c>
      <c r="U170" s="179">
        <v>37419.064690721803</v>
      </c>
    </row>
    <row r="171" spans="1:21" x14ac:dyDescent="0.3">
      <c r="A171" s="156"/>
      <c r="B171" s="156"/>
      <c r="C171" s="179">
        <v>162</v>
      </c>
      <c r="D171" s="179">
        <v>1500.4914277851999</v>
      </c>
      <c r="E171" s="179">
        <v>2301123.6405619802</v>
      </c>
      <c r="F171" s="179">
        <v>526595.06034932996</v>
      </c>
      <c r="G171" s="179">
        <v>521409.18757715798</v>
      </c>
      <c r="H171" s="179">
        <v>323350.51254459901</v>
      </c>
      <c r="I171" s="179">
        <v>6229.5541493539004</v>
      </c>
      <c r="J171" s="179">
        <v>205812.575982607</v>
      </c>
      <c r="K171" s="179">
        <v>1501.1190321760801</v>
      </c>
      <c r="L171" s="179">
        <v>102840.463461996</v>
      </c>
      <c r="M171" s="179">
        <v>42756.988614384398</v>
      </c>
      <c r="N171" s="179">
        <v>12413.211001428301</v>
      </c>
      <c r="O171" s="179">
        <v>78956.897518212107</v>
      </c>
      <c r="P171" s="179">
        <v>17176.883836939502</v>
      </c>
      <c r="Q171" s="179">
        <v>1618.43654597776</v>
      </c>
      <c r="R171" s="179"/>
      <c r="S171" s="179">
        <v>215461.36537617099</v>
      </c>
      <c r="T171" s="179">
        <v>14128.2894627116</v>
      </c>
      <c r="U171" s="179">
        <v>37417.264456191799</v>
      </c>
    </row>
    <row r="172" spans="1:21" x14ac:dyDescent="0.3">
      <c r="A172" s="156"/>
      <c r="B172" s="156"/>
      <c r="C172" s="179">
        <v>163</v>
      </c>
      <c r="D172" s="179">
        <v>1499.89704699407</v>
      </c>
      <c r="E172" s="179">
        <v>2297837.0943267001</v>
      </c>
      <c r="F172" s="179">
        <v>526571.57917392603</v>
      </c>
      <c r="G172" s="179">
        <v>521052.90855187603</v>
      </c>
      <c r="H172" s="179">
        <v>323269.27001861902</v>
      </c>
      <c r="I172" s="179">
        <v>6229.1575133824699</v>
      </c>
      <c r="J172" s="179">
        <v>205796.59748059601</v>
      </c>
      <c r="K172" s="179">
        <v>1501.1190321760801</v>
      </c>
      <c r="L172" s="179">
        <v>102821.965755325</v>
      </c>
      <c r="M172" s="179">
        <v>42627.103060594804</v>
      </c>
      <c r="N172" s="179">
        <v>12411.012209070001</v>
      </c>
      <c r="O172" s="179">
        <v>78952.907518274296</v>
      </c>
      <c r="P172" s="179">
        <v>17176.883836939502</v>
      </c>
      <c r="Q172" s="179">
        <v>1618.43654597776</v>
      </c>
      <c r="R172" s="179"/>
      <c r="S172" s="179">
        <v>215451.343533526</v>
      </c>
      <c r="T172" s="179">
        <v>14127.6777016695</v>
      </c>
      <c r="U172" s="179">
        <v>37415.921908406803</v>
      </c>
    </row>
    <row r="173" spans="1:21" x14ac:dyDescent="0.3">
      <c r="A173" s="156"/>
      <c r="B173" s="156"/>
      <c r="C173" s="179">
        <v>164</v>
      </c>
      <c r="D173" s="179">
        <v>1499.73481096512</v>
      </c>
      <c r="E173" s="179">
        <v>2297641.1940635098</v>
      </c>
      <c r="F173" s="179">
        <v>525759.23369347304</v>
      </c>
      <c r="G173" s="179">
        <v>520965.82042461302</v>
      </c>
      <c r="H173" s="179">
        <v>323162.61030136998</v>
      </c>
      <c r="I173" s="179">
        <v>6228.26737379121</v>
      </c>
      <c r="J173" s="179">
        <v>205729.64261130101</v>
      </c>
      <c r="K173" s="179">
        <v>1501.1190321760801</v>
      </c>
      <c r="L173" s="179">
        <v>102732.77431121199</v>
      </c>
      <c r="M173" s="179">
        <v>42571.707868296297</v>
      </c>
      <c r="N173" s="179">
        <v>12408.3146165935</v>
      </c>
      <c r="O173" s="179">
        <v>78943.064839856495</v>
      </c>
      <c r="P173" s="179">
        <v>17176.883836939502</v>
      </c>
      <c r="Q173" s="179">
        <v>1618.43654597776</v>
      </c>
      <c r="R173" s="179"/>
      <c r="S173" s="179">
        <v>215423.017838172</v>
      </c>
      <c r="T173" s="179">
        <v>14127.511800370001</v>
      </c>
      <c r="U173" s="179">
        <v>37409.260023564297</v>
      </c>
    </row>
    <row r="174" spans="1:21" x14ac:dyDescent="0.3">
      <c r="A174" s="156"/>
      <c r="B174" s="156"/>
      <c r="C174" s="179">
        <v>165</v>
      </c>
      <c r="D174" s="179">
        <v>1499.4976967689699</v>
      </c>
      <c r="E174" s="179">
        <v>2297164.77401911</v>
      </c>
      <c r="F174" s="179">
        <v>525744.50005114404</v>
      </c>
      <c r="G174" s="179">
        <v>520931.875034425</v>
      </c>
      <c r="H174" s="179">
        <v>323155.74330733903</v>
      </c>
      <c r="I174" s="179">
        <v>6214.9585160930601</v>
      </c>
      <c r="J174" s="179">
        <v>205657.04369794601</v>
      </c>
      <c r="K174" s="179">
        <v>1501.1190321760801</v>
      </c>
      <c r="L174" s="179">
        <v>102723.438871094</v>
      </c>
      <c r="M174" s="179">
        <v>42563.733830389203</v>
      </c>
      <c r="N174" s="179">
        <v>12407.7547389096</v>
      </c>
      <c r="O174" s="179">
        <v>78940.398054183795</v>
      </c>
      <c r="P174" s="179">
        <v>17176.883836939502</v>
      </c>
      <c r="Q174" s="179">
        <v>1618.43654597776</v>
      </c>
      <c r="R174" s="179"/>
      <c r="S174" s="179">
        <v>215401.39711165399</v>
      </c>
      <c r="T174" s="179">
        <v>14125.3861899698</v>
      </c>
      <c r="U174" s="179">
        <v>37407.205518620503</v>
      </c>
    </row>
    <row r="175" spans="1:21" x14ac:dyDescent="0.3">
      <c r="A175" s="156"/>
      <c r="B175" s="156"/>
      <c r="C175" s="179">
        <v>166</v>
      </c>
      <c r="D175" s="179">
        <v>1498.90699122768</v>
      </c>
      <c r="E175" s="179">
        <v>2296276.4985330198</v>
      </c>
      <c r="F175" s="179">
        <v>525594.05098022497</v>
      </c>
      <c r="G175" s="179">
        <v>520753.43292150198</v>
      </c>
      <c r="H175" s="179">
        <v>323101.17996538797</v>
      </c>
      <c r="I175" s="179">
        <v>6208.7191834445603</v>
      </c>
      <c r="J175" s="179">
        <v>205609.95393456501</v>
      </c>
      <c r="K175" s="179">
        <v>1500.4971933060799</v>
      </c>
      <c r="L175" s="179">
        <v>102680.087038998</v>
      </c>
      <c r="M175" s="179">
        <v>42504.317793691698</v>
      </c>
      <c r="N175" s="179">
        <v>12407.6834817499</v>
      </c>
      <c r="O175" s="179">
        <v>78930.392518625595</v>
      </c>
      <c r="P175" s="179">
        <v>17176.883836939502</v>
      </c>
      <c r="Q175" s="179">
        <v>1618.43654597776</v>
      </c>
      <c r="R175" s="179"/>
      <c r="S175" s="179">
        <v>215379.18626648301</v>
      </c>
      <c r="T175" s="179">
        <v>14125.2202886703</v>
      </c>
      <c r="U175" s="179">
        <v>37405.364600824301</v>
      </c>
    </row>
    <row r="176" spans="1:21" x14ac:dyDescent="0.3">
      <c r="A176" s="156"/>
      <c r="B176" s="156"/>
      <c r="C176" s="179">
        <v>167</v>
      </c>
      <c r="D176" s="179">
        <v>1497.2430319564401</v>
      </c>
      <c r="E176" s="179">
        <v>2294035.5858289702</v>
      </c>
      <c r="F176" s="179">
        <v>525510.06533754803</v>
      </c>
      <c r="G176" s="179">
        <v>520620.77361293702</v>
      </c>
      <c r="H176" s="179">
        <v>323096.08469487098</v>
      </c>
      <c r="I176" s="179">
        <v>6203.1875368097699</v>
      </c>
      <c r="J176" s="179">
        <v>205582.17383785799</v>
      </c>
      <c r="K176" s="179">
        <v>1500.4971933060799</v>
      </c>
      <c r="L176" s="179">
        <v>102674.62801965899</v>
      </c>
      <c r="M176" s="179">
        <v>42471.012345033603</v>
      </c>
      <c r="N176" s="179">
        <v>12406.0649262639</v>
      </c>
      <c r="O176" s="179">
        <v>78921.130018770098</v>
      </c>
      <c r="P176" s="179">
        <v>17176.883836939502</v>
      </c>
      <c r="Q176" s="179">
        <v>1618.43654597776</v>
      </c>
      <c r="R176" s="179"/>
      <c r="S176" s="179">
        <v>215303.76299792901</v>
      </c>
      <c r="T176" s="179">
        <v>14124.3493068477</v>
      </c>
      <c r="U176" s="179">
        <v>37399.445185590201</v>
      </c>
    </row>
    <row r="177" spans="1:21" x14ac:dyDescent="0.3">
      <c r="A177" s="156"/>
      <c r="B177" s="156"/>
      <c r="C177" s="179">
        <v>168</v>
      </c>
      <c r="D177" s="179">
        <v>1497.1796641871099</v>
      </c>
      <c r="E177" s="179">
        <v>2293807.68727885</v>
      </c>
      <c r="F177" s="179">
        <v>525109.316847865</v>
      </c>
      <c r="G177" s="179">
        <v>520377.73083514202</v>
      </c>
      <c r="H177" s="179">
        <v>322862.50899898401</v>
      </c>
      <c r="I177" s="179">
        <v>6202.7453918356396</v>
      </c>
      <c r="J177" s="179">
        <v>205574.32721369099</v>
      </c>
      <c r="K177" s="179">
        <v>1500.4971933060799</v>
      </c>
      <c r="L177" s="179">
        <v>102672.58569167199</v>
      </c>
      <c r="M177" s="179">
        <v>42468.093419436198</v>
      </c>
      <c r="N177" s="179">
        <v>12402.563145841499</v>
      </c>
      <c r="O177" s="179">
        <v>78903.1953761927</v>
      </c>
      <c r="P177" s="179">
        <v>17176.883836939502</v>
      </c>
      <c r="Q177" s="179">
        <v>1618.43654597776</v>
      </c>
      <c r="R177" s="179"/>
      <c r="S177" s="179">
        <v>215287.310896857</v>
      </c>
      <c r="T177" s="179">
        <v>14123.3331613881</v>
      </c>
      <c r="U177" s="179">
        <v>37399.018011294997</v>
      </c>
    </row>
    <row r="178" spans="1:21" x14ac:dyDescent="0.3">
      <c r="A178" s="156"/>
      <c r="B178" s="156"/>
      <c r="C178" s="179">
        <v>169</v>
      </c>
      <c r="D178" s="179">
        <v>1496.14481883742</v>
      </c>
      <c r="E178" s="179">
        <v>2292866.8444525101</v>
      </c>
      <c r="F178" s="179">
        <v>525040.49944499205</v>
      </c>
      <c r="G178" s="179">
        <v>520374.84548897803</v>
      </c>
      <c r="H178" s="179">
        <v>322813.65482470702</v>
      </c>
      <c r="I178" s="179">
        <v>6202.74505159196</v>
      </c>
      <c r="J178" s="179">
        <v>205435.37638966701</v>
      </c>
      <c r="K178" s="179">
        <v>1500.4971933060799</v>
      </c>
      <c r="L178" s="179">
        <v>102650.86690565701</v>
      </c>
      <c r="M178" s="179">
        <v>42467.5154786739</v>
      </c>
      <c r="N178" s="179">
        <v>12392.872172114299</v>
      </c>
      <c r="O178" s="179">
        <v>78897.403769140205</v>
      </c>
      <c r="P178" s="179">
        <v>17176.883836939502</v>
      </c>
      <c r="Q178" s="179">
        <v>1618.43654597776</v>
      </c>
      <c r="R178" s="179"/>
      <c r="S178" s="179">
        <v>215285.123388056</v>
      </c>
      <c r="T178" s="179">
        <v>14122.7421380085</v>
      </c>
      <c r="U178" s="179">
        <v>37398.428103934901</v>
      </c>
    </row>
    <row r="179" spans="1:21" x14ac:dyDescent="0.3">
      <c r="A179" s="156"/>
      <c r="B179" s="156"/>
      <c r="C179" s="179">
        <v>170</v>
      </c>
      <c r="D179" s="179">
        <v>1496.0449812811501</v>
      </c>
      <c r="E179" s="179">
        <v>2291705.7920869398</v>
      </c>
      <c r="F179" s="179">
        <v>524691.19842626795</v>
      </c>
      <c r="G179" s="179">
        <v>520214.54508282302</v>
      </c>
      <c r="H179" s="179">
        <v>322809.52326066699</v>
      </c>
      <c r="I179" s="179">
        <v>6194.6999846990502</v>
      </c>
      <c r="J179" s="179">
        <v>205430.298070897</v>
      </c>
      <c r="K179" s="179">
        <v>1500.4971933060799</v>
      </c>
      <c r="L179" s="179">
        <v>102642.395763792</v>
      </c>
      <c r="M179" s="179">
        <v>42432.2588213212</v>
      </c>
      <c r="N179" s="179">
        <v>12389.736857084999</v>
      </c>
      <c r="O179" s="179">
        <v>78868.975019583697</v>
      </c>
      <c r="P179" s="179">
        <v>17176.883836939502</v>
      </c>
      <c r="Q179" s="179">
        <v>1618.43654597776</v>
      </c>
      <c r="R179" s="179"/>
      <c r="S179" s="179">
        <v>215275.81375757899</v>
      </c>
      <c r="T179" s="179">
        <v>14122.628080865101</v>
      </c>
      <c r="U179" s="179">
        <v>37395.692154281998</v>
      </c>
    </row>
    <row r="180" spans="1:21" x14ac:dyDescent="0.3">
      <c r="A180" s="156"/>
      <c r="B180" s="156"/>
      <c r="C180" s="179">
        <v>171</v>
      </c>
      <c r="D180" s="179">
        <v>1495.4026203051999</v>
      </c>
      <c r="E180" s="179">
        <v>2285854.7286002999</v>
      </c>
      <c r="F180" s="179">
        <v>524559.80894179305</v>
      </c>
      <c r="G180" s="179">
        <v>520145.55293794803</v>
      </c>
      <c r="H180" s="179">
        <v>322749.47063340701</v>
      </c>
      <c r="I180" s="179">
        <v>6182.3781437718299</v>
      </c>
      <c r="J180" s="179">
        <v>205326.68981712201</v>
      </c>
      <c r="K180" s="179">
        <v>1500.4971933060799</v>
      </c>
      <c r="L180" s="179">
        <v>102571.16484316401</v>
      </c>
      <c r="M180" s="179">
        <v>42430.733840993198</v>
      </c>
      <c r="N180" s="179">
        <v>12389.319493720701</v>
      </c>
      <c r="O180" s="179">
        <v>78863.509126811899</v>
      </c>
      <c r="P180" s="179">
        <v>17176.883836939502</v>
      </c>
      <c r="Q180" s="179">
        <v>1618.43654597776</v>
      </c>
      <c r="R180" s="179"/>
      <c r="S180" s="179">
        <v>215270.11606023801</v>
      </c>
      <c r="T180" s="179">
        <v>14120.720215920501</v>
      </c>
      <c r="U180" s="179">
        <v>37395.295492436402</v>
      </c>
    </row>
    <row r="181" spans="1:21" x14ac:dyDescent="0.3">
      <c r="A181" s="156"/>
      <c r="B181" s="156"/>
      <c r="C181" s="179">
        <v>172</v>
      </c>
      <c r="D181" s="179">
        <v>1495.3377985908701</v>
      </c>
      <c r="E181" s="179">
        <v>2285669.57687598</v>
      </c>
      <c r="F181" s="179">
        <v>524491.83301078004</v>
      </c>
      <c r="G181" s="179">
        <v>519830.58360687998</v>
      </c>
      <c r="H181" s="179">
        <v>322694.05352320598</v>
      </c>
      <c r="I181" s="179">
        <v>6177.8986193205001</v>
      </c>
      <c r="J181" s="179">
        <v>205285.46089221799</v>
      </c>
      <c r="K181" s="179">
        <v>1500.4971933060799</v>
      </c>
      <c r="L181" s="179">
        <v>102550.487521402</v>
      </c>
      <c r="M181" s="179">
        <v>42352.765858990198</v>
      </c>
      <c r="N181" s="179">
        <v>12388.698538471301</v>
      </c>
      <c r="O181" s="179">
        <v>78857.381626907503</v>
      </c>
      <c r="P181" s="179">
        <v>17176.883836939502</v>
      </c>
      <c r="Q181" s="179">
        <v>1618.43654597776</v>
      </c>
      <c r="R181" s="179"/>
      <c r="S181" s="179">
        <v>215268.14221508699</v>
      </c>
      <c r="T181" s="179">
        <v>14119.102678250099</v>
      </c>
      <c r="U181" s="179">
        <v>37391.959464606902</v>
      </c>
    </row>
    <row r="182" spans="1:21" x14ac:dyDescent="0.3">
      <c r="A182" s="156"/>
      <c r="B182" s="156"/>
      <c r="C182" s="179">
        <v>173</v>
      </c>
      <c r="D182" s="179">
        <v>1494.6763747805501</v>
      </c>
      <c r="E182" s="179">
        <v>2283565.1397000002</v>
      </c>
      <c r="F182" s="179">
        <v>524459.62197174004</v>
      </c>
      <c r="G182" s="179">
        <v>519768.71857591101</v>
      </c>
      <c r="H182" s="179">
        <v>322686.77958569402</v>
      </c>
      <c r="I182" s="179">
        <v>6173.8157082243097</v>
      </c>
      <c r="J182" s="179">
        <v>205205.66007452799</v>
      </c>
      <c r="K182" s="179">
        <v>1500.4971933060799</v>
      </c>
      <c r="L182" s="179">
        <v>102543.743342838</v>
      </c>
      <c r="M182" s="179">
        <v>42322.084447725501</v>
      </c>
      <c r="N182" s="179">
        <v>12386.6015420556</v>
      </c>
      <c r="O182" s="179">
        <v>78848.953769896107</v>
      </c>
      <c r="P182" s="179">
        <v>17176.883836939502</v>
      </c>
      <c r="Q182" s="179">
        <v>1618.43654597776</v>
      </c>
      <c r="R182" s="179"/>
      <c r="S182" s="179">
        <v>215246.67410546201</v>
      </c>
      <c r="T182" s="179">
        <v>14117.8065743476</v>
      </c>
      <c r="U182" s="179">
        <v>37378.533986756302</v>
      </c>
    </row>
    <row r="183" spans="1:21" x14ac:dyDescent="0.3">
      <c r="A183" s="156"/>
      <c r="B183" s="156"/>
      <c r="C183" s="179">
        <v>174</v>
      </c>
      <c r="D183" s="179">
        <v>1494.35190272266</v>
      </c>
      <c r="E183" s="179">
        <v>2280741.4223433798</v>
      </c>
      <c r="F183" s="179">
        <v>524425.86520118604</v>
      </c>
      <c r="G183" s="179">
        <v>519765.27970774699</v>
      </c>
      <c r="H183" s="179">
        <v>322642.08607459703</v>
      </c>
      <c r="I183" s="179">
        <v>6170.2740186968904</v>
      </c>
      <c r="J183" s="179">
        <v>205170.25724120601</v>
      </c>
      <c r="K183" s="179">
        <v>1500.4971933060799</v>
      </c>
      <c r="L183" s="179">
        <v>102520.99328517599</v>
      </c>
      <c r="M183" s="179">
        <v>42234.048102956702</v>
      </c>
      <c r="N183" s="179">
        <v>12384.046463898499</v>
      </c>
      <c r="O183" s="179">
        <v>78825.583770260695</v>
      </c>
      <c r="P183" s="179">
        <v>17176.883836939502</v>
      </c>
      <c r="Q183" s="179">
        <v>1618.43654597776</v>
      </c>
      <c r="R183" s="179"/>
      <c r="S183" s="179">
        <v>215233.14207427701</v>
      </c>
      <c r="T183" s="179">
        <v>14117.2570262929</v>
      </c>
      <c r="U183" s="179">
        <v>37372.940037651897</v>
      </c>
    </row>
    <row r="184" spans="1:21" x14ac:dyDescent="0.3">
      <c r="A184" s="156"/>
      <c r="B184" s="156"/>
      <c r="C184" s="179">
        <v>175</v>
      </c>
      <c r="D184" s="179">
        <v>1493.85687483947</v>
      </c>
      <c r="E184" s="179">
        <v>2277848.1823036298</v>
      </c>
      <c r="F184" s="179">
        <v>524297.93266840698</v>
      </c>
      <c r="G184" s="179">
        <v>519754.255915193</v>
      </c>
      <c r="H184" s="179">
        <v>322641.57836425799</v>
      </c>
      <c r="I184" s="179">
        <v>6166.8849956881004</v>
      </c>
      <c r="J184" s="179">
        <v>205158.727454929</v>
      </c>
      <c r="K184" s="179">
        <v>1500.4971933060799</v>
      </c>
      <c r="L184" s="179">
        <v>102497.200497818</v>
      </c>
      <c r="M184" s="179">
        <v>42228.7131108174</v>
      </c>
      <c r="N184" s="179">
        <v>12381.847671540299</v>
      </c>
      <c r="O184" s="179">
        <v>78810.071627645593</v>
      </c>
      <c r="P184" s="179">
        <v>17176.883836939502</v>
      </c>
      <c r="Q184" s="179">
        <v>1618.43654597776</v>
      </c>
      <c r="R184" s="179"/>
      <c r="S184" s="179">
        <v>215225.40948502801</v>
      </c>
      <c r="T184" s="179">
        <v>14114.177483420401</v>
      </c>
      <c r="U184" s="179">
        <v>37359.585755517299</v>
      </c>
    </row>
    <row r="185" spans="1:21" x14ac:dyDescent="0.3">
      <c r="A185" s="156"/>
      <c r="B185" s="156"/>
      <c r="C185" s="179">
        <v>176</v>
      </c>
      <c r="D185" s="179">
        <v>1493.74455758866</v>
      </c>
      <c r="E185" s="179">
        <v>2277136.1028633602</v>
      </c>
      <c r="F185" s="179">
        <v>524284.611902214</v>
      </c>
      <c r="G185" s="179">
        <v>519668.881755109</v>
      </c>
      <c r="H185" s="179">
        <v>322577.244149337</v>
      </c>
      <c r="I185" s="179">
        <v>6165.82582475254</v>
      </c>
      <c r="J185" s="179">
        <v>205140.72666794001</v>
      </c>
      <c r="K185" s="179">
        <v>1500.4971933060799</v>
      </c>
      <c r="L185" s="179">
        <v>102481.660025137</v>
      </c>
      <c r="M185" s="179">
        <v>42144.326018690197</v>
      </c>
      <c r="N185" s="179">
        <v>12377.500984795</v>
      </c>
      <c r="O185" s="179">
        <v>78790.579663663899</v>
      </c>
      <c r="P185" s="179">
        <v>17176.883836939502</v>
      </c>
      <c r="Q185" s="179">
        <v>1618.43654597776</v>
      </c>
      <c r="R185" s="179"/>
      <c r="S185" s="179">
        <v>215220.92254837201</v>
      </c>
      <c r="T185" s="179">
        <v>14113.3894522476</v>
      </c>
      <c r="U185" s="179">
        <v>37357.083734645101</v>
      </c>
    </row>
    <row r="186" spans="1:21" x14ac:dyDescent="0.3">
      <c r="A186" s="156"/>
      <c r="B186" s="156"/>
      <c r="C186" s="179">
        <v>177</v>
      </c>
      <c r="D186" s="179">
        <v>1493.1372124546499</v>
      </c>
      <c r="E186" s="179">
        <v>2276977.55276233</v>
      </c>
      <c r="F186" s="179">
        <v>524166.40228319197</v>
      </c>
      <c r="G186" s="179">
        <v>519477.55577488098</v>
      </c>
      <c r="H186" s="179">
        <v>322552.07573386998</v>
      </c>
      <c r="I186" s="179">
        <v>6164.6581539134304</v>
      </c>
      <c r="J186" s="179">
        <v>205127.65998847201</v>
      </c>
      <c r="K186" s="179">
        <v>1500.4971933060799</v>
      </c>
      <c r="L186" s="179">
        <v>102477.561617574</v>
      </c>
      <c r="M186" s="179">
        <v>42137.936520114599</v>
      </c>
      <c r="N186" s="179">
        <v>12376.187817136601</v>
      </c>
      <c r="O186" s="179">
        <v>78733.823950263599</v>
      </c>
      <c r="P186" s="179">
        <v>17176.883836939502</v>
      </c>
      <c r="Q186" s="179">
        <v>1618.43654597776</v>
      </c>
      <c r="R186" s="179"/>
      <c r="S186" s="179">
        <v>215211.826581545</v>
      </c>
      <c r="T186" s="179">
        <v>14111.896340551801</v>
      </c>
      <c r="U186" s="179">
        <v>37348.804689970602</v>
      </c>
    </row>
    <row r="187" spans="1:21" x14ac:dyDescent="0.3">
      <c r="A187" s="156"/>
      <c r="B187" s="156"/>
      <c r="C187" s="179">
        <v>178</v>
      </c>
      <c r="D187" s="179">
        <v>1492.98745612024</v>
      </c>
      <c r="E187" s="179">
        <v>2276717.4005666999</v>
      </c>
      <c r="F187" s="179">
        <v>523857.712338985</v>
      </c>
      <c r="G187" s="179">
        <v>519457.70744381403</v>
      </c>
      <c r="H187" s="179">
        <v>322517.69820669497</v>
      </c>
      <c r="I187" s="179">
        <v>6157.3658069149396</v>
      </c>
      <c r="J187" s="179">
        <v>205086.39493271199</v>
      </c>
      <c r="K187" s="179">
        <v>1500.4971933060799</v>
      </c>
      <c r="L187" s="179">
        <v>102462.480088956</v>
      </c>
      <c r="M187" s="179">
        <v>42105.937703223201</v>
      </c>
      <c r="N187" s="179">
        <v>12374.7728535357</v>
      </c>
      <c r="O187" s="179">
        <v>78719.818236196399</v>
      </c>
      <c r="P187" s="179">
        <v>17176.883836939502</v>
      </c>
      <c r="Q187" s="179">
        <v>1618.43654597776</v>
      </c>
      <c r="R187" s="179"/>
      <c r="S187" s="179">
        <v>215191.152079764</v>
      </c>
      <c r="T187" s="179">
        <v>14111.129047041501</v>
      </c>
      <c r="U187" s="179">
        <v>37342.966641268999</v>
      </c>
    </row>
    <row r="188" spans="1:21" x14ac:dyDescent="0.3">
      <c r="A188" s="156"/>
      <c r="B188" s="156"/>
      <c r="C188" s="179">
        <v>179</v>
      </c>
      <c r="D188" s="179">
        <v>1490.27104260994</v>
      </c>
      <c r="E188" s="179">
        <v>2276613.9247411001</v>
      </c>
      <c r="F188" s="179">
        <v>523750.30887038098</v>
      </c>
      <c r="G188" s="179">
        <v>519394.62039608799</v>
      </c>
      <c r="H188" s="179">
        <v>322342.964747591</v>
      </c>
      <c r="I188" s="179">
        <v>6154.0874650589603</v>
      </c>
      <c r="J188" s="179">
        <v>205081.56550290299</v>
      </c>
      <c r="K188" s="179">
        <v>1499.87535443608</v>
      </c>
      <c r="L188" s="179">
        <v>102455.135855455</v>
      </c>
      <c r="M188" s="179">
        <v>42068.705657062397</v>
      </c>
      <c r="N188" s="179">
        <v>12371.6171793178</v>
      </c>
      <c r="O188" s="179">
        <v>78702.290736469906</v>
      </c>
      <c r="P188" s="179">
        <v>17176.883836939502</v>
      </c>
      <c r="Q188" s="179">
        <v>1618.43654597776</v>
      </c>
      <c r="R188" s="179"/>
      <c r="S188" s="179">
        <v>215185.24071877301</v>
      </c>
      <c r="T188" s="179">
        <v>14108.329462612</v>
      </c>
      <c r="U188" s="179">
        <v>37335.908094580896</v>
      </c>
    </row>
    <row r="189" spans="1:21" x14ac:dyDescent="0.3">
      <c r="A189" s="156"/>
      <c r="B189" s="156"/>
      <c r="C189" s="179">
        <v>180</v>
      </c>
      <c r="D189" s="179">
        <v>1489.9216111629801</v>
      </c>
      <c r="E189" s="179">
        <v>2276606.9514984698</v>
      </c>
      <c r="F189" s="179">
        <v>523705.88051896403</v>
      </c>
      <c r="G189" s="179">
        <v>519302.00630026503</v>
      </c>
      <c r="H189" s="179">
        <v>322250.91087353003</v>
      </c>
      <c r="I189" s="179">
        <v>6150.3091041615498</v>
      </c>
      <c r="J189" s="179">
        <v>205051.58271928999</v>
      </c>
      <c r="K189" s="179">
        <v>1499.87535443608</v>
      </c>
      <c r="L189" s="179">
        <v>102430.983828426</v>
      </c>
      <c r="M189" s="179">
        <v>41945.410166960697</v>
      </c>
      <c r="N189" s="179">
        <v>12370.690836240899</v>
      </c>
      <c r="O189" s="179">
        <v>78683.165201053896</v>
      </c>
      <c r="P189" s="179">
        <v>17176.883836939502</v>
      </c>
      <c r="Q189" s="179">
        <v>1618.43654597776</v>
      </c>
      <c r="R189" s="179"/>
      <c r="S189" s="179">
        <v>215179.46162575501</v>
      </c>
      <c r="T189" s="179">
        <v>14107.8939717007</v>
      </c>
      <c r="U189" s="179">
        <v>37326.652651517303</v>
      </c>
    </row>
    <row r="190" spans="1:21" x14ac:dyDescent="0.3">
      <c r="A190" s="156"/>
      <c r="B190" s="156"/>
      <c r="C190" s="179">
        <v>181</v>
      </c>
      <c r="D190" s="179">
        <v>1489.6878087304301</v>
      </c>
      <c r="E190" s="179">
        <v>2276229.2381182602</v>
      </c>
      <c r="F190" s="179">
        <v>523487.71927205601</v>
      </c>
      <c r="G190" s="179">
        <v>519267.950308698</v>
      </c>
      <c r="H190" s="179">
        <v>322202.87522046</v>
      </c>
      <c r="I190" s="179">
        <v>6149.97321192458</v>
      </c>
      <c r="J190" s="179">
        <v>205044.226475412</v>
      </c>
      <c r="K190" s="179">
        <v>1499.87535443608</v>
      </c>
      <c r="L190" s="179">
        <v>102428.166271319</v>
      </c>
      <c r="M190" s="179">
        <v>41939.544650638702</v>
      </c>
      <c r="N190" s="179">
        <v>12369.3776685825</v>
      </c>
      <c r="O190" s="179">
        <v>78679.022522547195</v>
      </c>
      <c r="P190" s="179">
        <v>17176.883836939502</v>
      </c>
      <c r="Q190" s="179">
        <v>1618.43654597776</v>
      </c>
      <c r="R190" s="179"/>
      <c r="S190" s="179">
        <v>215176.26684545999</v>
      </c>
      <c r="T190" s="179">
        <v>14106.6289742918</v>
      </c>
      <c r="U190" s="179">
        <v>37319.756837893998</v>
      </c>
    </row>
    <row r="191" spans="1:21" x14ac:dyDescent="0.3">
      <c r="A191" s="156"/>
      <c r="B191" s="156"/>
      <c r="C191" s="179">
        <v>182</v>
      </c>
      <c r="D191" s="179">
        <v>1489.3748066830501</v>
      </c>
      <c r="E191" s="179">
        <v>2276222.61340586</v>
      </c>
      <c r="F191" s="179">
        <v>523209.30335646699</v>
      </c>
      <c r="G191" s="179">
        <v>519145.395225354</v>
      </c>
      <c r="H191" s="179">
        <v>322147.08521040302</v>
      </c>
      <c r="I191" s="179">
        <v>6144.7272938874703</v>
      </c>
      <c r="J191" s="179">
        <v>205042.40219257801</v>
      </c>
      <c r="K191" s="179">
        <v>1499.87535443608</v>
      </c>
      <c r="L191" s="179">
        <v>102402.804249917</v>
      </c>
      <c r="M191" s="179">
        <v>41867.882491833501</v>
      </c>
      <c r="N191" s="179">
        <v>12361.804050459599</v>
      </c>
      <c r="O191" s="179">
        <v>78676.854486866694</v>
      </c>
      <c r="P191" s="179">
        <v>17176.883836939502</v>
      </c>
      <c r="Q191" s="179">
        <v>1618.43654597776</v>
      </c>
      <c r="R191" s="179"/>
      <c r="S191" s="179">
        <v>215135.965811231</v>
      </c>
      <c r="T191" s="179">
        <v>14105.892787275099</v>
      </c>
      <c r="U191" s="179">
        <v>37311.243864438802</v>
      </c>
    </row>
    <row r="192" spans="1:21" x14ac:dyDescent="0.3">
      <c r="A192" s="156"/>
      <c r="B192" s="156"/>
      <c r="C192" s="179">
        <v>183</v>
      </c>
      <c r="D192" s="179">
        <v>1489.3445161623299</v>
      </c>
      <c r="E192" s="179">
        <v>2275963.4744663602</v>
      </c>
      <c r="F192" s="179">
        <v>523124.76460777101</v>
      </c>
      <c r="G192" s="179">
        <v>519052.52479762101</v>
      </c>
      <c r="H192" s="179">
        <v>322118.91719778802</v>
      </c>
      <c r="I192" s="179">
        <v>6143.6797483943101</v>
      </c>
      <c r="J192" s="179">
        <v>204992.13686043301</v>
      </c>
      <c r="K192" s="179">
        <v>1499.87535443608</v>
      </c>
      <c r="L192" s="179">
        <v>102399.59245101501</v>
      </c>
      <c r="M192" s="179">
        <v>41863.616915394399</v>
      </c>
      <c r="N192" s="179">
        <v>12360.4807032069</v>
      </c>
      <c r="O192" s="179">
        <v>78641.382165991497</v>
      </c>
      <c r="P192" s="179">
        <v>17176.883836939502</v>
      </c>
      <c r="Q192" s="179">
        <v>1618.43654597776</v>
      </c>
      <c r="R192" s="179"/>
      <c r="S192" s="179">
        <v>215126.71722751099</v>
      </c>
      <c r="T192" s="179">
        <v>14104.2234054486</v>
      </c>
      <c r="U192" s="179">
        <v>37302.283375055202</v>
      </c>
    </row>
    <row r="193" spans="1:21" x14ac:dyDescent="0.3">
      <c r="A193" s="156"/>
      <c r="B193" s="156"/>
      <c r="C193" s="179">
        <v>184</v>
      </c>
      <c r="D193" s="179">
        <v>1487.62118747049</v>
      </c>
      <c r="E193" s="179">
        <v>2275740.2968915198</v>
      </c>
      <c r="F193" s="179">
        <v>523099.34388896503</v>
      </c>
      <c r="G193" s="179">
        <v>518935.60263460397</v>
      </c>
      <c r="H193" s="179">
        <v>322078.43795919098</v>
      </c>
      <c r="I193" s="179">
        <v>6141.5170724547597</v>
      </c>
      <c r="J193" s="179">
        <v>204971.128662845</v>
      </c>
      <c r="K193" s="179">
        <v>1499.87535443608</v>
      </c>
      <c r="L193" s="179">
        <v>102383.01843518599</v>
      </c>
      <c r="M193" s="179">
        <v>41862.43330569</v>
      </c>
      <c r="N193" s="179">
        <v>12357.742392353301</v>
      </c>
      <c r="O193" s="179">
        <v>78617.839130644497</v>
      </c>
      <c r="P193" s="179">
        <v>17176.883836939502</v>
      </c>
      <c r="Q193" s="179">
        <v>1618.43654597776</v>
      </c>
      <c r="R193" s="179"/>
      <c r="S193" s="179">
        <v>215122.55587355999</v>
      </c>
      <c r="T193" s="179">
        <v>14104.057504149099</v>
      </c>
      <c r="U193" s="179">
        <v>37300.167845212098</v>
      </c>
    </row>
    <row r="194" spans="1:21" x14ac:dyDescent="0.3">
      <c r="A194" s="156"/>
      <c r="B194" s="156"/>
      <c r="C194" s="179">
        <v>185</v>
      </c>
      <c r="D194" s="179">
        <v>1487.57958848871</v>
      </c>
      <c r="E194" s="179">
        <v>2275154.7782962401</v>
      </c>
      <c r="F194" s="179">
        <v>522990.37974708597</v>
      </c>
      <c r="G194" s="179">
        <v>518904.58720189898</v>
      </c>
      <c r="H194" s="179">
        <v>321993.49334350001</v>
      </c>
      <c r="I194" s="179">
        <v>6140.8027153477597</v>
      </c>
      <c r="J194" s="179">
        <v>204963.87275794501</v>
      </c>
      <c r="K194" s="179">
        <v>1499.87535443608</v>
      </c>
      <c r="L194" s="179">
        <v>102373.33960824199</v>
      </c>
      <c r="M194" s="179">
        <v>41845.562943534896</v>
      </c>
      <c r="N194" s="179">
        <v>12351.156194872799</v>
      </c>
      <c r="O194" s="179">
        <v>78615.905202103299</v>
      </c>
      <c r="P194" s="179">
        <v>17176.883836939502</v>
      </c>
      <c r="Q194" s="179">
        <v>1618.43654597776</v>
      </c>
      <c r="R194" s="179"/>
      <c r="S194" s="179">
        <v>215122.20994193599</v>
      </c>
      <c r="T194" s="179">
        <v>14094.466335270001</v>
      </c>
      <c r="U194" s="179">
        <v>37296.618230234999</v>
      </c>
    </row>
    <row r="195" spans="1:21" x14ac:dyDescent="0.3">
      <c r="A195" s="156"/>
      <c r="B195" s="156"/>
      <c r="C195" s="179">
        <v>186</v>
      </c>
      <c r="D195" s="179">
        <v>1487.40903266341</v>
      </c>
      <c r="E195" s="179">
        <v>2275006.9666076801</v>
      </c>
      <c r="F195" s="179">
        <v>522802.03463592997</v>
      </c>
      <c r="G195" s="179">
        <v>518868.94639966701</v>
      </c>
      <c r="H195" s="179">
        <v>321959.82181465701</v>
      </c>
      <c r="I195" s="179">
        <v>6134.9862804885697</v>
      </c>
      <c r="J195" s="179">
        <v>204962.452922517</v>
      </c>
      <c r="K195" s="179">
        <v>1499.87535443608</v>
      </c>
      <c r="L195" s="179">
        <v>102274.93676842201</v>
      </c>
      <c r="M195" s="179">
        <v>41770.374210585898</v>
      </c>
      <c r="N195" s="179">
        <v>12349.2118923708</v>
      </c>
      <c r="O195" s="179">
        <v>78595.609130991303</v>
      </c>
      <c r="P195" s="179">
        <v>17176.883836939502</v>
      </c>
      <c r="Q195" s="179">
        <v>1618.43654597776</v>
      </c>
      <c r="R195" s="179"/>
      <c r="S195" s="179">
        <v>215119.757897187</v>
      </c>
      <c r="T195" s="179">
        <v>14090.4847040813</v>
      </c>
      <c r="U195" s="179">
        <v>37294.400992226299</v>
      </c>
    </row>
    <row r="196" spans="1:21" x14ac:dyDescent="0.3">
      <c r="A196" s="156"/>
      <c r="B196" s="156"/>
      <c r="C196" s="179">
        <v>187</v>
      </c>
      <c r="D196" s="179">
        <v>1487.04712152192</v>
      </c>
      <c r="E196" s="179">
        <v>2274067.7347942698</v>
      </c>
      <c r="F196" s="179">
        <v>522765.99211290001</v>
      </c>
      <c r="G196" s="179">
        <v>518599.61726345401</v>
      </c>
      <c r="H196" s="179">
        <v>321911.43909740599</v>
      </c>
      <c r="I196" s="179">
        <v>6133.9511086769999</v>
      </c>
      <c r="J196" s="179">
        <v>204952.368089197</v>
      </c>
      <c r="K196" s="179">
        <v>1499.87535443608</v>
      </c>
      <c r="L196" s="179">
        <v>102249.30893518199</v>
      </c>
      <c r="M196" s="179">
        <v>41719.857959492503</v>
      </c>
      <c r="N196" s="179">
        <v>12347.6340552619</v>
      </c>
      <c r="O196" s="179">
        <v>78589.807345367502</v>
      </c>
      <c r="P196" s="179">
        <v>17176.883836939502</v>
      </c>
      <c r="Q196" s="179">
        <v>1618.43654597776</v>
      </c>
      <c r="R196" s="179"/>
      <c r="S196" s="179">
        <v>215114.11107214401</v>
      </c>
      <c r="T196" s="179">
        <v>14090.2669586257</v>
      </c>
      <c r="U196" s="179">
        <v>37289.173192517803</v>
      </c>
    </row>
    <row r="197" spans="1:21" x14ac:dyDescent="0.3">
      <c r="A197" s="156"/>
      <c r="B197" s="156"/>
      <c r="C197" s="179">
        <v>188</v>
      </c>
      <c r="D197" s="179">
        <v>1484.7508577276001</v>
      </c>
      <c r="E197" s="179">
        <v>2272970.34569943</v>
      </c>
      <c r="F197" s="179">
        <v>522741.521269202</v>
      </c>
      <c r="G197" s="179">
        <v>518422.51246427197</v>
      </c>
      <c r="H197" s="179">
        <v>321866.39812501502</v>
      </c>
      <c r="I197" s="179">
        <v>6132.1748651384096</v>
      </c>
      <c r="J197" s="179">
        <v>204942.57126254201</v>
      </c>
      <c r="K197" s="179">
        <v>1499.87535443608</v>
      </c>
      <c r="L197" s="179">
        <v>102223.66794214401</v>
      </c>
      <c r="M197" s="179">
        <v>41711.590059965703</v>
      </c>
      <c r="N197" s="179">
        <v>12344.4580218555</v>
      </c>
      <c r="O197" s="179">
        <v>78558.508238712995</v>
      </c>
      <c r="P197" s="179">
        <v>17176.883836939502</v>
      </c>
      <c r="Q197" s="179">
        <v>1618.43654597776</v>
      </c>
      <c r="R197" s="179"/>
      <c r="S197" s="179">
        <v>215114.05002538601</v>
      </c>
      <c r="T197" s="179">
        <v>14088.4109378372</v>
      </c>
      <c r="U197" s="179">
        <v>37284.759058133699</v>
      </c>
    </row>
    <row r="198" spans="1:21" x14ac:dyDescent="0.3">
      <c r="A198" s="156"/>
      <c r="B198" s="156"/>
      <c r="C198" s="179">
        <v>189</v>
      </c>
      <c r="D198" s="179">
        <v>1484.5428628187001</v>
      </c>
      <c r="E198" s="179">
        <v>2272799.0863168198</v>
      </c>
      <c r="F198" s="179">
        <v>522680.14541952801</v>
      </c>
      <c r="G198" s="179">
        <v>518371.35601338599</v>
      </c>
      <c r="H198" s="179">
        <v>321844.99820740701</v>
      </c>
      <c r="I198" s="179">
        <v>6130.1205601130696</v>
      </c>
      <c r="J198" s="179">
        <v>204918.77125746201</v>
      </c>
      <c r="K198" s="179">
        <v>1499.87535443608</v>
      </c>
      <c r="L198" s="179">
        <v>102196.350355806</v>
      </c>
      <c r="M198" s="179">
        <v>41688.100774045699</v>
      </c>
      <c r="N198" s="179">
        <v>12344.3053279417</v>
      </c>
      <c r="O198" s="179">
        <v>78550.915024545699</v>
      </c>
      <c r="P198" s="179">
        <v>17176.883836939502</v>
      </c>
      <c r="Q198" s="179">
        <v>1618.43654597776</v>
      </c>
      <c r="R198" s="179"/>
      <c r="S198" s="179">
        <v>215110.132858464</v>
      </c>
      <c r="T198" s="179">
        <v>14087.1355715971</v>
      </c>
      <c r="U198" s="179">
        <v>37272.726982150903</v>
      </c>
    </row>
    <row r="199" spans="1:21" x14ac:dyDescent="0.3">
      <c r="A199" s="156"/>
      <c r="B199" s="156"/>
      <c r="C199" s="179">
        <v>190</v>
      </c>
      <c r="D199" s="179">
        <v>1483.36145173612</v>
      </c>
      <c r="E199" s="179">
        <v>2271860.1290023201</v>
      </c>
      <c r="F199" s="179">
        <v>522485.27242974</v>
      </c>
      <c r="G199" s="179">
        <v>518246.22416517598</v>
      </c>
      <c r="H199" s="179">
        <v>321817.00407424202</v>
      </c>
      <c r="I199" s="179">
        <v>6128.7185873340604</v>
      </c>
      <c r="J199" s="179">
        <v>204895.16237578599</v>
      </c>
      <c r="K199" s="179">
        <v>1499.87535443608</v>
      </c>
      <c r="L199" s="179">
        <v>102184.85894532</v>
      </c>
      <c r="M199" s="179">
        <v>41640.845695041702</v>
      </c>
      <c r="N199" s="179">
        <v>12340.9766006216</v>
      </c>
      <c r="O199" s="179">
        <v>78547.586631740502</v>
      </c>
      <c r="P199" s="179">
        <v>17176.883836939502</v>
      </c>
      <c r="Q199" s="179">
        <v>1618.43654597776</v>
      </c>
      <c r="R199" s="179"/>
      <c r="S199" s="179">
        <v>215074.04405048399</v>
      </c>
      <c r="T199" s="179">
        <v>14086.8452443229</v>
      </c>
      <c r="U199" s="179">
        <v>37269.757103717297</v>
      </c>
    </row>
    <row r="200" spans="1:21" x14ac:dyDescent="0.3">
      <c r="A200" s="156"/>
      <c r="B200" s="156"/>
      <c r="C200" s="179">
        <v>191</v>
      </c>
      <c r="D200" s="179">
        <v>1483.31569285616</v>
      </c>
      <c r="E200" s="179">
        <v>2270492.2717247698</v>
      </c>
      <c r="F200" s="179">
        <v>522226.40881516598</v>
      </c>
      <c r="G200" s="179">
        <v>518204.68033891998</v>
      </c>
      <c r="H200" s="179">
        <v>321805.546879342</v>
      </c>
      <c r="I200" s="179">
        <v>6128.6436890809</v>
      </c>
      <c r="J200" s="179">
        <v>204834.53295101499</v>
      </c>
      <c r="K200" s="179">
        <v>1499.87535443608</v>
      </c>
      <c r="L200" s="179">
        <v>102151.264654635</v>
      </c>
      <c r="M200" s="179">
        <v>41635.728166457702</v>
      </c>
      <c r="N200" s="179">
        <v>12336.355064831499</v>
      </c>
      <c r="O200" s="179">
        <v>78543.393060377406</v>
      </c>
      <c r="P200" s="179">
        <v>17176.883836939502</v>
      </c>
      <c r="Q200" s="179">
        <v>1618.43654597776</v>
      </c>
      <c r="R200" s="179"/>
      <c r="S200" s="179">
        <v>215061.05126565401</v>
      </c>
      <c r="T200" s="179">
        <v>14085.860205356999</v>
      </c>
      <c r="U200" s="179">
        <v>37269.106171457897</v>
      </c>
    </row>
    <row r="201" spans="1:21" x14ac:dyDescent="0.3">
      <c r="A201" s="156"/>
      <c r="B201" s="156"/>
      <c r="C201" s="179">
        <v>192</v>
      </c>
      <c r="D201" s="179">
        <v>1482.7613763270899</v>
      </c>
      <c r="E201" s="179">
        <v>2270083.0713844802</v>
      </c>
      <c r="F201" s="179">
        <v>522060.52597747999</v>
      </c>
      <c r="G201" s="179">
        <v>518003.10507054901</v>
      </c>
      <c r="H201" s="179">
        <v>321710.58785419998</v>
      </c>
      <c r="I201" s="179">
        <v>6126.5925801663197</v>
      </c>
      <c r="J201" s="179">
        <v>204830.63308385899</v>
      </c>
      <c r="K201" s="179">
        <v>1499.87535443608</v>
      </c>
      <c r="L201" s="179">
        <v>102143.393412134</v>
      </c>
      <c r="M201" s="179">
        <v>41563.011258335799</v>
      </c>
      <c r="N201" s="179">
        <v>12325.0149968356</v>
      </c>
      <c r="O201" s="179">
        <v>78538.812703306001</v>
      </c>
      <c r="P201" s="179">
        <v>17176.883836939502</v>
      </c>
      <c r="Q201" s="179">
        <v>1618.43654597776</v>
      </c>
      <c r="R201" s="179"/>
      <c r="S201" s="179">
        <v>215056.32014196899</v>
      </c>
      <c r="T201" s="179">
        <v>14084.9062728847</v>
      </c>
      <c r="U201" s="179">
        <v>37269.075659008296</v>
      </c>
    </row>
    <row r="202" spans="1:21" x14ac:dyDescent="0.3">
      <c r="A202" s="156"/>
      <c r="B202" s="156"/>
      <c r="C202" s="179">
        <v>193</v>
      </c>
      <c r="D202" s="179">
        <v>1482.6806016051801</v>
      </c>
      <c r="E202" s="179">
        <v>2269550.9789380399</v>
      </c>
      <c r="F202" s="179">
        <v>521599.34235788899</v>
      </c>
      <c r="G202" s="179">
        <v>517977.47477870202</v>
      </c>
      <c r="H202" s="179">
        <v>321683.067273575</v>
      </c>
      <c r="I202" s="179">
        <v>6125.5130377280902</v>
      </c>
      <c r="J202" s="179">
        <v>204778.551724638</v>
      </c>
      <c r="K202" s="179">
        <v>1499.2535155660901</v>
      </c>
      <c r="L202" s="179">
        <v>102123.75464896701</v>
      </c>
      <c r="M202" s="179">
        <v>41534.741667466798</v>
      </c>
      <c r="N202" s="179">
        <v>12323.8341639025</v>
      </c>
      <c r="O202" s="179">
        <v>78532.664846258995</v>
      </c>
      <c r="P202" s="179">
        <v>17176.883836939502</v>
      </c>
      <c r="Q202" s="179">
        <v>1618.43654597776</v>
      </c>
      <c r="R202" s="179"/>
      <c r="S202" s="179">
        <v>215041.831711587</v>
      </c>
      <c r="T202" s="179">
        <v>14084.8544287286</v>
      </c>
      <c r="U202" s="179">
        <v>37259.098087969302</v>
      </c>
    </row>
    <row r="203" spans="1:21" x14ac:dyDescent="0.3">
      <c r="A203" s="156"/>
      <c r="B203" s="156"/>
      <c r="C203" s="179">
        <v>194</v>
      </c>
      <c r="D203" s="179">
        <v>1482.5544314895701</v>
      </c>
      <c r="E203" s="179">
        <v>2267632.0041751498</v>
      </c>
      <c r="F203" s="179">
        <v>521547.93674910598</v>
      </c>
      <c r="G203" s="179">
        <v>517862.89768797997</v>
      </c>
      <c r="H203" s="179">
        <v>321668.941646386</v>
      </c>
      <c r="I203" s="179">
        <v>6122.9438525251999</v>
      </c>
      <c r="J203" s="179">
        <v>204685.830724025</v>
      </c>
      <c r="K203" s="179">
        <v>1499.2535155660901</v>
      </c>
      <c r="L203" s="179">
        <v>102097.59567297</v>
      </c>
      <c r="M203" s="179">
        <v>41515.356225247902</v>
      </c>
      <c r="N203" s="179">
        <v>12321.207828585701</v>
      </c>
      <c r="O203" s="179">
        <v>78527.321096342406</v>
      </c>
      <c r="P203" s="179">
        <v>17176.883836939502</v>
      </c>
      <c r="Q203" s="179">
        <v>1618.43654597776</v>
      </c>
      <c r="R203" s="179"/>
      <c r="S203" s="179">
        <v>215037.385472769</v>
      </c>
      <c r="T203" s="179">
        <v>14083.288735214301</v>
      </c>
      <c r="U203" s="179">
        <v>37251.703904335001</v>
      </c>
    </row>
    <row r="204" spans="1:21" x14ac:dyDescent="0.3">
      <c r="A204" s="156"/>
      <c r="B204" s="156"/>
      <c r="C204" s="179">
        <v>195</v>
      </c>
      <c r="D204" s="179">
        <v>1482.53779189686</v>
      </c>
      <c r="E204" s="179">
        <v>2267461.2044442501</v>
      </c>
      <c r="F204" s="179">
        <v>521423.163389761</v>
      </c>
      <c r="G204" s="179">
        <v>517772.52417593799</v>
      </c>
      <c r="H204" s="179">
        <v>321645.611711487</v>
      </c>
      <c r="I204" s="179">
        <v>6121.1330338470698</v>
      </c>
      <c r="J204" s="179">
        <v>204643.33725912799</v>
      </c>
      <c r="K204" s="179">
        <v>1499.2535155660901</v>
      </c>
      <c r="L204" s="179">
        <v>102077.567239254</v>
      </c>
      <c r="M204" s="179">
        <v>41507.907477601999</v>
      </c>
      <c r="N204" s="179">
        <v>12319.2838852722</v>
      </c>
      <c r="O204" s="179">
        <v>78522.384489276505</v>
      </c>
      <c r="P204" s="179">
        <v>17176.883836939502</v>
      </c>
      <c r="Q204" s="179">
        <v>1618.43654597776</v>
      </c>
      <c r="R204" s="179"/>
      <c r="S204" s="179">
        <v>215017.85051045599</v>
      </c>
      <c r="T204" s="179">
        <v>14080.9453793584</v>
      </c>
      <c r="U204" s="179">
        <v>37250.320673283699</v>
      </c>
    </row>
    <row r="205" spans="1:21" x14ac:dyDescent="0.3">
      <c r="A205" s="156"/>
      <c r="B205" s="156"/>
      <c r="C205" s="179">
        <v>196</v>
      </c>
      <c r="D205" s="179">
        <v>1482.4795533223601</v>
      </c>
      <c r="E205" s="179">
        <v>2267422.5329225599</v>
      </c>
      <c r="F205" s="179">
        <v>521226.53187336097</v>
      </c>
      <c r="G205" s="179">
        <v>517538.93594907102</v>
      </c>
      <c r="H205" s="179">
        <v>321541.54749119602</v>
      </c>
      <c r="I205" s="179">
        <v>6117.7458907701503</v>
      </c>
      <c r="J205" s="179">
        <v>204609.69277108199</v>
      </c>
      <c r="K205" s="179">
        <v>1499.2535155660901</v>
      </c>
      <c r="L205" s="179">
        <v>102047.385433344</v>
      </c>
      <c r="M205" s="179">
        <v>41484.100594236101</v>
      </c>
      <c r="N205" s="179">
        <v>12316.5964723899</v>
      </c>
      <c r="O205" s="179">
        <v>78507.961453787299</v>
      </c>
      <c r="P205" s="179">
        <v>17176.883836939502</v>
      </c>
      <c r="Q205" s="179">
        <v>1618.43654597776</v>
      </c>
      <c r="R205" s="179"/>
      <c r="S205" s="179">
        <v>214981.98554058501</v>
      </c>
      <c r="T205" s="179">
        <v>14078.5812858401</v>
      </c>
      <c r="U205" s="179">
        <v>37245.021677859397</v>
      </c>
    </row>
    <row r="206" spans="1:21" x14ac:dyDescent="0.3">
      <c r="A206" s="156"/>
      <c r="B206" s="156"/>
      <c r="C206" s="179">
        <v>197</v>
      </c>
      <c r="D206" s="179">
        <v>1480.4412032150899</v>
      </c>
      <c r="E206" s="179">
        <v>2266269.4167504502</v>
      </c>
      <c r="F206" s="179">
        <v>521207.40661785501</v>
      </c>
      <c r="G206" s="179">
        <v>517404.81520105503</v>
      </c>
      <c r="H206" s="179">
        <v>321514.350742526</v>
      </c>
      <c r="I206" s="179">
        <v>6116.0622409586604</v>
      </c>
      <c r="J206" s="179">
        <v>204547.01662335001</v>
      </c>
      <c r="K206" s="179">
        <v>1499.2535155660901</v>
      </c>
      <c r="L206" s="179">
        <v>102003.749400714</v>
      </c>
      <c r="M206" s="179">
        <v>41477.854826035102</v>
      </c>
      <c r="N206" s="179">
        <v>12295.361838781801</v>
      </c>
      <c r="O206" s="179">
        <v>78507.075918086804</v>
      </c>
      <c r="P206" s="179">
        <v>17176.883836939502</v>
      </c>
      <c r="Q206" s="179">
        <v>1618.43654597776</v>
      </c>
      <c r="R206" s="179"/>
      <c r="S206" s="179">
        <v>214959.327019194</v>
      </c>
      <c r="T206" s="179">
        <v>14077.088174144401</v>
      </c>
      <c r="U206" s="179">
        <v>37237.098611764202</v>
      </c>
    </row>
    <row r="207" spans="1:21" x14ac:dyDescent="0.3">
      <c r="A207" s="156"/>
      <c r="B207" s="156"/>
      <c r="C207" s="179">
        <v>198</v>
      </c>
      <c r="D207" s="179">
        <v>1479.81309897756</v>
      </c>
      <c r="E207" s="179">
        <v>2265823.9160398301</v>
      </c>
      <c r="F207" s="179">
        <v>520829.55392709601</v>
      </c>
      <c r="G207" s="179">
        <v>517365.07156792702</v>
      </c>
      <c r="H207" s="179">
        <v>321459.34238720097</v>
      </c>
      <c r="I207" s="179">
        <v>6113.78185280874</v>
      </c>
      <c r="J207" s="179">
        <v>204518.40665849901</v>
      </c>
      <c r="K207" s="179">
        <v>1499.2535155660901</v>
      </c>
      <c r="L207" s="179">
        <v>101983.69527631201</v>
      </c>
      <c r="M207" s="179">
        <v>41474.124371799</v>
      </c>
      <c r="N207" s="179">
        <v>12291.025331630801</v>
      </c>
      <c r="O207" s="179">
        <v>78505.549132396307</v>
      </c>
      <c r="P207" s="179">
        <v>17176.883836939502</v>
      </c>
      <c r="Q207" s="179">
        <v>1618.43654597776</v>
      </c>
      <c r="R207" s="179"/>
      <c r="S207" s="179">
        <v>214956.12206443999</v>
      </c>
      <c r="T207" s="179">
        <v>14076.7771092077</v>
      </c>
      <c r="U207" s="179">
        <v>37224.3342369897</v>
      </c>
    </row>
    <row r="208" spans="1:21" x14ac:dyDescent="0.3">
      <c r="A208" s="156"/>
      <c r="B208" s="156"/>
      <c r="C208" s="179">
        <v>199</v>
      </c>
      <c r="D208" s="179">
        <v>1479.6799418485</v>
      </c>
      <c r="E208" s="179">
        <v>2265739.6458995398</v>
      </c>
      <c r="F208" s="179">
        <v>520754.62237196602</v>
      </c>
      <c r="G208" s="179">
        <v>517226.29358224198</v>
      </c>
      <c r="H208" s="179">
        <v>321452.59852507</v>
      </c>
      <c r="I208" s="179">
        <v>6113.7086801812402</v>
      </c>
      <c r="J208" s="179">
        <v>204461.503133266</v>
      </c>
      <c r="K208" s="179">
        <v>1499.2535155660901</v>
      </c>
      <c r="L208" s="179">
        <v>101981.961265334</v>
      </c>
      <c r="M208" s="179">
        <v>41472.842861785801</v>
      </c>
      <c r="N208" s="179">
        <v>12287.6966043106</v>
      </c>
      <c r="O208" s="179">
        <v>78504.683953838394</v>
      </c>
      <c r="P208" s="179">
        <v>17176.883836939502</v>
      </c>
      <c r="Q208" s="179">
        <v>1618.43654597776</v>
      </c>
      <c r="R208" s="179"/>
      <c r="S208" s="179">
        <v>214941.83712324899</v>
      </c>
      <c r="T208" s="179">
        <v>14076.621576739401</v>
      </c>
      <c r="U208" s="179">
        <v>37218.475846654903</v>
      </c>
    </row>
    <row r="209" spans="1:21" x14ac:dyDescent="0.3">
      <c r="A209" s="156"/>
      <c r="B209" s="156"/>
      <c r="C209" s="179">
        <v>200</v>
      </c>
      <c r="D209" s="179">
        <v>1479.4012286705699</v>
      </c>
      <c r="E209" s="179">
        <v>2263171.3147501</v>
      </c>
      <c r="F209" s="179">
        <v>520712.374170336</v>
      </c>
      <c r="G209" s="179">
        <v>517067.81903707498</v>
      </c>
      <c r="H209" s="179">
        <v>321409.31678572501</v>
      </c>
      <c r="I209" s="179">
        <v>6106.0290433547398</v>
      </c>
      <c r="J209" s="179">
        <v>204458.469833885</v>
      </c>
      <c r="K209" s="179">
        <v>1499.2535155660901</v>
      </c>
      <c r="L209" s="179">
        <v>101977.30332887299</v>
      </c>
      <c r="M209" s="179">
        <v>41409.645461980799</v>
      </c>
      <c r="N209" s="179">
        <v>12270.309857329499</v>
      </c>
      <c r="O209" s="179">
        <v>78494.637703995104</v>
      </c>
      <c r="P209" s="179">
        <v>17176.883836939502</v>
      </c>
      <c r="Q209" s="179">
        <v>1618.43654597776</v>
      </c>
      <c r="R209" s="179"/>
      <c r="S209" s="179">
        <v>214940.38217553499</v>
      </c>
      <c r="T209" s="179">
        <v>14076.3623559589</v>
      </c>
      <c r="U209" s="179">
        <v>37215.495797404801</v>
      </c>
    </row>
    <row r="210" spans="1:21" x14ac:dyDescent="0.3">
      <c r="A210" s="156"/>
      <c r="B210" s="156"/>
      <c r="C210" s="156"/>
      <c r="D210" s="156"/>
      <c r="E210" s="156"/>
      <c r="F210" s="156"/>
      <c r="G210" s="156"/>
      <c r="H210" s="156"/>
      <c r="I210" s="156"/>
      <c r="J210" s="156"/>
      <c r="K210" s="156"/>
      <c r="L210" s="156"/>
      <c r="M210" s="156"/>
      <c r="N210" s="156"/>
      <c r="O210" s="156"/>
      <c r="P210" s="156"/>
      <c r="Q210" s="156"/>
      <c r="R210" s="156"/>
      <c r="S210" s="156"/>
      <c r="T210" s="156"/>
      <c r="U210" s="156"/>
    </row>
  </sheetData>
  <printOptions horizontalCentered="1"/>
  <pageMargins left="0.25" right="0.25" top="0.75" bottom="0.75" header="0.3" footer="0.3"/>
  <pageSetup scale="64" fitToHeight="0" orientation="landscape" r:id="rId1"/>
  <headerFooter>
    <oddFooter>&amp;L&amp;"Times New Roman,Regular"&amp;F
&amp;A&amp;R&amp;"Times New Roman,Regular"Page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3:I22"/>
  <sheetViews>
    <sheetView workbookViewId="0">
      <selection activeCell="F11" sqref="F11"/>
    </sheetView>
  </sheetViews>
  <sheetFormatPr defaultRowHeight="14.4" x14ac:dyDescent="0.3"/>
  <cols>
    <col min="1" max="1" width="21.21875" customWidth="1"/>
    <col min="2" max="2" width="49.6640625" bestFit="1" customWidth="1"/>
    <col min="3" max="3" width="5.6640625" bestFit="1" customWidth="1"/>
    <col min="4" max="4" width="7.21875" bestFit="1" customWidth="1"/>
    <col min="5" max="5" width="8.21875" bestFit="1" customWidth="1"/>
    <col min="6" max="6" width="7.21875" bestFit="1" customWidth="1"/>
    <col min="7" max="9" width="2.109375" bestFit="1" customWidth="1"/>
  </cols>
  <sheetData>
    <row r="3" spans="1:9" ht="15.6" x14ac:dyDescent="0.3">
      <c r="A3" s="59" t="s">
        <v>242</v>
      </c>
      <c r="B3" s="58"/>
      <c r="C3" s="58"/>
      <c r="D3" s="58"/>
      <c r="E3" s="58"/>
      <c r="F3" s="58"/>
      <c r="G3" s="58"/>
      <c r="H3" s="58"/>
      <c r="I3" s="58"/>
    </row>
    <row r="4" spans="1:9" x14ac:dyDescent="0.3">
      <c r="A4" s="60"/>
      <c r="B4" s="60"/>
      <c r="C4" s="60"/>
      <c r="D4" s="60"/>
      <c r="E4" s="60"/>
      <c r="F4" s="60"/>
      <c r="G4" s="60"/>
      <c r="H4" s="60"/>
      <c r="I4" s="60"/>
    </row>
    <row r="5" spans="1:9" x14ac:dyDescent="0.3">
      <c r="A5" s="64" t="s">
        <v>100</v>
      </c>
      <c r="B5" s="64" t="s">
        <v>32</v>
      </c>
      <c r="C5" s="64" t="s">
        <v>20</v>
      </c>
      <c r="D5" s="64" t="s">
        <v>154</v>
      </c>
      <c r="E5" s="64" t="s">
        <v>156</v>
      </c>
      <c r="F5" s="64" t="s">
        <v>159</v>
      </c>
      <c r="G5" s="64" t="s">
        <v>107</v>
      </c>
      <c r="H5" s="64" t="s">
        <v>107</v>
      </c>
      <c r="I5" s="64" t="s">
        <v>107</v>
      </c>
    </row>
    <row r="6" spans="1:9" x14ac:dyDescent="0.3">
      <c r="A6" s="65" t="s">
        <v>154</v>
      </c>
      <c r="B6" s="65" t="s">
        <v>155</v>
      </c>
      <c r="C6" s="86">
        <v>1</v>
      </c>
      <c r="D6" s="106">
        <v>1</v>
      </c>
      <c r="E6" s="106"/>
      <c r="F6" s="106"/>
      <c r="G6" s="86"/>
      <c r="H6" s="86"/>
      <c r="I6" s="86"/>
    </row>
    <row r="7" spans="1:9" x14ac:dyDescent="0.3">
      <c r="A7" s="65" t="s">
        <v>156</v>
      </c>
      <c r="B7" s="65" t="s">
        <v>157</v>
      </c>
      <c r="C7" s="86">
        <v>1</v>
      </c>
      <c r="D7" s="106"/>
      <c r="E7" s="106">
        <v>1</v>
      </c>
      <c r="F7" s="106"/>
      <c r="G7" s="86"/>
      <c r="H7" s="86"/>
      <c r="I7" s="86"/>
    </row>
    <row r="8" spans="1:9" x14ac:dyDescent="0.3">
      <c r="A8" s="65" t="s">
        <v>159</v>
      </c>
      <c r="B8" s="65" t="s">
        <v>160</v>
      </c>
      <c r="C8" s="86">
        <v>1</v>
      </c>
      <c r="D8" s="106"/>
      <c r="E8" s="106"/>
      <c r="F8" s="106">
        <v>1</v>
      </c>
      <c r="G8" s="86"/>
      <c r="H8" s="86"/>
      <c r="I8" s="86"/>
    </row>
    <row r="9" spans="1:9" x14ac:dyDescent="0.3">
      <c r="A9" s="65" t="s">
        <v>243</v>
      </c>
      <c r="B9" s="65" t="s">
        <v>244</v>
      </c>
      <c r="C9" s="86">
        <v>1</v>
      </c>
      <c r="D9" s="106">
        <f>ROUND(+'Peak Credit'!G9,2)</f>
        <v>0.25</v>
      </c>
      <c r="E9" s="106">
        <f>1-D9</f>
        <v>0.75</v>
      </c>
      <c r="F9" s="106"/>
      <c r="G9" s="86"/>
      <c r="H9" s="86"/>
      <c r="I9" s="86"/>
    </row>
    <row r="10" spans="1:9" x14ac:dyDescent="0.3">
      <c r="A10" s="65" t="s">
        <v>245</v>
      </c>
      <c r="B10" s="65" t="s">
        <v>246</v>
      </c>
      <c r="C10" s="86">
        <v>1</v>
      </c>
      <c r="D10" s="106">
        <f>+$D$9</f>
        <v>0.25</v>
      </c>
      <c r="E10" s="106">
        <f>+$E$9</f>
        <v>0.75</v>
      </c>
      <c r="F10" s="106"/>
      <c r="G10" s="86"/>
      <c r="H10" s="86"/>
      <c r="I10" s="86"/>
    </row>
    <row r="11" spans="1:9" x14ac:dyDescent="0.3">
      <c r="A11" s="65" t="s">
        <v>247</v>
      </c>
      <c r="B11" s="65" t="s">
        <v>248</v>
      </c>
      <c r="C11" s="86">
        <v>1</v>
      </c>
      <c r="D11" s="106">
        <v>1</v>
      </c>
      <c r="E11" s="106"/>
      <c r="F11" s="106">
        <v>0</v>
      </c>
      <c r="G11" s="86"/>
      <c r="H11" s="86"/>
      <c r="I11" s="86"/>
    </row>
    <row r="12" spans="1:9" x14ac:dyDescent="0.3">
      <c r="A12" s="65" t="s">
        <v>249</v>
      </c>
      <c r="B12" s="87" t="s">
        <v>250</v>
      </c>
      <c r="C12" s="86">
        <v>1</v>
      </c>
      <c r="D12" s="106">
        <f>+$D$9</f>
        <v>0.25</v>
      </c>
      <c r="E12" s="106">
        <f>+$E$9</f>
        <v>0.75</v>
      </c>
      <c r="F12" s="106"/>
      <c r="G12" s="86"/>
      <c r="H12" s="86"/>
      <c r="I12" s="86"/>
    </row>
    <row r="13" spans="1:9" x14ac:dyDescent="0.3">
      <c r="A13" s="65" t="s">
        <v>251</v>
      </c>
      <c r="B13" s="87" t="s">
        <v>252</v>
      </c>
      <c r="C13" s="86">
        <v>1</v>
      </c>
      <c r="D13" s="106">
        <f>+$D$9</f>
        <v>0.25</v>
      </c>
      <c r="E13" s="106">
        <f>+$E$9</f>
        <v>0.75</v>
      </c>
      <c r="F13" s="106"/>
      <c r="G13" s="86"/>
      <c r="H13" s="86"/>
      <c r="I13" s="86"/>
    </row>
    <row r="14" spans="1:9" x14ac:dyDescent="0.3">
      <c r="A14" s="65" t="s">
        <v>107</v>
      </c>
      <c r="B14" s="65" t="s">
        <v>107</v>
      </c>
      <c r="C14" s="86">
        <v>0</v>
      </c>
      <c r="D14" s="86"/>
      <c r="E14" s="86"/>
      <c r="F14" s="86"/>
      <c r="G14" s="86"/>
      <c r="H14" s="86"/>
      <c r="I14" s="86"/>
    </row>
    <row r="15" spans="1:9" x14ac:dyDescent="0.3">
      <c r="A15" s="65" t="s">
        <v>107</v>
      </c>
      <c r="B15" s="65" t="s">
        <v>107</v>
      </c>
      <c r="C15" s="86">
        <v>0</v>
      </c>
      <c r="D15" s="86"/>
      <c r="E15" s="86"/>
      <c r="F15" s="86"/>
      <c r="G15" s="86"/>
      <c r="H15" s="86"/>
      <c r="I15" s="86"/>
    </row>
    <row r="16" spans="1:9" x14ac:dyDescent="0.3">
      <c r="A16" s="65" t="s">
        <v>107</v>
      </c>
      <c r="B16" s="65" t="s">
        <v>107</v>
      </c>
      <c r="C16" s="86">
        <v>0</v>
      </c>
      <c r="D16" s="86"/>
      <c r="E16" s="86"/>
      <c r="F16" s="86"/>
      <c r="G16" s="86"/>
      <c r="H16" s="86"/>
      <c r="I16" s="86"/>
    </row>
    <row r="17" spans="1:9" x14ac:dyDescent="0.3">
      <c r="A17" s="65" t="s">
        <v>107</v>
      </c>
      <c r="B17" s="65" t="s">
        <v>107</v>
      </c>
      <c r="C17" s="86">
        <v>0</v>
      </c>
      <c r="D17" s="86"/>
      <c r="E17" s="86"/>
      <c r="F17" s="86"/>
      <c r="G17" s="86"/>
      <c r="H17" s="86"/>
      <c r="I17" s="86"/>
    </row>
    <row r="18" spans="1:9" x14ac:dyDescent="0.3">
      <c r="A18" s="65" t="s">
        <v>107</v>
      </c>
      <c r="B18" s="65" t="s">
        <v>107</v>
      </c>
      <c r="C18" s="86">
        <v>0</v>
      </c>
      <c r="D18" s="86"/>
      <c r="E18" s="86"/>
      <c r="F18" s="86"/>
      <c r="G18" s="86"/>
      <c r="H18" s="86"/>
      <c r="I18" s="86"/>
    </row>
    <row r="19" spans="1:9" x14ac:dyDescent="0.3">
      <c r="A19" s="65" t="s">
        <v>107</v>
      </c>
      <c r="B19" s="65" t="s">
        <v>107</v>
      </c>
      <c r="C19" s="86">
        <v>0</v>
      </c>
      <c r="D19" s="86"/>
      <c r="E19" s="86"/>
      <c r="F19" s="86"/>
      <c r="G19" s="86"/>
      <c r="H19" s="86"/>
      <c r="I19" s="86"/>
    </row>
    <row r="20" spans="1:9" x14ac:dyDescent="0.3">
      <c r="A20" s="65" t="s">
        <v>107</v>
      </c>
      <c r="B20" s="65" t="s">
        <v>107</v>
      </c>
      <c r="C20" s="86">
        <v>0</v>
      </c>
      <c r="D20" s="86"/>
      <c r="E20" s="86"/>
      <c r="F20" s="86"/>
      <c r="G20" s="86"/>
      <c r="H20" s="86"/>
      <c r="I20" s="86"/>
    </row>
    <row r="21" spans="1:9" x14ac:dyDescent="0.3">
      <c r="A21" s="65" t="s">
        <v>107</v>
      </c>
      <c r="B21" s="65" t="s">
        <v>107</v>
      </c>
      <c r="C21" s="86">
        <v>0</v>
      </c>
      <c r="D21" s="86"/>
      <c r="E21" s="86"/>
      <c r="F21" s="86"/>
      <c r="G21" s="86"/>
      <c r="H21" s="86"/>
      <c r="I21" s="86"/>
    </row>
    <row r="22" spans="1:9" x14ac:dyDescent="0.3">
      <c r="A22" s="65" t="s">
        <v>107</v>
      </c>
      <c r="B22" s="65" t="s">
        <v>107</v>
      </c>
      <c r="C22" s="86">
        <v>0</v>
      </c>
      <c r="D22" s="86"/>
      <c r="E22" s="86"/>
      <c r="F22" s="86"/>
      <c r="G22" s="86"/>
      <c r="H22" s="86"/>
      <c r="I22" s="86"/>
    </row>
  </sheetData>
  <printOptions horizontalCentered="1"/>
  <pageMargins left="0.25" right="0.25" top="0.75" bottom="0.75" header="0.3" footer="0.3"/>
  <pageSetup orientation="landscape" r:id="rId1"/>
  <headerFooter>
    <oddHeader xml:space="preserve">&amp;CPuget Sound Energy
</oddHeader>
    <oddFooter>&amp;L&amp;"Times New Roman,Regular"&amp;F
&amp;A&amp;R&amp;"Times New Roman,Regular"Page &amp;P of &amp;N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zoomScale="80" zoomScaleNormal="80" workbookViewId="0">
      <selection activeCell="P27" sqref="P27"/>
    </sheetView>
  </sheetViews>
  <sheetFormatPr defaultRowHeight="14.4" x14ac:dyDescent="0.3"/>
  <cols>
    <col min="1" max="1" width="20.6640625" style="1" customWidth="1"/>
    <col min="2" max="2" width="13.77734375" style="1" bestFit="1" customWidth="1"/>
    <col min="3" max="3" width="13" style="1" bestFit="1" customWidth="1"/>
    <col min="4" max="4" width="18.6640625" style="1" bestFit="1" customWidth="1"/>
    <col min="5" max="6" width="13.5546875" style="1" bestFit="1" customWidth="1"/>
    <col min="7" max="7" width="13" style="1" bestFit="1" customWidth="1"/>
    <col min="8" max="8" width="22.77734375" style="1" bestFit="1" customWidth="1"/>
    <col min="9" max="9" width="16.109375" style="1" bestFit="1" customWidth="1"/>
    <col min="10" max="10" width="26.6640625" style="1" bestFit="1" customWidth="1"/>
    <col min="11" max="11" width="8.88671875" style="1"/>
    <col min="12" max="12" width="22.77734375" style="1" bestFit="1" customWidth="1"/>
    <col min="13" max="13" width="8.88671875" style="1"/>
    <col min="14" max="15" width="11.21875" style="1" bestFit="1" customWidth="1"/>
    <col min="16" max="16" width="10.21875" style="1" bestFit="1" customWidth="1"/>
    <col min="17" max="16384" width="8.88671875" style="1"/>
  </cols>
  <sheetData>
    <row r="1" spans="1:16" ht="15.6" x14ac:dyDescent="0.3">
      <c r="A1" s="201" t="s">
        <v>572</v>
      </c>
      <c r="B1" s="201"/>
      <c r="C1" s="201"/>
      <c r="D1" s="201"/>
      <c r="E1" s="201"/>
      <c r="F1" s="201"/>
      <c r="G1" s="201"/>
      <c r="H1" s="201"/>
      <c r="I1" s="201"/>
      <c r="J1" s="201"/>
      <c r="K1" s="202"/>
      <c r="L1" s="202"/>
    </row>
    <row r="2" spans="1:16" ht="15.6" x14ac:dyDescent="0.3">
      <c r="A2" s="201" t="s">
        <v>573</v>
      </c>
      <c r="B2" s="201"/>
      <c r="C2" s="201"/>
      <c r="D2" s="201"/>
      <c r="E2" s="201"/>
      <c r="F2" s="201"/>
      <c r="G2" s="201"/>
      <c r="H2" s="201"/>
      <c r="I2" s="201"/>
      <c r="J2" s="201"/>
      <c r="K2" s="202"/>
      <c r="L2" s="202"/>
    </row>
    <row r="3" spans="1:16" ht="15.6" x14ac:dyDescent="0.3">
      <c r="A3" s="203"/>
      <c r="B3" s="203"/>
      <c r="C3" s="203"/>
      <c r="D3" s="203"/>
      <c r="E3" s="203"/>
      <c r="F3" s="203"/>
      <c r="G3" s="203"/>
      <c r="H3" s="203"/>
      <c r="I3" s="201"/>
      <c r="J3" s="201"/>
      <c r="K3" s="202"/>
      <c r="L3" s="202"/>
    </row>
    <row r="4" spans="1:16" ht="15.6" x14ac:dyDescent="0.3">
      <c r="A4" s="203"/>
      <c r="B4" s="203"/>
      <c r="C4" s="203"/>
      <c r="D4" s="203"/>
      <c r="E4" s="203"/>
      <c r="F4" s="203"/>
      <c r="G4" s="203"/>
      <c r="H4" s="203"/>
      <c r="I4" s="201"/>
      <c r="J4" s="201"/>
      <c r="K4" s="202"/>
      <c r="L4" s="202"/>
    </row>
    <row r="5" spans="1:16" ht="16.2" thickBot="1" x14ac:dyDescent="0.35">
      <c r="A5" s="203"/>
      <c r="B5" s="203"/>
      <c r="C5" s="203"/>
      <c r="D5" s="203"/>
      <c r="E5" s="203"/>
      <c r="F5" s="203"/>
      <c r="G5" s="203"/>
      <c r="H5" s="203"/>
      <c r="I5" s="201"/>
      <c r="J5" s="201"/>
      <c r="K5" s="202"/>
      <c r="L5" s="202"/>
    </row>
    <row r="6" spans="1:16" ht="15.6" x14ac:dyDescent="0.3">
      <c r="A6" s="204" t="s">
        <v>574</v>
      </c>
      <c r="B6" s="205">
        <v>22007938139</v>
      </c>
      <c r="C6" s="203"/>
      <c r="D6" s="203"/>
      <c r="E6" s="203"/>
      <c r="F6" s="203"/>
      <c r="G6" s="203"/>
      <c r="H6" s="206" t="s">
        <v>575</v>
      </c>
      <c r="I6" s="207">
        <v>20365314276.710396</v>
      </c>
      <c r="J6" s="208"/>
      <c r="K6" s="202"/>
      <c r="L6" s="202"/>
    </row>
    <row r="7" spans="1:16" ht="15.6" x14ac:dyDescent="0.3">
      <c r="A7" s="209" t="s">
        <v>576</v>
      </c>
      <c r="B7" s="210">
        <v>303890901</v>
      </c>
      <c r="C7" s="203" t="s">
        <v>577</v>
      </c>
      <c r="D7" s="203"/>
      <c r="E7" s="203"/>
      <c r="F7" s="203"/>
      <c r="G7" s="203"/>
      <c r="H7" s="211" t="s">
        <v>578</v>
      </c>
      <c r="I7" s="212">
        <v>281706864.44926071</v>
      </c>
      <c r="J7" s="208"/>
      <c r="K7" s="202"/>
      <c r="L7" s="202"/>
    </row>
    <row r="8" spans="1:16" ht="16.2" thickBot="1" x14ac:dyDescent="0.35">
      <c r="A8" s="213" t="s">
        <v>579</v>
      </c>
      <c r="B8" s="214">
        <v>22311829040</v>
      </c>
      <c r="C8" s="203"/>
      <c r="D8" s="203"/>
      <c r="E8" s="203"/>
      <c r="F8" s="203"/>
      <c r="G8" s="203"/>
      <c r="H8" s="215" t="s">
        <v>580</v>
      </c>
      <c r="I8" s="216">
        <v>20647021141.159657</v>
      </c>
      <c r="J8" s="208"/>
      <c r="K8" s="202"/>
      <c r="L8" s="202"/>
    </row>
    <row r="9" spans="1:16" ht="15.6" x14ac:dyDescent="0.3">
      <c r="A9" s="201"/>
      <c r="B9" s="201"/>
      <c r="C9" s="201"/>
      <c r="D9" s="201"/>
      <c r="E9" s="201"/>
      <c r="F9" s="201"/>
      <c r="G9" s="201"/>
      <c r="H9" s="217"/>
      <c r="I9" s="217"/>
      <c r="J9" s="201"/>
      <c r="K9" s="202"/>
      <c r="L9" s="202"/>
    </row>
    <row r="10" spans="1:16" ht="15.6" x14ac:dyDescent="0.3">
      <c r="A10" s="201"/>
      <c r="B10" s="201"/>
      <c r="C10" s="201"/>
      <c r="D10" s="201"/>
      <c r="E10" s="201"/>
      <c r="F10" s="201"/>
      <c r="G10" s="201"/>
      <c r="H10" s="201"/>
      <c r="I10" s="201"/>
      <c r="J10" s="201"/>
      <c r="K10" s="202"/>
      <c r="L10" s="202"/>
    </row>
    <row r="11" spans="1:16" ht="15" thickBot="1" x14ac:dyDescent="0.35">
      <c r="A11" s="200"/>
      <c r="B11" s="218"/>
      <c r="C11" s="200"/>
      <c r="D11" s="218"/>
      <c r="E11" s="200"/>
      <c r="F11" s="200"/>
      <c r="G11" s="200"/>
      <c r="H11" s="200"/>
      <c r="I11" s="200"/>
      <c r="J11" s="428" t="s">
        <v>777</v>
      </c>
      <c r="K11" s="200"/>
      <c r="L11" s="200" t="s">
        <v>776</v>
      </c>
      <c r="N11" s="576" t="s">
        <v>780</v>
      </c>
      <c r="O11" s="576"/>
      <c r="P11" s="576"/>
    </row>
    <row r="12" spans="1:16" x14ac:dyDescent="0.3">
      <c r="A12" s="220" t="s">
        <v>581</v>
      </c>
      <c r="B12" s="221" t="s">
        <v>582</v>
      </c>
      <c r="C12" s="221" t="s">
        <v>583</v>
      </c>
      <c r="D12" s="221" t="s">
        <v>584</v>
      </c>
      <c r="E12" s="221" t="s">
        <v>585</v>
      </c>
      <c r="F12" s="221" t="s">
        <v>586</v>
      </c>
      <c r="G12" s="221" t="s">
        <v>587</v>
      </c>
      <c r="H12" s="221" t="s">
        <v>588</v>
      </c>
      <c r="I12" s="221" t="s">
        <v>589</v>
      </c>
      <c r="J12" s="222" t="s">
        <v>590</v>
      </c>
      <c r="K12" s="200"/>
      <c r="L12" s="222" t="s">
        <v>590</v>
      </c>
    </row>
    <row r="13" spans="1:16" x14ac:dyDescent="0.3">
      <c r="A13" s="223"/>
      <c r="B13" s="224"/>
      <c r="C13" s="224"/>
      <c r="D13" s="224"/>
      <c r="E13" s="224"/>
      <c r="F13" s="224" t="s">
        <v>591</v>
      </c>
      <c r="G13" s="224" t="s">
        <v>591</v>
      </c>
      <c r="H13" s="224" t="s">
        <v>591</v>
      </c>
      <c r="I13" s="224" t="s">
        <v>592</v>
      </c>
      <c r="J13" s="225" t="s">
        <v>593</v>
      </c>
      <c r="K13" s="200"/>
      <c r="L13" s="225" t="s">
        <v>593</v>
      </c>
    </row>
    <row r="14" spans="1:16" x14ac:dyDescent="0.3">
      <c r="A14" s="223"/>
      <c r="B14" s="224" t="s">
        <v>594</v>
      </c>
      <c r="C14" s="224" t="s">
        <v>595</v>
      </c>
      <c r="D14" s="224" t="s">
        <v>595</v>
      </c>
      <c r="E14" s="224" t="s">
        <v>139</v>
      </c>
      <c r="F14" s="224" t="s">
        <v>592</v>
      </c>
      <c r="G14" s="224" t="s">
        <v>596</v>
      </c>
      <c r="H14" s="224" t="s">
        <v>595</v>
      </c>
      <c r="I14" s="224" t="s">
        <v>597</v>
      </c>
      <c r="J14" s="225" t="s">
        <v>598</v>
      </c>
      <c r="K14" s="200"/>
      <c r="L14" s="225" t="s">
        <v>598</v>
      </c>
    </row>
    <row r="15" spans="1:16" x14ac:dyDescent="0.3">
      <c r="A15" s="223" t="s">
        <v>599</v>
      </c>
      <c r="B15" s="224" t="s">
        <v>600</v>
      </c>
      <c r="C15" s="224" t="s">
        <v>594</v>
      </c>
      <c r="D15" s="224" t="s">
        <v>601</v>
      </c>
      <c r="E15" s="224" t="s">
        <v>592</v>
      </c>
      <c r="F15" s="224" t="s">
        <v>602</v>
      </c>
      <c r="G15" s="224" t="s">
        <v>603</v>
      </c>
      <c r="H15" s="224" t="s">
        <v>604</v>
      </c>
      <c r="I15" s="224" t="s">
        <v>605</v>
      </c>
      <c r="J15" s="225" t="s">
        <v>592</v>
      </c>
      <c r="K15" s="200"/>
      <c r="L15" s="225" t="s">
        <v>592</v>
      </c>
    </row>
    <row r="16" spans="1:16" x14ac:dyDescent="0.3">
      <c r="A16" s="226"/>
      <c r="B16" s="227"/>
      <c r="C16" s="224" t="s">
        <v>601</v>
      </c>
      <c r="D16" s="224" t="s">
        <v>603</v>
      </c>
      <c r="E16" s="224" t="s">
        <v>602</v>
      </c>
      <c r="F16" s="224" t="s">
        <v>606</v>
      </c>
      <c r="G16" s="224" t="s">
        <v>607</v>
      </c>
      <c r="H16" s="224" t="s">
        <v>603</v>
      </c>
      <c r="I16" s="224" t="s">
        <v>608</v>
      </c>
      <c r="J16" s="225" t="s">
        <v>608</v>
      </c>
      <c r="K16" s="200"/>
      <c r="L16" s="225" t="s">
        <v>608</v>
      </c>
    </row>
    <row r="17" spans="1:16" x14ac:dyDescent="0.3">
      <c r="A17" s="226"/>
      <c r="B17" s="227"/>
      <c r="C17" s="228"/>
      <c r="D17" s="224" t="s">
        <v>609</v>
      </c>
      <c r="E17" s="224"/>
      <c r="F17" s="227"/>
      <c r="G17" s="224"/>
      <c r="H17" s="224"/>
      <c r="I17" s="224"/>
      <c r="J17" s="225"/>
      <c r="K17" s="200"/>
      <c r="L17" s="225"/>
    </row>
    <row r="18" spans="1:16" x14ac:dyDescent="0.3">
      <c r="A18" s="229"/>
      <c r="B18" s="230" t="s">
        <v>610</v>
      </c>
      <c r="C18" s="231"/>
      <c r="D18" s="231"/>
      <c r="E18" s="231" t="s">
        <v>611</v>
      </c>
      <c r="F18" s="232" t="s">
        <v>612</v>
      </c>
      <c r="G18" s="232" t="s">
        <v>613</v>
      </c>
      <c r="H18" s="232" t="s">
        <v>614</v>
      </c>
      <c r="I18" s="231" t="s">
        <v>615</v>
      </c>
      <c r="J18" s="233" t="s">
        <v>616</v>
      </c>
      <c r="K18" s="234"/>
      <c r="L18" s="233" t="s">
        <v>616</v>
      </c>
      <c r="N18" s="1" t="s">
        <v>787</v>
      </c>
      <c r="O18" s="117" t="s">
        <v>788</v>
      </c>
      <c r="P18" s="129" t="s">
        <v>789</v>
      </c>
    </row>
    <row r="19" spans="1:16" x14ac:dyDescent="0.3">
      <c r="A19" s="235" t="s">
        <v>617</v>
      </c>
      <c r="B19" s="236" t="s">
        <v>617</v>
      </c>
      <c r="C19" s="236" t="s">
        <v>617</v>
      </c>
      <c r="D19" s="236" t="s">
        <v>617</v>
      </c>
      <c r="E19" s="236" t="s">
        <v>617</v>
      </c>
      <c r="F19" s="236" t="s">
        <v>617</v>
      </c>
      <c r="G19" s="236" t="s">
        <v>617</v>
      </c>
      <c r="H19" s="236" t="s">
        <v>617</v>
      </c>
      <c r="I19" s="236" t="s">
        <v>618</v>
      </c>
      <c r="J19" s="237" t="s">
        <v>619</v>
      </c>
      <c r="K19" s="238"/>
      <c r="L19" s="237" t="s">
        <v>619</v>
      </c>
    </row>
    <row r="20" spans="1:16" x14ac:dyDescent="0.3">
      <c r="A20" s="239" t="s">
        <v>620</v>
      </c>
      <c r="B20" s="240">
        <v>10208761476.354383</v>
      </c>
      <c r="C20" s="240">
        <v>10451731125.354383</v>
      </c>
      <c r="D20" s="241">
        <v>242969649</v>
      </c>
      <c r="E20" s="242">
        <v>7.9467728973609736E-2</v>
      </c>
      <c r="F20" s="243">
        <v>20975088.895054668</v>
      </c>
      <c r="G20" s="243">
        <v>263944737.89505467</v>
      </c>
      <c r="H20" s="243">
        <v>262357551.50107402</v>
      </c>
      <c r="I20" s="244">
        <v>11100336483.093327</v>
      </c>
      <c r="J20" s="245">
        <f>SUM(L20,N20:P20)</f>
        <v>11362694034.5944</v>
      </c>
      <c r="K20" s="246"/>
      <c r="L20" s="245">
        <v>11362694034.5944</v>
      </c>
      <c r="N20" s="427"/>
      <c r="O20" s="427"/>
      <c r="P20" s="427"/>
    </row>
    <row r="21" spans="1:16" x14ac:dyDescent="0.3">
      <c r="A21" s="247">
        <v>24</v>
      </c>
      <c r="B21" s="240">
        <v>2724380971.0860081</v>
      </c>
      <c r="C21" s="240">
        <v>2746929439.2532654</v>
      </c>
      <c r="D21" s="241">
        <v>22548468.167257167</v>
      </c>
      <c r="E21" s="242">
        <v>7.8482732619560958E-2</v>
      </c>
      <c r="F21" s="243">
        <v>1920382.2443632372</v>
      </c>
      <c r="G21" s="243">
        <v>24468850.411620405</v>
      </c>
      <c r="H21" s="243">
        <v>24321711.178008884</v>
      </c>
      <c r="I21" s="244">
        <v>2959386905.1163797</v>
      </c>
      <c r="J21" s="245">
        <f>SUM(L21,N21:P21)</f>
        <v>2983833723.3713889</v>
      </c>
      <c r="K21" s="246"/>
      <c r="L21" s="245">
        <v>2983708616.2943888</v>
      </c>
      <c r="N21" s="427">
        <v>125107.077</v>
      </c>
      <c r="O21" s="427"/>
      <c r="P21" s="427"/>
    </row>
    <row r="22" spans="1:16" x14ac:dyDescent="0.3">
      <c r="A22" s="247">
        <v>25</v>
      </c>
      <c r="B22" s="240">
        <v>2796469413.5689993</v>
      </c>
      <c r="C22" s="240">
        <v>2807716477.6489849</v>
      </c>
      <c r="D22" s="241">
        <v>11247064.07998576</v>
      </c>
      <c r="E22" s="242">
        <v>7.7853391910488873E-2</v>
      </c>
      <c r="F22" s="243">
        <v>949547.588181898</v>
      </c>
      <c r="G22" s="243">
        <v>12196611.668167658</v>
      </c>
      <c r="H22" s="243">
        <v>12123269.436582506</v>
      </c>
      <c r="I22" s="244">
        <v>3044665452.6312709</v>
      </c>
      <c r="J22" s="245">
        <f t="shared" ref="J22:J32" si="0">SUM(L22,N22:P22)</f>
        <v>3065348902.0678535</v>
      </c>
      <c r="K22" s="246"/>
      <c r="L22" s="245">
        <v>3056788722.0678535</v>
      </c>
      <c r="N22" s="427">
        <v>3685260</v>
      </c>
      <c r="O22" s="427">
        <v>4874920</v>
      </c>
      <c r="P22" s="427"/>
    </row>
    <row r="23" spans="1:16" x14ac:dyDescent="0.3">
      <c r="A23" s="247">
        <v>26</v>
      </c>
      <c r="B23" s="240">
        <v>1844086005.7140005</v>
      </c>
      <c r="C23" s="240">
        <v>1843854018.0378911</v>
      </c>
      <c r="D23" s="241">
        <v>-231987.67610922537</v>
      </c>
      <c r="E23" s="242">
        <v>7.7315056676894464E-2</v>
      </c>
      <c r="F23" s="243">
        <v>-19439.073387420503</v>
      </c>
      <c r="G23" s="243">
        <v>-251426.74949664588</v>
      </c>
      <c r="H23" s="243">
        <v>-249914.83787807621</v>
      </c>
      <c r="I23" s="244">
        <v>2026899464.380985</v>
      </c>
      <c r="J23" s="245">
        <f t="shared" si="0"/>
        <v>2051022389.543107</v>
      </c>
      <c r="K23" s="246"/>
      <c r="L23" s="245">
        <v>2026649549.543107</v>
      </c>
      <c r="N23" s="427">
        <v>24372840</v>
      </c>
      <c r="O23" s="427"/>
      <c r="P23" s="427"/>
    </row>
    <row r="24" spans="1:16" x14ac:dyDescent="0.3">
      <c r="A24" s="247">
        <v>29</v>
      </c>
      <c r="B24" s="240">
        <v>14242753.409000002</v>
      </c>
      <c r="C24" s="240">
        <v>14084006.575165801</v>
      </c>
      <c r="D24" s="241">
        <v>-158746.83383420159</v>
      </c>
      <c r="E24" s="242">
        <v>7.468038083531188E-2</v>
      </c>
      <c r="F24" s="243">
        <v>-12812.085426050122</v>
      </c>
      <c r="G24" s="243">
        <v>-171558.91926025171</v>
      </c>
      <c r="H24" s="243">
        <v>-170527.2791351731</v>
      </c>
      <c r="I24" s="244">
        <v>15406510.69695087</v>
      </c>
      <c r="J24" s="245">
        <f t="shared" si="0"/>
        <v>15235983.417815696</v>
      </c>
      <c r="K24" s="246"/>
      <c r="L24" s="245">
        <v>15235983.417815696</v>
      </c>
      <c r="N24" s="427"/>
      <c r="O24" s="427"/>
      <c r="P24" s="427"/>
    </row>
    <row r="25" spans="1:16" x14ac:dyDescent="0.3">
      <c r="A25" s="239">
        <v>31</v>
      </c>
      <c r="B25" s="240">
        <v>1252024547.5769999</v>
      </c>
      <c r="C25" s="240">
        <v>1252981780.2807348</v>
      </c>
      <c r="D25" s="241">
        <v>957232.70373482059</v>
      </c>
      <c r="E25" s="242">
        <v>3.702332015656052E-2</v>
      </c>
      <c r="F25" s="243">
        <v>36802.482964038267</v>
      </c>
      <c r="G25" s="243">
        <v>994035.18669885886</v>
      </c>
      <c r="H25" s="243">
        <v>988057.72665912227</v>
      </c>
      <c r="I25" s="244">
        <v>1322015309.3917959</v>
      </c>
      <c r="J25" s="245">
        <f t="shared" si="0"/>
        <v>1342870567.1184549</v>
      </c>
      <c r="K25" s="246"/>
      <c r="L25" s="245">
        <v>1323003367.1184549</v>
      </c>
      <c r="N25" s="427"/>
      <c r="O25" s="427">
        <v>26500800</v>
      </c>
      <c r="P25" s="427">
        <f>-P27</f>
        <v>-6633600</v>
      </c>
    </row>
    <row r="26" spans="1:16" x14ac:dyDescent="0.3">
      <c r="A26" s="239">
        <v>35</v>
      </c>
      <c r="B26" s="240">
        <v>4429100.4000000004</v>
      </c>
      <c r="C26" s="240">
        <v>4429100.4000000004</v>
      </c>
      <c r="D26" s="241">
        <v>0</v>
      </c>
      <c r="E26" s="242">
        <v>3.5119821310677424E-2</v>
      </c>
      <c r="F26" s="243">
        <v>0</v>
      </c>
      <c r="G26" s="243">
        <v>0</v>
      </c>
      <c r="H26" s="243">
        <v>0</v>
      </c>
      <c r="I26" s="244">
        <v>4594563.3633324662</v>
      </c>
      <c r="J26" s="245">
        <f t="shared" si="0"/>
        <v>4594563.3633324662</v>
      </c>
      <c r="K26" s="246"/>
      <c r="L26" s="245">
        <v>4594563.3633324662</v>
      </c>
      <c r="N26" s="427"/>
      <c r="O26" s="427"/>
      <c r="P26" s="427"/>
    </row>
    <row r="27" spans="1:16" x14ac:dyDescent="0.3">
      <c r="A27" s="239">
        <v>40</v>
      </c>
      <c r="B27" s="240">
        <v>718932164.91099989</v>
      </c>
      <c r="C27" s="240">
        <v>719325536.69961417</v>
      </c>
      <c r="D27" s="241">
        <v>393371.78861424379</v>
      </c>
      <c r="E27" s="242">
        <v>3.6975302211610411E-2</v>
      </c>
      <c r="F27" s="243">
        <v>15103.497136611782</v>
      </c>
      <c r="G27" s="243">
        <v>408475.28575085558</v>
      </c>
      <c r="H27" s="243">
        <v>406018.98970573838</v>
      </c>
      <c r="I27" s="244">
        <v>692118747.18531692</v>
      </c>
      <c r="J27" s="245">
        <f t="shared" si="0"/>
        <v>639599439.09802258</v>
      </c>
      <c r="K27" s="246"/>
      <c r="L27" s="245">
        <v>692524766.1750226</v>
      </c>
      <c r="N27" s="427">
        <f>-SUM(N21:N26)</f>
        <v>-28183207.077</v>
      </c>
      <c r="O27" s="427">
        <f>-SUM(O21:O26)</f>
        <v>-31375720</v>
      </c>
      <c r="P27" s="427">
        <v>6633600</v>
      </c>
    </row>
    <row r="28" spans="1:16" x14ac:dyDescent="0.3">
      <c r="A28" s="247">
        <v>43</v>
      </c>
      <c r="B28" s="240">
        <v>116295695.25500003</v>
      </c>
      <c r="C28" s="240">
        <v>120131815.05243345</v>
      </c>
      <c r="D28" s="241">
        <v>3836119.7974334164</v>
      </c>
      <c r="E28" s="242">
        <v>3.8110780262926053E-2</v>
      </c>
      <c r="F28" s="243">
        <v>151989.97520962683</v>
      </c>
      <c r="G28" s="243">
        <v>3988109.7726430432</v>
      </c>
      <c r="H28" s="243">
        <v>3964127.9588007946</v>
      </c>
      <c r="I28" s="244">
        <v>121015412.90436846</v>
      </c>
      <c r="J28" s="245">
        <f t="shared" si="0"/>
        <v>124979540.86316925</v>
      </c>
      <c r="K28" s="246"/>
      <c r="L28" s="245">
        <v>124979540.86316925</v>
      </c>
      <c r="N28" s="427"/>
      <c r="O28" s="427"/>
      <c r="P28" s="427"/>
    </row>
    <row r="29" spans="1:16" x14ac:dyDescent="0.3">
      <c r="A29" s="247">
        <v>46</v>
      </c>
      <c r="B29" s="240">
        <v>40290452.949999996</v>
      </c>
      <c r="C29" s="240">
        <v>40290452.949999996</v>
      </c>
      <c r="D29" s="241">
        <v>0</v>
      </c>
      <c r="E29" s="242">
        <v>1.7642574624977668E-2</v>
      </c>
      <c r="F29" s="243">
        <v>0</v>
      </c>
      <c r="G29" s="243">
        <v>0</v>
      </c>
      <c r="H29" s="243">
        <v>0</v>
      </c>
      <c r="I29" s="244">
        <v>58540365.538649537</v>
      </c>
      <c r="J29" s="245">
        <f t="shared" si="0"/>
        <v>58540365.538649537</v>
      </c>
      <c r="K29" s="246"/>
      <c r="L29" s="245">
        <v>58540365.538649537</v>
      </c>
      <c r="N29" s="427"/>
      <c r="O29" s="427"/>
      <c r="P29" s="427"/>
    </row>
    <row r="30" spans="1:16" x14ac:dyDescent="0.3">
      <c r="A30" s="247">
        <v>49</v>
      </c>
      <c r="B30" s="240">
        <v>563748979.77299988</v>
      </c>
      <c r="C30" s="240">
        <v>563748979.77299988</v>
      </c>
      <c r="D30" s="241">
        <v>0</v>
      </c>
      <c r="E30" s="242">
        <v>1.754384432205652E-2</v>
      </c>
      <c r="F30" s="243">
        <v>0</v>
      </c>
      <c r="G30" s="243">
        <v>0</v>
      </c>
      <c r="H30" s="243">
        <v>0</v>
      </c>
      <c r="I30" s="244">
        <v>574347448.1834321</v>
      </c>
      <c r="J30" s="245">
        <f t="shared" si="0"/>
        <v>574347448.1834321</v>
      </c>
      <c r="K30" s="246"/>
      <c r="L30" s="245">
        <v>574347448.1834321</v>
      </c>
      <c r="N30" s="427"/>
      <c r="O30" s="427"/>
      <c r="P30" s="427"/>
    </row>
    <row r="31" spans="1:16" x14ac:dyDescent="0.3">
      <c r="A31" s="247" t="s">
        <v>621</v>
      </c>
      <c r="B31" s="240">
        <v>6798760.6290000007</v>
      </c>
      <c r="C31" s="240">
        <v>6944454.0511808293</v>
      </c>
      <c r="D31" s="241">
        <v>145693.42218082873</v>
      </c>
      <c r="E31" s="242">
        <v>3.8438002868003633E-2</v>
      </c>
      <c r="F31" s="243">
        <v>5824.0281919827103</v>
      </c>
      <c r="G31" s="243">
        <v>151517.45037281144</v>
      </c>
      <c r="H31" s="243">
        <v>150606.326182194</v>
      </c>
      <c r="I31" s="244">
        <v>7077087.4969593501</v>
      </c>
      <c r="J31" s="245">
        <f t="shared" si="0"/>
        <v>7227693.8231415441</v>
      </c>
      <c r="K31" s="246"/>
      <c r="L31" s="245">
        <v>7227693.8231415441</v>
      </c>
      <c r="N31" s="427"/>
      <c r="O31" s="427"/>
      <c r="P31" s="427"/>
    </row>
    <row r="32" spans="1:16" x14ac:dyDescent="0.3">
      <c r="A32" s="239" t="s">
        <v>622</v>
      </c>
      <c r="B32" s="240">
        <v>74853955.083000004</v>
      </c>
      <c r="C32" s="240">
        <v>74853955.083000004</v>
      </c>
      <c r="D32" s="241">
        <v>0</v>
      </c>
      <c r="E32" s="242">
        <v>8.1083528844027059E-2</v>
      </c>
      <c r="F32" s="243">
        <v>0</v>
      </c>
      <c r="G32" s="243">
        <v>0</v>
      </c>
      <c r="H32" s="243">
        <v>0</v>
      </c>
      <c r="I32" s="244">
        <v>81534389.017231286</v>
      </c>
      <c r="J32" s="245">
        <f t="shared" si="0"/>
        <v>81534389.017231286</v>
      </c>
      <c r="K32" s="246"/>
      <c r="L32" s="245">
        <v>81534389.017231286</v>
      </c>
      <c r="N32" s="427"/>
      <c r="O32" s="427"/>
      <c r="P32" s="427"/>
    </row>
    <row r="33" spans="1:16" x14ac:dyDescent="0.3">
      <c r="A33" s="235" t="s">
        <v>617</v>
      </c>
      <c r="B33" s="236" t="s">
        <v>617</v>
      </c>
      <c r="C33" s="248" t="s">
        <v>617</v>
      </c>
      <c r="D33" s="236" t="s">
        <v>617</v>
      </c>
      <c r="E33" s="236" t="s">
        <v>617</v>
      </c>
      <c r="F33" s="236" t="s">
        <v>617</v>
      </c>
      <c r="G33" s="236" t="s">
        <v>617</v>
      </c>
      <c r="H33" s="236" t="s">
        <v>617</v>
      </c>
      <c r="I33" s="236" t="s">
        <v>618</v>
      </c>
      <c r="J33" s="237" t="s">
        <v>619</v>
      </c>
      <c r="K33" s="246"/>
      <c r="L33" s="237" t="s">
        <v>619</v>
      </c>
      <c r="N33" s="427"/>
      <c r="O33" s="427"/>
      <c r="P33" s="427"/>
    </row>
    <row r="34" spans="1:16" x14ac:dyDescent="0.3">
      <c r="A34" s="249" t="s">
        <v>20</v>
      </c>
      <c r="B34" s="250">
        <v>20365314276.710396</v>
      </c>
      <c r="C34" s="251">
        <v>20647021141.159657</v>
      </c>
      <c r="D34" s="250">
        <v>281706864.44926071</v>
      </c>
      <c r="E34" s="250"/>
      <c r="F34" s="250">
        <v>24022487.552288592</v>
      </c>
      <c r="G34" s="250">
        <v>305729352.00155139</v>
      </c>
      <c r="H34" s="250">
        <v>303890901</v>
      </c>
      <c r="I34" s="252">
        <v>22007938139</v>
      </c>
      <c r="J34" s="253">
        <v>22311829040</v>
      </c>
      <c r="K34" s="246"/>
      <c r="L34" s="253">
        <v>22311829040</v>
      </c>
      <c r="N34" s="427">
        <f>SUM(N19:N33)</f>
        <v>0</v>
      </c>
      <c r="O34" s="427">
        <f t="shared" ref="O34:P34" si="1">SUM(O19:O33)</f>
        <v>0</v>
      </c>
      <c r="P34" s="427">
        <f t="shared" si="1"/>
        <v>0</v>
      </c>
    </row>
    <row r="35" spans="1:16" ht="15" thickBot="1" x14ac:dyDescent="0.35">
      <c r="A35" s="254"/>
      <c r="B35" s="255"/>
      <c r="C35" s="256"/>
      <c r="D35" s="255"/>
      <c r="E35" s="255"/>
      <c r="F35" s="255"/>
      <c r="G35" s="255"/>
      <c r="H35" s="257"/>
      <c r="I35" s="255"/>
      <c r="J35" s="258"/>
      <c r="K35" s="246"/>
      <c r="L35" s="258"/>
    </row>
    <row r="36" spans="1:16" x14ac:dyDescent="0.3">
      <c r="A36" s="200"/>
      <c r="B36" s="200"/>
      <c r="C36" s="219"/>
      <c r="D36" s="200"/>
      <c r="E36" s="200"/>
      <c r="F36" s="200"/>
      <c r="G36" s="200"/>
      <c r="H36" s="200"/>
      <c r="I36" s="200"/>
      <c r="J36" s="219"/>
      <c r="K36" s="246"/>
      <c r="L36" s="259"/>
    </row>
    <row r="37" spans="1:16" x14ac:dyDescent="0.3">
      <c r="A37" s="200"/>
      <c r="B37" s="200"/>
      <c r="C37" s="219"/>
      <c r="D37" s="200"/>
      <c r="E37" s="200"/>
      <c r="F37" s="200"/>
      <c r="G37" s="200"/>
      <c r="H37" s="200"/>
      <c r="I37" s="200"/>
      <c r="J37" s="219"/>
      <c r="K37" s="246"/>
      <c r="L37" s="259"/>
    </row>
    <row r="38" spans="1:16" ht="15" thickBot="1" x14ac:dyDescent="0.35">
      <c r="A38" s="260" t="s">
        <v>623</v>
      </c>
      <c r="B38" s="200"/>
      <c r="C38" s="219"/>
      <c r="D38" s="200"/>
      <c r="E38" s="200"/>
      <c r="F38" s="200"/>
      <c r="G38" s="200"/>
      <c r="H38" s="200"/>
      <c r="I38" s="200"/>
      <c r="J38" s="219"/>
      <c r="K38" s="246"/>
      <c r="L38" s="259"/>
    </row>
    <row r="39" spans="1:16" x14ac:dyDescent="0.3">
      <c r="A39" s="261">
        <v>459</v>
      </c>
      <c r="B39" s="262">
        <v>277864630.43800002</v>
      </c>
      <c r="C39" s="262">
        <v>277864630.43800002</v>
      </c>
      <c r="D39" s="263">
        <v>0</v>
      </c>
      <c r="E39" s="264">
        <v>1.6704654453749218E-2</v>
      </c>
      <c r="F39" s="263">
        <v>0</v>
      </c>
      <c r="G39" s="263">
        <v>0</v>
      </c>
      <c r="H39" s="263">
        <v>0</v>
      </c>
      <c r="I39" s="263">
        <v>282585117.17416674</v>
      </c>
      <c r="J39" s="265">
        <v>282585117.17416674</v>
      </c>
      <c r="K39" s="246"/>
      <c r="L39" s="246"/>
    </row>
    <row r="40" spans="1:16" x14ac:dyDescent="0.3">
      <c r="A40" s="247" t="s">
        <v>431</v>
      </c>
      <c r="B40" s="240">
        <v>1720611951.727</v>
      </c>
      <c r="C40" s="240">
        <v>1720611951.727</v>
      </c>
      <c r="D40" s="243">
        <v>0</v>
      </c>
      <c r="E40" s="242">
        <v>1.7054836716625443E-2</v>
      </c>
      <c r="F40" s="243">
        <v>0</v>
      </c>
      <c r="G40" s="243">
        <v>0</v>
      </c>
      <c r="H40" s="266">
        <v>0</v>
      </c>
      <c r="I40" s="243">
        <v>1750465861.1672344</v>
      </c>
      <c r="J40" s="267">
        <v>1750465861.1672344</v>
      </c>
      <c r="K40" s="246"/>
      <c r="L40" s="246"/>
    </row>
    <row r="41" spans="1:16" x14ac:dyDescent="0.3">
      <c r="A41" s="247" t="s">
        <v>430</v>
      </c>
      <c r="B41" s="240">
        <v>103596479.89899999</v>
      </c>
      <c r="C41" s="240">
        <v>103596479.89899999</v>
      </c>
      <c r="D41" s="243">
        <v>0</v>
      </c>
      <c r="E41" s="242">
        <v>3.5383903239015149E-2</v>
      </c>
      <c r="F41" s="243">
        <v>0</v>
      </c>
      <c r="G41" s="243">
        <v>0</v>
      </c>
      <c r="H41" s="243">
        <v>0</v>
      </c>
      <c r="I41" s="243">
        <v>107396590.46418484</v>
      </c>
      <c r="J41" s="267">
        <v>107396590.46418484</v>
      </c>
      <c r="K41" s="246"/>
      <c r="L41" s="251"/>
    </row>
    <row r="42" spans="1:16" x14ac:dyDescent="0.3">
      <c r="A42" s="268" t="s">
        <v>617</v>
      </c>
      <c r="B42" s="269" t="s">
        <v>617</v>
      </c>
      <c r="C42" s="269" t="s">
        <v>617</v>
      </c>
      <c r="D42" s="269" t="s">
        <v>617</v>
      </c>
      <c r="E42" s="269" t="s">
        <v>617</v>
      </c>
      <c r="F42" s="269" t="s">
        <v>617</v>
      </c>
      <c r="G42" s="269" t="s">
        <v>617</v>
      </c>
      <c r="H42" s="269" t="s">
        <v>617</v>
      </c>
      <c r="I42" s="269" t="s">
        <v>617</v>
      </c>
      <c r="J42" s="270" t="s">
        <v>617</v>
      </c>
      <c r="K42" s="246"/>
      <c r="L42" s="246"/>
    </row>
    <row r="43" spans="1:16" x14ac:dyDescent="0.3">
      <c r="A43" s="249" t="s">
        <v>624</v>
      </c>
      <c r="B43" s="250">
        <v>2102073062.0639999</v>
      </c>
      <c r="C43" s="250">
        <v>2102073062.0639999</v>
      </c>
      <c r="D43" s="250">
        <v>0</v>
      </c>
      <c r="E43" s="250"/>
      <c r="F43" s="250">
        <v>0</v>
      </c>
      <c r="G43" s="250">
        <v>0</v>
      </c>
      <c r="H43" s="250">
        <v>0</v>
      </c>
      <c r="I43" s="252">
        <v>2140447568.8055859</v>
      </c>
      <c r="J43" s="253">
        <v>2140447568.8055859</v>
      </c>
      <c r="K43" s="234"/>
      <c r="L43" s="234"/>
    </row>
    <row r="44" spans="1:16" ht="15" thickBot="1" x14ac:dyDescent="0.35">
      <c r="A44" s="254"/>
      <c r="B44" s="271"/>
      <c r="C44" s="271"/>
      <c r="D44" s="271"/>
      <c r="E44" s="271"/>
      <c r="F44" s="271"/>
      <c r="G44" s="271"/>
      <c r="H44" s="271"/>
      <c r="I44" s="272"/>
      <c r="J44" s="273"/>
      <c r="K44" s="234"/>
      <c r="L44" s="234"/>
    </row>
    <row r="45" spans="1:16" x14ac:dyDescent="0.3">
      <c r="A45" s="274"/>
      <c r="B45" s="250"/>
      <c r="C45" s="250"/>
      <c r="D45" s="250"/>
      <c r="E45" s="250"/>
      <c r="F45" s="250"/>
      <c r="G45" s="250"/>
      <c r="H45" s="250"/>
      <c r="I45" s="252"/>
      <c r="J45" s="250"/>
      <c r="K45" s="234"/>
      <c r="L45" s="234"/>
    </row>
    <row r="46" spans="1:16" x14ac:dyDescent="0.3">
      <c r="A46" s="275" t="s">
        <v>625</v>
      </c>
      <c r="B46" s="250"/>
      <c r="C46" s="250"/>
      <c r="D46" s="250"/>
      <c r="E46" s="250"/>
      <c r="F46" s="250"/>
      <c r="G46" s="250"/>
      <c r="H46" s="250"/>
      <c r="I46" s="252"/>
      <c r="J46" s="250"/>
      <c r="K46" s="234"/>
      <c r="L46" s="234"/>
    </row>
    <row r="47" spans="1:16" x14ac:dyDescent="0.3">
      <c r="A47" s="275" t="s">
        <v>626</v>
      </c>
      <c r="B47" s="250"/>
      <c r="C47" s="250"/>
      <c r="D47" s="250"/>
      <c r="E47" s="250"/>
      <c r="F47" s="250"/>
      <c r="G47" s="250"/>
      <c r="H47" s="250"/>
      <c r="I47" s="252"/>
      <c r="J47" s="250"/>
      <c r="K47" s="234"/>
      <c r="L47" s="234"/>
    </row>
    <row r="48" spans="1:16" x14ac:dyDescent="0.3">
      <c r="A48" s="200"/>
      <c r="B48" s="276"/>
      <c r="C48" s="276"/>
      <c r="D48" s="277"/>
      <c r="E48" s="200"/>
      <c r="F48" s="200"/>
      <c r="G48" s="200"/>
      <c r="H48" s="200"/>
      <c r="I48" s="200"/>
      <c r="J48" s="278"/>
      <c r="K48" s="200"/>
      <c r="L48" s="200"/>
    </row>
    <row r="50" spans="1:11" ht="15.6" x14ac:dyDescent="0.3">
      <c r="A50" s="201" t="s">
        <v>627</v>
      </c>
      <c r="B50" s="288"/>
      <c r="C50" s="288"/>
      <c r="D50" s="288"/>
      <c r="E50" s="288"/>
      <c r="F50" s="288"/>
      <c r="G50" s="288"/>
      <c r="H50" s="288"/>
      <c r="I50" s="288"/>
      <c r="J50" s="288"/>
      <c r="K50" s="288"/>
    </row>
    <row r="51" spans="1:11" ht="15.6" x14ac:dyDescent="0.3">
      <c r="A51" s="201" t="s">
        <v>628</v>
      </c>
      <c r="B51" s="288"/>
      <c r="C51" s="288"/>
      <c r="D51" s="288"/>
      <c r="E51" s="288"/>
      <c r="F51" s="288"/>
      <c r="G51" s="288"/>
      <c r="H51" s="288"/>
      <c r="I51" s="288"/>
      <c r="J51" s="288"/>
      <c r="K51" s="288"/>
    </row>
    <row r="52" spans="1:11" ht="15.6" x14ac:dyDescent="0.3">
      <c r="A52" s="201"/>
      <c r="B52" s="288"/>
      <c r="C52" s="288"/>
      <c r="D52" s="288"/>
      <c r="E52" s="288"/>
      <c r="F52" s="288"/>
      <c r="G52" s="288"/>
      <c r="H52" s="288"/>
      <c r="I52" s="288"/>
      <c r="J52" s="288"/>
      <c r="K52" s="288"/>
    </row>
    <row r="53" spans="1:11" ht="15" thickBot="1" x14ac:dyDescent="0.35">
      <c r="A53" s="288"/>
      <c r="B53" s="288"/>
      <c r="C53" s="288"/>
      <c r="D53" s="288"/>
      <c r="E53" s="288"/>
      <c r="F53" s="288"/>
      <c r="G53" s="288"/>
      <c r="H53" s="288"/>
      <c r="I53" s="288"/>
      <c r="J53" s="288"/>
      <c r="K53" s="288"/>
    </row>
    <row r="54" spans="1:11" ht="15" thickBot="1" x14ac:dyDescent="0.35">
      <c r="A54" s="289"/>
      <c r="B54" s="208"/>
      <c r="C54" s="288"/>
      <c r="D54" s="288"/>
      <c r="E54" s="288"/>
      <c r="F54" s="288"/>
      <c r="G54" s="288"/>
      <c r="H54" s="290" t="s">
        <v>629</v>
      </c>
      <c r="I54" s="291"/>
      <c r="J54" s="292" t="s">
        <v>630</v>
      </c>
      <c r="K54" s="293" t="s">
        <v>631</v>
      </c>
    </row>
    <row r="55" spans="1:11" x14ac:dyDescent="0.3">
      <c r="A55" s="204" t="s">
        <v>574</v>
      </c>
      <c r="B55" s="294">
        <v>22007938139</v>
      </c>
      <c r="C55" s="295"/>
      <c r="D55" s="295"/>
      <c r="E55" s="295"/>
      <c r="F55" s="295"/>
      <c r="G55" s="288"/>
      <c r="H55" s="296" t="s">
        <v>632</v>
      </c>
      <c r="I55" s="297"/>
      <c r="J55" s="224" t="s">
        <v>596</v>
      </c>
      <c r="K55" s="298" t="s">
        <v>633</v>
      </c>
    </row>
    <row r="56" spans="1:11" x14ac:dyDescent="0.3">
      <c r="A56" s="209" t="s">
        <v>634</v>
      </c>
      <c r="B56" s="299">
        <v>1606579484.1469998</v>
      </c>
      <c r="C56" s="208"/>
      <c r="D56" s="208"/>
      <c r="E56" s="208"/>
      <c r="F56" s="208"/>
      <c r="G56" s="288"/>
      <c r="H56" s="209" t="s">
        <v>635</v>
      </c>
      <c r="I56" s="300"/>
      <c r="J56" s="301">
        <v>3.047732061653087E-2</v>
      </c>
      <c r="K56" s="302">
        <v>6.9147310138769251E-3</v>
      </c>
    </row>
    <row r="57" spans="1:11" x14ac:dyDescent="0.3">
      <c r="A57" s="209" t="s">
        <v>636</v>
      </c>
      <c r="B57" s="303">
        <v>18880488.840606689</v>
      </c>
      <c r="C57" s="295"/>
      <c r="D57" s="295"/>
      <c r="E57" s="288"/>
      <c r="F57" s="208"/>
      <c r="G57" s="288"/>
      <c r="H57" s="209" t="s">
        <v>637</v>
      </c>
      <c r="I57" s="300"/>
      <c r="J57" s="301">
        <v>0.101328498667984</v>
      </c>
      <c r="K57" s="302">
        <v>4.9535101029060086E-2</v>
      </c>
    </row>
    <row r="58" spans="1:11" ht="15" thickBot="1" x14ac:dyDescent="0.35">
      <c r="A58" s="304" t="s">
        <v>638</v>
      </c>
      <c r="B58" s="305">
        <v>20382478166.012394</v>
      </c>
      <c r="C58" s="306"/>
      <c r="D58" s="208"/>
      <c r="E58" s="295"/>
      <c r="F58" s="208"/>
      <c r="G58" s="288"/>
      <c r="H58" s="307" t="s">
        <v>639</v>
      </c>
      <c r="I58" s="308"/>
      <c r="J58" s="309">
        <v>0.86819418071548504</v>
      </c>
      <c r="K58" s="310">
        <v>0.94355016795706304</v>
      </c>
    </row>
    <row r="59" spans="1:11" ht="15" thickBot="1" x14ac:dyDescent="0.35">
      <c r="A59" s="208"/>
      <c r="B59" s="288"/>
      <c r="C59" s="288"/>
      <c r="D59" s="288"/>
      <c r="E59" s="295"/>
      <c r="F59" s="208"/>
      <c r="G59" s="288"/>
      <c r="H59" s="213" t="s">
        <v>640</v>
      </c>
      <c r="I59" s="311"/>
      <c r="J59" s="312">
        <v>0.99999999999999989</v>
      </c>
      <c r="K59" s="313">
        <v>1</v>
      </c>
    </row>
    <row r="60" spans="1:11" x14ac:dyDescent="0.3">
      <c r="A60" s="289"/>
      <c r="B60" s="289"/>
      <c r="C60" s="289"/>
      <c r="D60" s="289"/>
      <c r="E60" s="289"/>
      <c r="F60" s="289"/>
      <c r="G60" s="289"/>
      <c r="H60" s="589"/>
      <c r="I60" s="589"/>
      <c r="J60" s="289"/>
      <c r="K60" s="289"/>
    </row>
    <row r="61" spans="1:11" x14ac:dyDescent="0.3">
      <c r="A61" s="288"/>
      <c r="B61" s="288"/>
      <c r="C61" s="288"/>
      <c r="D61" s="288"/>
      <c r="E61" s="288"/>
      <c r="F61" s="208"/>
      <c r="G61" s="288"/>
      <c r="H61" s="289"/>
      <c r="I61" s="288"/>
      <c r="J61" s="288"/>
      <c r="K61" s="288"/>
    </row>
    <row r="62" spans="1:11" ht="15" thickBot="1" x14ac:dyDescent="0.35">
      <c r="A62" s="200"/>
      <c r="B62" s="200"/>
      <c r="C62" s="218"/>
      <c r="D62" s="314"/>
      <c r="E62" s="200"/>
      <c r="F62" s="200"/>
      <c r="G62" s="314"/>
      <c r="H62" s="200"/>
      <c r="I62" s="200"/>
      <c r="J62" s="200"/>
      <c r="K62" s="200"/>
    </row>
    <row r="63" spans="1:11" x14ac:dyDescent="0.3">
      <c r="A63" s="315" t="s">
        <v>641</v>
      </c>
      <c r="B63" s="316" t="s">
        <v>642</v>
      </c>
      <c r="C63" s="316" t="s">
        <v>643</v>
      </c>
      <c r="D63" s="316" t="s">
        <v>644</v>
      </c>
      <c r="E63" s="316" t="s">
        <v>645</v>
      </c>
      <c r="F63" s="316" t="s">
        <v>646</v>
      </c>
      <c r="G63" s="316" t="s">
        <v>647</v>
      </c>
      <c r="H63" s="316" t="s">
        <v>648</v>
      </c>
      <c r="I63" s="316" t="s">
        <v>649</v>
      </c>
      <c r="J63" s="316" t="s">
        <v>650</v>
      </c>
      <c r="K63" s="317" t="s">
        <v>651</v>
      </c>
    </row>
    <row r="64" spans="1:11" x14ac:dyDescent="0.3">
      <c r="A64" s="318"/>
      <c r="B64" s="319"/>
      <c r="C64" s="319"/>
      <c r="D64" s="319"/>
      <c r="E64" s="319"/>
      <c r="F64" s="319" t="s">
        <v>652</v>
      </c>
      <c r="G64" s="319" t="s">
        <v>652</v>
      </c>
      <c r="H64" s="319" t="s">
        <v>652</v>
      </c>
      <c r="I64" s="319"/>
      <c r="J64" s="319" t="s">
        <v>592</v>
      </c>
      <c r="K64" s="320" t="s">
        <v>139</v>
      </c>
    </row>
    <row r="65" spans="1:11" x14ac:dyDescent="0.3">
      <c r="A65" s="318"/>
      <c r="B65" s="319" t="s">
        <v>594</v>
      </c>
      <c r="C65" s="319" t="s">
        <v>653</v>
      </c>
      <c r="D65" s="319" t="s">
        <v>652</v>
      </c>
      <c r="E65" s="319" t="s">
        <v>18</v>
      </c>
      <c r="F65" s="319" t="s">
        <v>654</v>
      </c>
      <c r="G65" s="319" t="s">
        <v>654</v>
      </c>
      <c r="H65" s="319" t="s">
        <v>654</v>
      </c>
      <c r="I65" s="319" t="s">
        <v>655</v>
      </c>
      <c r="J65" s="319" t="s">
        <v>597</v>
      </c>
      <c r="K65" s="320" t="s">
        <v>592</v>
      </c>
    </row>
    <row r="66" spans="1:11" x14ac:dyDescent="0.3">
      <c r="A66" s="318" t="s">
        <v>599</v>
      </c>
      <c r="B66" s="319" t="s">
        <v>656</v>
      </c>
      <c r="C66" s="319" t="s">
        <v>608</v>
      </c>
      <c r="D66" s="319" t="s">
        <v>657</v>
      </c>
      <c r="E66" s="319" t="s">
        <v>658</v>
      </c>
      <c r="F66" s="319" t="s">
        <v>659</v>
      </c>
      <c r="G66" s="319" t="s">
        <v>660</v>
      </c>
      <c r="H66" s="319" t="s">
        <v>661</v>
      </c>
      <c r="I66" s="319" t="s">
        <v>608</v>
      </c>
      <c r="J66" s="319" t="s">
        <v>605</v>
      </c>
      <c r="K66" s="320" t="s">
        <v>602</v>
      </c>
    </row>
    <row r="67" spans="1:11" x14ac:dyDescent="0.3">
      <c r="A67" s="226"/>
      <c r="B67" s="227"/>
      <c r="C67" s="227"/>
      <c r="D67" s="227"/>
      <c r="E67" s="227"/>
      <c r="F67" s="227"/>
      <c r="G67" s="227"/>
      <c r="H67" s="227"/>
      <c r="I67" s="227"/>
      <c r="J67" s="319" t="s">
        <v>608</v>
      </c>
      <c r="K67" s="321"/>
    </row>
    <row r="68" spans="1:11" x14ac:dyDescent="0.3">
      <c r="A68" s="229"/>
      <c r="B68" s="231"/>
      <c r="C68" s="232" t="s">
        <v>662</v>
      </c>
      <c r="D68" s="231" t="s">
        <v>663</v>
      </c>
      <c r="E68" s="232" t="s">
        <v>664</v>
      </c>
      <c r="F68" s="232" t="s">
        <v>665</v>
      </c>
      <c r="G68" s="231" t="s">
        <v>663</v>
      </c>
      <c r="H68" s="232" t="s">
        <v>666</v>
      </c>
      <c r="I68" s="231" t="s">
        <v>667</v>
      </c>
      <c r="J68" s="232" t="s">
        <v>668</v>
      </c>
      <c r="K68" s="322" t="s">
        <v>669</v>
      </c>
    </row>
    <row r="69" spans="1:11" x14ac:dyDescent="0.3">
      <c r="A69" s="229"/>
      <c r="B69" s="231"/>
      <c r="C69" s="232" t="s">
        <v>670</v>
      </c>
      <c r="D69" s="231"/>
      <c r="E69" s="232"/>
      <c r="F69" s="232"/>
      <c r="G69" s="231"/>
      <c r="H69" s="232"/>
      <c r="I69" s="231" t="s">
        <v>671</v>
      </c>
      <c r="J69" s="232"/>
      <c r="K69" s="322"/>
    </row>
    <row r="70" spans="1:11" x14ac:dyDescent="0.3">
      <c r="A70" s="235" t="s">
        <v>617</v>
      </c>
      <c r="B70" s="236" t="s">
        <v>617</v>
      </c>
      <c r="C70" s="236" t="s">
        <v>617</v>
      </c>
      <c r="D70" s="236" t="s">
        <v>617</v>
      </c>
      <c r="E70" s="236" t="s">
        <v>617</v>
      </c>
      <c r="F70" s="236" t="s">
        <v>617</v>
      </c>
      <c r="G70" s="236" t="s">
        <v>617</v>
      </c>
      <c r="H70" s="236" t="s">
        <v>617</v>
      </c>
      <c r="I70" s="236" t="s">
        <v>672</v>
      </c>
      <c r="J70" s="236" t="s">
        <v>617</v>
      </c>
      <c r="K70" s="323" t="s">
        <v>617</v>
      </c>
    </row>
    <row r="71" spans="1:11" x14ac:dyDescent="0.3">
      <c r="A71" s="239" t="s">
        <v>620</v>
      </c>
      <c r="B71" s="324">
        <v>10208761476.354383</v>
      </c>
      <c r="C71" s="243">
        <v>9456475.5846091062</v>
      </c>
      <c r="D71" s="241">
        <v>1596531.0833333333</v>
      </c>
      <c r="E71" s="243">
        <v>1163276.17849943</v>
      </c>
      <c r="F71" s="325">
        <v>0.72862732873992797</v>
      </c>
      <c r="G71" s="241">
        <v>241622.16666666666</v>
      </c>
      <c r="H71" s="243">
        <v>1542220021.4371381</v>
      </c>
      <c r="I71" s="243">
        <v>882118531.15433276</v>
      </c>
      <c r="J71" s="243">
        <v>11100336483.093327</v>
      </c>
      <c r="K71" s="326">
        <v>7.9467728973609736E-2</v>
      </c>
    </row>
    <row r="72" spans="1:11" x14ac:dyDescent="0.3">
      <c r="A72" s="247">
        <v>24</v>
      </c>
      <c r="B72" s="324">
        <v>2724602308.1630082</v>
      </c>
      <c r="C72" s="243">
        <v>2523825.7612924469</v>
      </c>
      <c r="D72" s="241">
        <v>374204.91666666669</v>
      </c>
      <c r="E72" s="243">
        <v>310465.17918081745</v>
      </c>
      <c r="F72" s="325">
        <v>0.82966622124148315</v>
      </c>
      <c r="G72" s="241">
        <v>55871.166666666664</v>
      </c>
      <c r="H72" s="243">
        <v>406064716.78825325</v>
      </c>
      <c r="I72" s="243">
        <v>232260771.19207883</v>
      </c>
      <c r="J72" s="243">
        <v>2959386905.1163797</v>
      </c>
      <c r="K72" s="326">
        <v>7.8482732619560958E-2</v>
      </c>
    </row>
    <row r="73" spans="1:11" x14ac:dyDescent="0.3">
      <c r="A73" s="247">
        <v>25</v>
      </c>
      <c r="B73" s="324">
        <v>2805029593.5689993</v>
      </c>
      <c r="C73" s="243">
        <v>2598326.3422434032</v>
      </c>
      <c r="D73" s="241">
        <v>390998.58333333331</v>
      </c>
      <c r="E73" s="243">
        <v>319629.77230319247</v>
      </c>
      <c r="F73" s="325">
        <v>0.81747041019507316</v>
      </c>
      <c r="G73" s="241">
        <v>57870.916666666664</v>
      </c>
      <c r="H73" s="243">
        <v>414415994.99617642</v>
      </c>
      <c r="I73" s="243">
        <v>237037532.72002834</v>
      </c>
      <c r="J73" s="243">
        <v>3044665452.6312709</v>
      </c>
      <c r="K73" s="326">
        <v>7.7853391910488873E-2</v>
      </c>
    </row>
    <row r="74" spans="1:11" x14ac:dyDescent="0.3">
      <c r="A74" s="247">
        <v>26</v>
      </c>
      <c r="B74" s="324">
        <v>1868458845.7140005</v>
      </c>
      <c r="C74" s="243">
        <v>1730771.7000016626</v>
      </c>
      <c r="D74" s="241">
        <v>245143.25</v>
      </c>
      <c r="E74" s="243">
        <v>212908.65407718605</v>
      </c>
      <c r="F74" s="325">
        <v>0.86850710381454943</v>
      </c>
      <c r="G74" s="241">
        <v>36011.25</v>
      </c>
      <c r="H74" s="243">
        <v>273977991.63403726</v>
      </c>
      <c r="I74" s="243">
        <v>156709846.9669829</v>
      </c>
      <c r="J74" s="243">
        <v>2026899464.380985</v>
      </c>
      <c r="K74" s="326">
        <v>7.7315056676894464E-2</v>
      </c>
    </row>
    <row r="75" spans="1:11" x14ac:dyDescent="0.3">
      <c r="A75" s="247">
        <v>29</v>
      </c>
      <c r="B75" s="324">
        <v>14242753.409000002</v>
      </c>
      <c r="C75" s="243">
        <v>13193.201759270998</v>
      </c>
      <c r="D75" s="241">
        <v>1722.75</v>
      </c>
      <c r="E75" s="243">
        <v>1622.9447416620301</v>
      </c>
      <c r="F75" s="325">
        <v>0.94206631354638226</v>
      </c>
      <c r="G75" s="241">
        <v>243.75</v>
      </c>
      <c r="H75" s="243">
        <v>2011547.0959999126</v>
      </c>
      <c r="I75" s="243">
        <v>1150564.0861915972</v>
      </c>
      <c r="J75" s="243">
        <v>15406510.69695087</v>
      </c>
      <c r="K75" s="326">
        <v>7.468038083531188E-2</v>
      </c>
    </row>
    <row r="76" spans="1:11" x14ac:dyDescent="0.3">
      <c r="A76" s="239">
        <v>31</v>
      </c>
      <c r="B76" s="324">
        <v>1271891747.5769999</v>
      </c>
      <c r="C76" s="243">
        <v>1178165.7633089151</v>
      </c>
      <c r="D76" s="241">
        <v>163580.33333333334</v>
      </c>
      <c r="E76" s="243">
        <v>144930.54568992587</v>
      </c>
      <c r="F76" s="325">
        <v>0.88599003765688533</v>
      </c>
      <c r="G76" s="241">
        <v>11025.5</v>
      </c>
      <c r="H76" s="243">
        <v>85571912.483229265</v>
      </c>
      <c r="I76" s="243">
        <v>48945396.051486872</v>
      </c>
      <c r="J76" s="243">
        <v>1322015309.3917959</v>
      </c>
      <c r="K76" s="326">
        <v>3.702332015656052E-2</v>
      </c>
    </row>
    <row r="77" spans="1:11" x14ac:dyDescent="0.3">
      <c r="A77" s="239">
        <v>35</v>
      </c>
      <c r="B77" s="324">
        <v>4429100.4000000004</v>
      </c>
      <c r="C77" s="243">
        <v>4102.7190116444344</v>
      </c>
      <c r="D77" s="241">
        <v>528.91666666666663</v>
      </c>
      <c r="E77" s="243">
        <v>504.69070116252789</v>
      </c>
      <c r="F77" s="325">
        <v>0.95419700865768631</v>
      </c>
      <c r="G77" s="241">
        <v>33.75</v>
      </c>
      <c r="H77" s="243">
        <v>282108.34560964495</v>
      </c>
      <c r="I77" s="243">
        <v>161360.24432082128</v>
      </c>
      <c r="J77" s="243">
        <v>4594563.3633324662</v>
      </c>
      <c r="K77" s="326">
        <v>3.5119821310677424E-2</v>
      </c>
    </row>
    <row r="78" spans="1:11" x14ac:dyDescent="0.3">
      <c r="A78" s="239">
        <v>40</v>
      </c>
      <c r="B78" s="324">
        <v>665910607.83399987</v>
      </c>
      <c r="C78" s="243">
        <v>616839.50781884557</v>
      </c>
      <c r="D78" s="241">
        <v>87075.5</v>
      </c>
      <c r="E78" s="243">
        <v>75879.718504305405</v>
      </c>
      <c r="F78" s="325">
        <v>0.87142443631452482</v>
      </c>
      <c r="G78" s="241">
        <v>5861.083333333333</v>
      </c>
      <c r="H78" s="243">
        <v>44741623.26189591</v>
      </c>
      <c r="I78" s="243">
        <v>25591299.843498275</v>
      </c>
      <c r="J78" s="243">
        <v>692118747.18531692</v>
      </c>
      <c r="K78" s="326">
        <v>3.6975302211610411E-2</v>
      </c>
    </row>
    <row r="79" spans="1:11" x14ac:dyDescent="0.3">
      <c r="A79" s="247">
        <v>43</v>
      </c>
      <c r="B79" s="324">
        <v>116295695.25500003</v>
      </c>
      <c r="C79" s="243">
        <v>107725.83974278298</v>
      </c>
      <c r="D79" s="241">
        <v>23842.5</v>
      </c>
      <c r="E79" s="243">
        <v>13251.755589110064</v>
      </c>
      <c r="F79" s="325">
        <v>0.555803946277029</v>
      </c>
      <c r="G79" s="241">
        <v>1656.0833333333333</v>
      </c>
      <c r="H79" s="243">
        <v>8063209.0317852795</v>
      </c>
      <c r="I79" s="243">
        <v>4611991.8096256526</v>
      </c>
      <c r="J79" s="243">
        <v>121015412.90436846</v>
      </c>
      <c r="K79" s="326">
        <v>3.8110780262926053E-2</v>
      </c>
    </row>
    <row r="80" spans="1:11" x14ac:dyDescent="0.3">
      <c r="A80" s="247">
        <v>46</v>
      </c>
      <c r="B80" s="324">
        <v>57454342.252000004</v>
      </c>
      <c r="C80" s="243">
        <v>53220.519060440914</v>
      </c>
      <c r="D80" s="241">
        <v>6545.5</v>
      </c>
      <c r="E80" s="243">
        <v>6546.853685230014</v>
      </c>
      <c r="F80" s="325">
        <v>1.0002068115850606</v>
      </c>
      <c r="G80" s="241">
        <v>206.08333333333334</v>
      </c>
      <c r="H80" s="243">
        <v>1805663.3548863942</v>
      </c>
      <c r="I80" s="243">
        <v>1032802.7675890955</v>
      </c>
      <c r="J80" s="243">
        <v>58540365.538649537</v>
      </c>
      <c r="K80" s="326">
        <v>1.7642574624977668E-2</v>
      </c>
    </row>
    <row r="81" spans="1:11" x14ac:dyDescent="0.3">
      <c r="A81" s="247">
        <v>49</v>
      </c>
      <c r="B81" s="324">
        <v>563748979.77299988</v>
      </c>
      <c r="C81" s="243">
        <v>522206.19273156236</v>
      </c>
      <c r="D81" s="241">
        <v>68869.916666666672</v>
      </c>
      <c r="E81" s="243">
        <v>64238.522992455772</v>
      </c>
      <c r="F81" s="325">
        <v>0.93275157139180165</v>
      </c>
      <c r="G81" s="241">
        <v>2156</v>
      </c>
      <c r="H81" s="243">
        <v>17616468.518185545</v>
      </c>
      <c r="I81" s="243">
        <v>10076262.217700556</v>
      </c>
      <c r="J81" s="243">
        <v>574347448.1834321</v>
      </c>
      <c r="K81" s="326">
        <v>1.754384432205652E-2</v>
      </c>
    </row>
    <row r="82" spans="1:11" x14ac:dyDescent="0.3">
      <c r="A82" s="247" t="s">
        <v>621</v>
      </c>
      <c r="B82" s="324">
        <v>6798760.6290000007</v>
      </c>
      <c r="C82" s="243">
        <v>6297.7584541136102</v>
      </c>
      <c r="D82" s="241">
        <v>838.33333333333337</v>
      </c>
      <c r="E82" s="243">
        <v>774.71065430943918</v>
      </c>
      <c r="F82" s="325">
        <v>0.92410813635320777</v>
      </c>
      <c r="G82" s="241">
        <v>58.75</v>
      </c>
      <c r="H82" s="243">
        <v>475592.25237417832</v>
      </c>
      <c r="I82" s="243">
        <v>272029.10950523615</v>
      </c>
      <c r="J82" s="243">
        <v>7077087.4969593501</v>
      </c>
      <c r="K82" s="326">
        <v>3.8438002868003633E-2</v>
      </c>
    </row>
    <row r="83" spans="1:11" x14ac:dyDescent="0.3">
      <c r="A83" s="239" t="s">
        <v>673</v>
      </c>
      <c r="B83" s="324">
        <v>74853955.083000004</v>
      </c>
      <c r="C83" s="243">
        <v>69337.950572491565</v>
      </c>
      <c r="D83" s="241">
        <v>6785.5833333333339</v>
      </c>
      <c r="E83" s="243">
        <v>8529.5187879750101</v>
      </c>
      <c r="F83" s="325">
        <v>1.25700597413266</v>
      </c>
      <c r="G83" s="241">
        <v>1049.6666666666665</v>
      </c>
      <c r="H83" s="243">
        <v>11558270.492627738</v>
      </c>
      <c r="I83" s="243">
        <v>6611095.9836587962</v>
      </c>
      <c r="J83" s="243">
        <v>81534389.017231286</v>
      </c>
      <c r="K83" s="326">
        <v>8.1083528844027059E-2</v>
      </c>
    </row>
    <row r="84" spans="1:11" x14ac:dyDescent="0.3">
      <c r="A84" s="235" t="s">
        <v>617</v>
      </c>
      <c r="B84" s="236" t="s">
        <v>617</v>
      </c>
      <c r="C84" s="236" t="s">
        <v>617</v>
      </c>
      <c r="D84" s="236" t="s">
        <v>617</v>
      </c>
      <c r="E84" s="236" t="s">
        <v>617</v>
      </c>
      <c r="F84" s="236" t="s">
        <v>617</v>
      </c>
      <c r="G84" s="236" t="s">
        <v>617</v>
      </c>
      <c r="H84" s="236" t="s">
        <v>617</v>
      </c>
      <c r="I84" s="236" t="s">
        <v>672</v>
      </c>
      <c r="J84" s="236" t="s">
        <v>617</v>
      </c>
      <c r="K84" s="323" t="s">
        <v>617</v>
      </c>
    </row>
    <row r="85" spans="1:11" x14ac:dyDescent="0.3">
      <c r="A85" s="249" t="s">
        <v>20</v>
      </c>
      <c r="B85" s="250">
        <v>20382478166.012394</v>
      </c>
      <c r="C85" s="327">
        <v>18880488.840606689</v>
      </c>
      <c r="D85" s="250">
        <v>2966667.166666667</v>
      </c>
      <c r="E85" s="250">
        <v>2322559.045406762</v>
      </c>
      <c r="F85" s="328">
        <v>0.78288493953852545</v>
      </c>
      <c r="G85" s="250">
        <v>413666.16666666663</v>
      </c>
      <c r="H85" s="250">
        <v>2808805119.6921992</v>
      </c>
      <c r="I85" s="250">
        <v>1606579484.1469998</v>
      </c>
      <c r="J85" s="250">
        <v>22007938139</v>
      </c>
      <c r="K85" s="329">
        <v>7.2999999999999995E-2</v>
      </c>
    </row>
    <row r="86" spans="1:11" ht="15" thickBot="1" x14ac:dyDescent="0.35">
      <c r="A86" s="254"/>
      <c r="B86" s="255"/>
      <c r="C86" s="255"/>
      <c r="D86" s="255"/>
      <c r="E86" s="255"/>
      <c r="F86" s="255"/>
      <c r="G86" s="255"/>
      <c r="H86" s="257"/>
      <c r="I86" s="255"/>
      <c r="J86" s="255"/>
      <c r="K86" s="330"/>
    </row>
    <row r="87" spans="1:11" x14ac:dyDescent="0.3">
      <c r="A87" s="249"/>
      <c r="B87" s="274"/>
      <c r="C87" s="274"/>
      <c r="D87" s="274"/>
      <c r="E87" s="274"/>
      <c r="F87" s="274"/>
      <c r="G87" s="274"/>
      <c r="H87" s="331"/>
      <c r="I87" s="274"/>
      <c r="J87" s="274"/>
      <c r="K87" s="274"/>
    </row>
    <row r="88" spans="1:11" x14ac:dyDescent="0.3">
      <c r="A88" s="249"/>
      <c r="B88" s="274"/>
      <c r="C88" s="274"/>
      <c r="D88" s="274"/>
      <c r="E88" s="274"/>
      <c r="F88" s="274"/>
      <c r="G88" s="274"/>
      <c r="H88" s="331"/>
      <c r="I88" s="274"/>
      <c r="J88" s="274"/>
      <c r="K88" s="274"/>
    </row>
    <row r="89" spans="1:11" ht="15" thickBot="1" x14ac:dyDescent="0.35">
      <c r="A89" s="332" t="s">
        <v>623</v>
      </c>
      <c r="B89" s="274"/>
      <c r="C89" s="274"/>
      <c r="D89" s="314"/>
      <c r="E89" s="333"/>
      <c r="F89" s="333"/>
      <c r="G89" s="314"/>
      <c r="H89" s="331"/>
      <c r="I89" s="274"/>
      <c r="J89" s="274"/>
      <c r="K89" s="274"/>
    </row>
    <row r="90" spans="1:11" x14ac:dyDescent="0.3">
      <c r="A90" s="261">
        <v>459</v>
      </c>
      <c r="B90" s="334">
        <v>277864630.43800002</v>
      </c>
      <c r="C90" s="263">
        <v>0</v>
      </c>
      <c r="D90" s="335">
        <v>33349.677499999998</v>
      </c>
      <c r="E90" s="334">
        <v>31633.040805783246</v>
      </c>
      <c r="F90" s="336">
        <v>0.9485261380948361</v>
      </c>
      <c r="G90" s="335">
        <v>568.11122776207412</v>
      </c>
      <c r="H90" s="263">
        <v>4720486.7361666895</v>
      </c>
      <c r="I90" s="263">
        <v>4720486.7361666895</v>
      </c>
      <c r="J90" s="263">
        <v>282585117.17416674</v>
      </c>
      <c r="K90" s="337">
        <v>1.6704654453749218E-2</v>
      </c>
    </row>
    <row r="91" spans="1:11" x14ac:dyDescent="0.3">
      <c r="A91" s="247" t="s">
        <v>431</v>
      </c>
      <c r="B91" s="324">
        <v>1720611951.727</v>
      </c>
      <c r="C91" s="243">
        <v>0</v>
      </c>
      <c r="D91" s="338">
        <v>202197.85416666672</v>
      </c>
      <c r="E91" s="243">
        <v>195880.23129861112</v>
      </c>
      <c r="F91" s="339">
        <v>0.96875524275916336</v>
      </c>
      <c r="G91" s="338">
        <v>3517.8963470697345</v>
      </c>
      <c r="H91" s="243">
        <v>29853909.440234326</v>
      </c>
      <c r="I91" s="243">
        <v>29853909.440234326</v>
      </c>
      <c r="J91" s="243">
        <v>1750465861.1672344</v>
      </c>
      <c r="K91" s="326">
        <v>1.7054836716625443E-2</v>
      </c>
    </row>
    <row r="92" spans="1:11" x14ac:dyDescent="0.3">
      <c r="A92" s="247" t="s">
        <v>430</v>
      </c>
      <c r="B92" s="324">
        <v>103596479.89899999</v>
      </c>
      <c r="C92" s="243">
        <v>0</v>
      </c>
      <c r="D92" s="338">
        <v>12327.4375</v>
      </c>
      <c r="E92" s="243">
        <v>11793.770480305098</v>
      </c>
      <c r="F92" s="339">
        <v>0.95670900625576871</v>
      </c>
      <c r="G92" s="338">
        <v>453.43210223566166</v>
      </c>
      <c r="H92" s="243">
        <v>3800110.565184853</v>
      </c>
      <c r="I92" s="243">
        <v>3800110.565184853</v>
      </c>
      <c r="J92" s="243">
        <v>107396590.46418484</v>
      </c>
      <c r="K92" s="326">
        <v>3.5383903239015149E-2</v>
      </c>
    </row>
    <row r="93" spans="1:11" x14ac:dyDescent="0.3">
      <c r="A93" s="268" t="s">
        <v>617</v>
      </c>
      <c r="B93" s="340" t="s">
        <v>617</v>
      </c>
      <c r="C93" s="340" t="s">
        <v>617</v>
      </c>
      <c r="D93" s="340" t="s">
        <v>617</v>
      </c>
      <c r="E93" s="340" t="s">
        <v>617</v>
      </c>
      <c r="F93" s="340" t="s">
        <v>617</v>
      </c>
      <c r="G93" s="340" t="s">
        <v>617</v>
      </c>
      <c r="H93" s="340" t="s">
        <v>617</v>
      </c>
      <c r="I93" s="340" t="s">
        <v>672</v>
      </c>
      <c r="J93" s="340" t="s">
        <v>617</v>
      </c>
      <c r="K93" s="341" t="s">
        <v>617</v>
      </c>
    </row>
    <row r="94" spans="1:11" x14ac:dyDescent="0.3">
      <c r="A94" s="249" t="s">
        <v>624</v>
      </c>
      <c r="B94" s="250">
        <v>2102073062.0639999</v>
      </c>
      <c r="C94" s="327">
        <v>0</v>
      </c>
      <c r="D94" s="250">
        <v>247874.96916666671</v>
      </c>
      <c r="E94" s="250">
        <v>239307.04258469946</v>
      </c>
      <c r="F94" s="328">
        <v>0.96543448251038888</v>
      </c>
      <c r="G94" s="250">
        <v>4539.4396770674703</v>
      </c>
      <c r="H94" s="250">
        <v>38374506.741585873</v>
      </c>
      <c r="I94" s="250">
        <v>38374506.741585873</v>
      </c>
      <c r="J94" s="250">
        <v>2140447568.8055859</v>
      </c>
      <c r="K94" s="329">
        <v>1.8255553260316467E-2</v>
      </c>
    </row>
    <row r="95" spans="1:11" ht="15" thickBot="1" x14ac:dyDescent="0.35">
      <c r="A95" s="254"/>
      <c r="B95" s="255"/>
      <c r="C95" s="255"/>
      <c r="D95" s="255"/>
      <c r="E95" s="255"/>
      <c r="F95" s="255"/>
      <c r="G95" s="255"/>
      <c r="H95" s="257"/>
      <c r="I95" s="255"/>
      <c r="J95" s="255"/>
      <c r="K95" s="330"/>
    </row>
    <row r="96" spans="1:11" x14ac:dyDescent="0.3">
      <c r="A96" s="274"/>
      <c r="B96" s="274"/>
      <c r="C96" s="274"/>
      <c r="D96" s="274"/>
      <c r="E96" s="274"/>
      <c r="F96" s="274"/>
      <c r="G96" s="274"/>
      <c r="H96" s="331"/>
      <c r="I96" s="274"/>
      <c r="J96" s="274"/>
      <c r="K96" s="274"/>
    </row>
    <row r="97" spans="1:11" x14ac:dyDescent="0.3">
      <c r="A97" s="342" t="s">
        <v>674</v>
      </c>
      <c r="B97" s="274"/>
      <c r="C97" s="274"/>
      <c r="D97" s="274"/>
      <c r="E97" s="274"/>
      <c r="F97" s="274"/>
      <c r="G97" s="274"/>
      <c r="H97" s="331"/>
      <c r="I97" s="274"/>
      <c r="J97" s="274"/>
      <c r="K97" s="274"/>
    </row>
    <row r="98" spans="1:11" x14ac:dyDescent="0.3">
      <c r="A98" s="289" t="s">
        <v>675</v>
      </c>
      <c r="B98" s="200"/>
      <c r="C98" s="200"/>
      <c r="D98" s="200"/>
      <c r="E98" s="200"/>
      <c r="F98" s="200"/>
      <c r="G98" s="200"/>
      <c r="H98" s="200"/>
      <c r="I98" s="200"/>
      <c r="J98" s="200"/>
      <c r="K98" s="200"/>
    </row>
    <row r="99" spans="1:11" x14ac:dyDescent="0.3">
      <c r="A99" s="289" t="s">
        <v>676</v>
      </c>
      <c r="B99" s="200"/>
      <c r="C99" s="200"/>
      <c r="D99" s="200"/>
      <c r="E99" s="200"/>
      <c r="F99" s="200"/>
      <c r="G99" s="200"/>
      <c r="H99" s="200"/>
      <c r="I99" s="200"/>
      <c r="J99" s="200"/>
      <c r="K99" s="200"/>
    </row>
    <row r="100" spans="1:11" x14ac:dyDescent="0.3">
      <c r="A100" s="200"/>
      <c r="B100" s="200"/>
      <c r="C100" s="200"/>
      <c r="D100" s="200"/>
      <c r="E100" s="200"/>
      <c r="F100" s="200"/>
      <c r="G100" s="200"/>
      <c r="H100" s="200"/>
      <c r="I100" s="200"/>
      <c r="J100" s="200"/>
      <c r="K100" s="200"/>
    </row>
    <row r="101" spans="1:11" x14ac:dyDescent="0.3">
      <c r="A101" s="200"/>
      <c r="B101" s="200"/>
      <c r="C101" s="200"/>
      <c r="D101" s="200"/>
      <c r="E101" s="200"/>
      <c r="F101" s="200"/>
      <c r="G101" s="200"/>
      <c r="H101" s="200"/>
      <c r="I101" s="200"/>
      <c r="J101" s="200"/>
      <c r="K101" s="200"/>
    </row>
    <row r="102" spans="1:11" x14ac:dyDescent="0.3">
      <c r="A102" s="343" t="s">
        <v>677</v>
      </c>
      <c r="B102" s="344">
        <v>17695948932.292393</v>
      </c>
      <c r="C102" s="344">
        <v>16391930.54047838</v>
      </c>
      <c r="D102" s="344">
        <v>2615386.166666667</v>
      </c>
      <c r="E102" s="345">
        <v>2016432.2475902631</v>
      </c>
      <c r="F102" s="346">
        <v>0.77098834324730869</v>
      </c>
      <c r="G102" s="344">
        <v>392668.91666666669</v>
      </c>
      <c r="H102" s="344">
        <v>2650248542.4442325</v>
      </c>
      <c r="I102" s="344">
        <v>1515888342.1032734</v>
      </c>
      <c r="J102" s="345">
        <v>19228229204.936142</v>
      </c>
      <c r="K102" s="347">
        <v>7.8836606634277315E-2</v>
      </c>
    </row>
    <row r="103" spans="1:11" x14ac:dyDescent="0.3">
      <c r="A103" s="343" t="s">
        <v>678</v>
      </c>
      <c r="B103" s="344">
        <v>2065325911.6949999</v>
      </c>
      <c r="C103" s="344">
        <v>1913131.5883363015</v>
      </c>
      <c r="D103" s="344">
        <v>275865.58333333331</v>
      </c>
      <c r="E103" s="345">
        <v>235341.42113881331</v>
      </c>
      <c r="F103" s="346">
        <v>0.85310178346693599</v>
      </c>
      <c r="G103" s="344">
        <v>18635.166666666664</v>
      </c>
      <c r="H103" s="344">
        <v>139134445.37489426</v>
      </c>
      <c r="I103" s="344">
        <v>79582077.058436871</v>
      </c>
      <c r="J103" s="345">
        <v>2146821120.341773</v>
      </c>
      <c r="K103" s="347">
        <v>3.7069728960821585E-2</v>
      </c>
    </row>
    <row r="104" spans="1:11" x14ac:dyDescent="0.3">
      <c r="A104" s="348" t="s">
        <v>679</v>
      </c>
      <c r="B104" s="349">
        <v>621203322.02499986</v>
      </c>
      <c r="C104" s="349">
        <v>575426.71179200325</v>
      </c>
      <c r="D104" s="349">
        <v>75415.416666666672</v>
      </c>
      <c r="E104" s="350">
        <v>70785.376677685781</v>
      </c>
      <c r="F104" s="351">
        <v>0.93860618698898801</v>
      </c>
      <c r="G104" s="349">
        <v>2362.0833333333335</v>
      </c>
      <c r="H104" s="349">
        <v>19422131.873071939</v>
      </c>
      <c r="I104" s="349">
        <v>11109064.985289652</v>
      </c>
      <c r="J104" s="350">
        <v>632887813.72208154</v>
      </c>
      <c r="K104" s="352">
        <v>1.7552976600949292E-2</v>
      </c>
    </row>
    <row r="105" spans="1:11" x14ac:dyDescent="0.3">
      <c r="A105" s="343" t="s">
        <v>20</v>
      </c>
      <c r="B105" s="344">
        <v>20382478166.012394</v>
      </c>
      <c r="C105" s="344">
        <v>18880488.840606686</v>
      </c>
      <c r="D105" s="344">
        <v>2966667.166666667</v>
      </c>
      <c r="E105" s="344">
        <v>2322559.0454067625</v>
      </c>
      <c r="F105" s="344"/>
      <c r="G105" s="344">
        <v>413666.16666666669</v>
      </c>
      <c r="H105" s="344">
        <v>2808805119.6921988</v>
      </c>
      <c r="I105" s="344">
        <v>1606579484.1469998</v>
      </c>
      <c r="J105" s="344">
        <v>22007938138.999996</v>
      </c>
      <c r="K105" s="343"/>
    </row>
  </sheetData>
  <mergeCells count="2">
    <mergeCell ref="H60:I60"/>
    <mergeCell ref="N11:P11"/>
  </mergeCells>
  <printOptions horizontalCentered="1"/>
  <pageMargins left="0.25" right="0.25" top="0.75" bottom="0.75" header="0.3" footer="0.3"/>
  <pageSetup scale="60" fitToHeight="0" orientation="landscape" r:id="rId1"/>
  <headerFooter>
    <oddFooter>&amp;L&amp;"Times New Roman,Regular"&amp;F
&amp;A&amp;R&amp;"Times New Roman,Regular"Page &amp;P of &amp;N</oddFooter>
  </headerFooter>
  <rowBreaks count="1" manualBreakCount="1">
    <brk id="49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workbookViewId="0">
      <selection activeCell="E1" sqref="E1:E3"/>
    </sheetView>
  </sheetViews>
  <sheetFormatPr defaultRowHeight="14.4" x14ac:dyDescent="0.3"/>
  <cols>
    <col min="1" max="1" width="5.44140625" bestFit="1" customWidth="1"/>
    <col min="2" max="2" width="40.88671875" bestFit="1" customWidth="1"/>
    <col min="3" max="3" width="12.21875" bestFit="1" customWidth="1"/>
    <col min="4" max="4" width="12.88671875" bestFit="1" customWidth="1"/>
    <col min="5" max="5" width="17" bestFit="1" customWidth="1"/>
  </cols>
  <sheetData>
    <row r="1" spans="1:5" x14ac:dyDescent="0.3">
      <c r="A1" s="9"/>
      <c r="B1" s="2"/>
      <c r="C1" s="2"/>
      <c r="D1" s="2"/>
      <c r="E1" s="41"/>
    </row>
    <row r="2" spans="1:5" ht="15" thickBot="1" x14ac:dyDescent="0.35">
      <c r="A2" s="2"/>
      <c r="B2" s="2"/>
      <c r="C2" s="2"/>
      <c r="D2" s="2"/>
      <c r="E2" s="41"/>
    </row>
    <row r="3" spans="1:5" ht="15" thickBot="1" x14ac:dyDescent="0.35">
      <c r="A3" s="9"/>
      <c r="B3" s="9"/>
      <c r="C3" s="9"/>
      <c r="D3" s="9"/>
      <c r="E3" s="4" t="str">
        <f ca="1">'[4]KJB-6,13 Cmn Adj'!CC4</f>
        <v>Common Adj 16</v>
      </c>
    </row>
    <row r="4" spans="1:5" x14ac:dyDescent="0.3">
      <c r="A4" s="10" t="str">
        <f ca="1">'[4]KJB-6,13 Cmn Adj'!BY5</f>
        <v>PUGET SOUND ENERGY-ELECTRIC (PER SETTLEMENT)</v>
      </c>
      <c r="B4" s="5"/>
      <c r="C4" s="5"/>
      <c r="D4" s="5"/>
      <c r="E4" s="5"/>
    </row>
    <row r="5" spans="1:5" x14ac:dyDescent="0.3">
      <c r="A5" s="5" t="str">
        <f ca="1">'[4]KJB-6,13 Cmn Adj'!BY6</f>
        <v>WAGE INCREASE</v>
      </c>
      <c r="B5" s="5"/>
      <c r="C5" s="5"/>
      <c r="D5" s="5"/>
      <c r="E5" s="42"/>
    </row>
    <row r="6" spans="1:5" x14ac:dyDescent="0.3">
      <c r="A6" s="5" t="str">
        <f ca="1">'[4]KJB-6,13 Cmn Adj'!BY7</f>
        <v>FOR THE TWELVE MONTHS ENDED SEPTEMBER 30, 2016</v>
      </c>
      <c r="B6" s="5"/>
      <c r="C6" s="5"/>
      <c r="D6" s="5"/>
      <c r="E6" s="43"/>
    </row>
    <row r="7" spans="1:5" x14ac:dyDescent="0.3">
      <c r="A7" s="10" t="str">
        <f ca="1">'[4]KJB-6,13 Cmn Adj'!BY8</f>
        <v xml:space="preserve">2017 GENERAL RATE CASE </v>
      </c>
      <c r="B7" s="5"/>
      <c r="C7" s="5"/>
      <c r="D7" s="5"/>
      <c r="E7" s="43"/>
    </row>
    <row r="8" spans="1:5" x14ac:dyDescent="0.3">
      <c r="A8" s="9"/>
      <c r="B8" s="44"/>
      <c r="C8" s="2"/>
      <c r="D8" s="2"/>
      <c r="E8" s="2"/>
    </row>
    <row r="9" spans="1:5" x14ac:dyDescent="0.3">
      <c r="A9" s="45" t="s">
        <v>1</v>
      </c>
      <c r="B9" s="9"/>
      <c r="C9" s="590"/>
      <c r="D9" s="590"/>
      <c r="E9" s="590"/>
    </row>
    <row r="10" spans="1:5" x14ac:dyDescent="0.3">
      <c r="A10" s="46" t="s">
        <v>2</v>
      </c>
      <c r="B10" s="13" t="s">
        <v>0</v>
      </c>
      <c r="C10" s="7" t="s">
        <v>61</v>
      </c>
      <c r="D10" s="7" t="s">
        <v>62</v>
      </c>
      <c r="E10" s="7" t="s">
        <v>63</v>
      </c>
    </row>
    <row r="11" spans="1:5" x14ac:dyDescent="0.3">
      <c r="A11" s="16"/>
      <c r="B11" s="17"/>
      <c r="C11" s="2"/>
      <c r="D11" s="2"/>
      <c r="E11" s="2"/>
    </row>
    <row r="12" spans="1:5" x14ac:dyDescent="0.3">
      <c r="A12" s="16">
        <v>1</v>
      </c>
      <c r="B12" s="2" t="s">
        <v>64</v>
      </c>
      <c r="C12" s="8"/>
      <c r="D12" s="8"/>
      <c r="E12" s="8"/>
    </row>
    <row r="13" spans="1:5" x14ac:dyDescent="0.3">
      <c r="A13" s="16">
        <v>2</v>
      </c>
      <c r="B13" s="535" t="str">
        <f ca="1">'[4]KJB-6,13 Cmn Adj'!BZ14</f>
        <v>PURCHASED POWER</v>
      </c>
      <c r="C13" s="47">
        <f ca="1">'[4]KJB-6,13 Cmn Adj'!CA14</f>
        <v>4380759.8377278037</v>
      </c>
      <c r="D13" s="404">
        <f ca="1">'[4]KJB-6,13 Cmn Adj'!CB14</f>
        <v>4511306.4808920929</v>
      </c>
      <c r="E13" s="404">
        <f ca="1">'[4]KJB-6,13 Cmn Adj'!CC14</f>
        <v>130546.64316428918</v>
      </c>
    </row>
    <row r="14" spans="1:5" x14ac:dyDescent="0.3">
      <c r="A14" s="16">
        <v>3</v>
      </c>
      <c r="B14" s="535" t="str">
        <f ca="1">'[4]KJB-6,13 Cmn Adj'!BZ15</f>
        <v>OTHER POWER SUPPLY</v>
      </c>
      <c r="C14" s="48">
        <f ca="1">'[4]KJB-6,13 Cmn Adj'!CA15</f>
        <v>20419279.131090328</v>
      </c>
      <c r="D14" s="405">
        <f ca="1">'[4]KJB-6,13 Cmn Adj'!CB15</f>
        <v>20731146.497479629</v>
      </c>
      <c r="E14" s="406">
        <f ca="1">'[4]KJB-6,13 Cmn Adj'!CC15</f>
        <v>311867.36638930067</v>
      </c>
    </row>
    <row r="15" spans="1:5" x14ac:dyDescent="0.3">
      <c r="A15" s="16">
        <v>4</v>
      </c>
      <c r="B15" s="535" t="str">
        <f ca="1">'[4]KJB-6,13 Cmn Adj'!BZ16</f>
        <v>TRANSMISSION</v>
      </c>
      <c r="C15" s="48">
        <f ca="1">'[4]KJB-6,13 Cmn Adj'!CA16</f>
        <v>8959227.0002665874</v>
      </c>
      <c r="D15" s="405">
        <f ca="1">'[4]KJB-6,13 Cmn Adj'!CB16</f>
        <v>9172906.2088294737</v>
      </c>
      <c r="E15" s="406">
        <f ca="1">'[4]KJB-6,13 Cmn Adj'!CC16</f>
        <v>213679.20856288634</v>
      </c>
    </row>
    <row r="16" spans="1:5" x14ac:dyDescent="0.3">
      <c r="A16" s="16">
        <v>5</v>
      </c>
      <c r="B16" s="535" t="str">
        <f ca="1">'[4]KJB-6,13 Cmn Adj'!BZ17</f>
        <v>DISTRIBUTION</v>
      </c>
      <c r="C16" s="48">
        <f ca="1">'[4]KJB-6,13 Cmn Adj'!CA17</f>
        <v>24060543.133236647</v>
      </c>
      <c r="D16" s="405">
        <f ca="1">'[4]KJB-6,13 Cmn Adj'!CB17</f>
        <v>24400551.446550019</v>
      </c>
      <c r="E16" s="406">
        <f ca="1">'[4]KJB-6,13 Cmn Adj'!CC17</f>
        <v>340008.31331337243</v>
      </c>
    </row>
    <row r="17" spans="1:5" x14ac:dyDescent="0.3">
      <c r="A17" s="16">
        <v>6</v>
      </c>
      <c r="B17" s="535" t="str">
        <f ca="1">'[4]KJB-6,13 Cmn Adj'!BZ18</f>
        <v>CUSTOMER ACCTS</v>
      </c>
      <c r="C17" s="48">
        <f ca="1">'[4]KJB-6,13 Cmn Adj'!CA18</f>
        <v>11030663.555404065</v>
      </c>
      <c r="D17" s="405">
        <f ca="1">'[4]KJB-6,13 Cmn Adj'!CB18</f>
        <v>11152893.808019754</v>
      </c>
      <c r="E17" s="406">
        <f ca="1">'[4]KJB-6,13 Cmn Adj'!CC18</f>
        <v>122230.25261568837</v>
      </c>
    </row>
    <row r="18" spans="1:5" x14ac:dyDescent="0.3">
      <c r="A18" s="16">
        <v>7</v>
      </c>
      <c r="B18" s="535" t="str">
        <f ca="1">'[4]KJB-6,13 Cmn Adj'!BZ19</f>
        <v>CUSTOMER SERVICE</v>
      </c>
      <c r="C18" s="48">
        <f ca="1">'[4]KJB-6,13 Cmn Adj'!CA19</f>
        <v>1385463.025825866</v>
      </c>
      <c r="D18" s="405">
        <f ca="1">'[4]KJB-6,13 Cmn Adj'!CB19</f>
        <v>1422849.8356199341</v>
      </c>
      <c r="E18" s="406">
        <f ca="1">'[4]KJB-6,13 Cmn Adj'!CC19</f>
        <v>37386.809794068104</v>
      </c>
    </row>
    <row r="19" spans="1:5" x14ac:dyDescent="0.3">
      <c r="A19" s="16">
        <v>8</v>
      </c>
      <c r="B19" s="535" t="str">
        <f ca="1">'[4]KJB-6,13 Cmn Adj'!BZ20</f>
        <v>SALES</v>
      </c>
      <c r="C19" s="48">
        <f ca="1">'[4]KJB-6,13 Cmn Adj'!CA20</f>
        <v>209317.86788684683</v>
      </c>
      <c r="D19" s="405">
        <f ca="1">'[4]KJB-6,13 Cmn Adj'!CB20</f>
        <v>213614.34113897898</v>
      </c>
      <c r="E19" s="406">
        <f ca="1">'[4]KJB-6,13 Cmn Adj'!CC20</f>
        <v>4296.4732521321566</v>
      </c>
    </row>
    <row r="20" spans="1:5" x14ac:dyDescent="0.3">
      <c r="A20" s="16">
        <v>9</v>
      </c>
      <c r="B20" s="535" t="str">
        <f ca="1">'[4]KJB-6,13 Cmn Adj'!BZ21</f>
        <v>ADMIN. &amp; GENERAL</v>
      </c>
      <c r="C20" s="48">
        <f ca="1">'[4]KJB-6,13 Cmn Adj'!CA21</f>
        <v>27183671.346791636</v>
      </c>
      <c r="D20" s="405">
        <f ca="1">'[4]KJB-6,13 Cmn Adj'!CB21</f>
        <v>27978916.317603432</v>
      </c>
      <c r="E20" s="407">
        <f ca="1">'[4]KJB-6,13 Cmn Adj'!CC21</f>
        <v>795244.97081179544</v>
      </c>
    </row>
    <row r="21" spans="1:5" x14ac:dyDescent="0.3">
      <c r="A21" s="16">
        <v>10</v>
      </c>
      <c r="B21" s="17" t="str">
        <f ca="1">'[4]KJB-6,13 Cmn Adj'!BZ22</f>
        <v>TOTAL WAGE INCREASE</v>
      </c>
      <c r="C21" s="408">
        <f ca="1">'[4]KJB-6,13 Cmn Adj'!CA22</f>
        <v>97628924.898229778</v>
      </c>
      <c r="D21" s="409">
        <f ca="1">'[4]KJB-6,13 Cmn Adj'!CB22</f>
        <v>99584184.936133325</v>
      </c>
      <c r="E21" s="409">
        <f ca="1">'[4]KJB-6,13 Cmn Adj'!CC22</f>
        <v>1955260.0379035326</v>
      </c>
    </row>
    <row r="22" spans="1:5" x14ac:dyDescent="0.3">
      <c r="A22" s="16">
        <v>11</v>
      </c>
      <c r="B22" s="2"/>
      <c r="C22" s="48"/>
      <c r="D22" s="48"/>
      <c r="E22" s="48"/>
    </row>
    <row r="23" spans="1:5" x14ac:dyDescent="0.3">
      <c r="A23" s="16">
        <v>12</v>
      </c>
      <c r="B23" s="17" t="str">
        <f ca="1">'[4]KJB-6,13 Cmn Adj'!BZ24</f>
        <v>PAYROLL TAXES</v>
      </c>
      <c r="C23" s="49">
        <f ca="1">'[4]KJB-6,13 Cmn Adj'!CA24</f>
        <v>6486464.3989615748</v>
      </c>
      <c r="D23" s="410">
        <f ca="1">'[4]KJB-6,13 Cmn Adj'!CB24</f>
        <v>6619997.5749932379</v>
      </c>
      <c r="E23" s="410">
        <f ca="1">'[4]KJB-6,13 Cmn Adj'!CC24</f>
        <v>133533.17603166337</v>
      </c>
    </row>
    <row r="24" spans="1:5" x14ac:dyDescent="0.3">
      <c r="A24" s="16">
        <v>13</v>
      </c>
      <c r="B24" s="17" t="str">
        <f ca="1">'[4]KJB-6,13 Cmn Adj'!BZ25</f>
        <v>TOTAL WAGES &amp; TAXES</v>
      </c>
      <c r="C24" s="408">
        <f ca="1">'[4]KJB-6,13 Cmn Adj'!CA25</f>
        <v>104115389.29719135</v>
      </c>
      <c r="D24" s="409">
        <f ca="1">'[4]KJB-6,13 Cmn Adj'!CB25</f>
        <v>106204182.51112656</v>
      </c>
      <c r="E24" s="409">
        <f ca="1">'[4]KJB-6,13 Cmn Adj'!CC25</f>
        <v>2088793.2139351959</v>
      </c>
    </row>
    <row r="25" spans="1:5" x14ac:dyDescent="0.3">
      <c r="A25" s="16">
        <v>14</v>
      </c>
      <c r="B25" s="17"/>
      <c r="C25" s="48"/>
      <c r="D25" s="50"/>
      <c r="E25" s="48"/>
    </row>
    <row r="26" spans="1:5" x14ac:dyDescent="0.3">
      <c r="A26" s="16">
        <v>15</v>
      </c>
      <c r="B26" s="17" t="str">
        <f ca="1">'[4]KJB-6,13 Cmn Adj'!BZ27</f>
        <v>INCREASE (DECREASE) OPERATING EXPENSE</v>
      </c>
      <c r="C26" s="50"/>
      <c r="D26" s="50"/>
      <c r="E26" s="405">
        <f ca="1">'[4]KJB-6,13 Cmn Adj'!CC27</f>
        <v>2088793.2139351959</v>
      </c>
    </row>
    <row r="27" spans="1:5" x14ac:dyDescent="0.3">
      <c r="A27" s="16">
        <v>16</v>
      </c>
      <c r="B27" s="17" t="str">
        <f ca="1">'[4]KJB-6,13 Cmn Adj'!BZ28</f>
        <v xml:space="preserve">INCREASE (DECREASE) FIT </v>
      </c>
      <c r="C27" s="48"/>
      <c r="D27" s="48"/>
      <c r="E27" s="405">
        <f ca="1">'[4]KJB-6,13 Cmn Adj'!CC28</f>
        <v>-438646.57492639113</v>
      </c>
    </row>
    <row r="28" spans="1:5" ht="15" thickBot="1" x14ac:dyDescent="0.35">
      <c r="A28" s="16">
        <v>17</v>
      </c>
      <c r="B28" s="17" t="str">
        <f ca="1">'[4]KJB-6,13 Cmn Adj'!BZ29</f>
        <v>INCREASE (DECREASE) NOI</v>
      </c>
      <c r="C28" s="51"/>
      <c r="D28" s="51"/>
      <c r="E28" s="411">
        <f ca="1">'[4]KJB-6,13 Cmn Adj'!CC29</f>
        <v>-1650146.6390088047</v>
      </c>
    </row>
    <row r="29" spans="1:5" ht="15" thickTop="1" x14ac:dyDescent="0.3">
      <c r="A29" s="412"/>
      <c r="B29" s="412"/>
      <c r="C29" s="412"/>
      <c r="D29" s="412"/>
      <c r="E29" s="412"/>
    </row>
    <row r="30" spans="1:5" x14ac:dyDescent="0.3">
      <c r="A30" s="412"/>
      <c r="B30" s="403"/>
      <c r="C30" s="412"/>
      <c r="D30" s="412"/>
      <c r="E30" s="412"/>
    </row>
  </sheetData>
  <mergeCells count="1">
    <mergeCell ref="C9:E9"/>
  </mergeCells>
  <printOptions horizontalCentered="1"/>
  <pageMargins left="0.25" right="0.25" top="0.75" bottom="0.75" header="0.3" footer="0.3"/>
  <pageSetup orientation="landscape" r:id="rId1"/>
  <headerFooter>
    <oddFooter>&amp;L&amp;"Times New Roman,Regular"&amp;F
&amp;A&amp;R&amp;"Times New Roman,Regular"Page &amp;P of &amp;N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workbookViewId="0">
      <selection sqref="A1:O1"/>
    </sheetView>
  </sheetViews>
  <sheetFormatPr defaultRowHeight="14.4" x14ac:dyDescent="0.3"/>
  <cols>
    <col min="3" max="3" width="17.21875" bestFit="1" customWidth="1"/>
    <col min="4" max="5" width="16.109375" bestFit="1" customWidth="1"/>
    <col min="6" max="13" width="14.6640625" bestFit="1" customWidth="1"/>
    <col min="14" max="15" width="16.109375" bestFit="1" customWidth="1"/>
  </cols>
  <sheetData>
    <row r="1" spans="1:15" ht="15.6" x14ac:dyDescent="0.3">
      <c r="A1" s="591" t="s">
        <v>253</v>
      </c>
      <c r="B1" s="591"/>
      <c r="C1" s="591"/>
      <c r="D1" s="591"/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1"/>
    </row>
    <row r="2" spans="1:15" ht="15.6" x14ac:dyDescent="0.3">
      <c r="A2" s="592" t="s">
        <v>696</v>
      </c>
      <c r="B2" s="591"/>
      <c r="C2" s="591"/>
      <c r="D2" s="591"/>
      <c r="E2" s="591"/>
      <c r="F2" s="591"/>
      <c r="G2" s="591"/>
      <c r="H2" s="591"/>
      <c r="I2" s="591"/>
      <c r="J2" s="591"/>
      <c r="K2" s="591"/>
      <c r="L2" s="591"/>
      <c r="M2" s="591"/>
      <c r="N2" s="591"/>
      <c r="O2" s="591"/>
    </row>
    <row r="3" spans="1:15" ht="15.6" x14ac:dyDescent="0.3">
      <c r="A3" s="593" t="s">
        <v>697</v>
      </c>
      <c r="B3" s="594"/>
      <c r="C3" s="594"/>
      <c r="D3" s="594"/>
      <c r="E3" s="594"/>
      <c r="F3" s="594"/>
      <c r="G3" s="594"/>
      <c r="H3" s="594"/>
      <c r="I3" s="594"/>
      <c r="J3" s="594"/>
      <c r="K3" s="594"/>
      <c r="L3" s="594"/>
      <c r="M3" s="594"/>
      <c r="N3" s="594"/>
      <c r="O3" s="594"/>
    </row>
    <row r="4" spans="1:15" x14ac:dyDescent="0.3">
      <c r="A4" s="380"/>
      <c r="B4" s="381"/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  <c r="O4" s="382"/>
    </row>
    <row r="5" spans="1:15" s="1" customFormat="1" x14ac:dyDescent="0.3">
      <c r="A5" s="380"/>
      <c r="B5" s="381"/>
      <c r="C5" s="595" t="s">
        <v>698</v>
      </c>
      <c r="D5" s="595"/>
      <c r="E5" s="595"/>
      <c r="F5" s="595"/>
      <c r="G5" s="595"/>
      <c r="H5" s="595"/>
      <c r="I5" s="595"/>
      <c r="J5" s="595"/>
      <c r="K5" s="595"/>
      <c r="L5" s="595"/>
      <c r="M5" s="595"/>
      <c r="N5" s="595"/>
      <c r="O5" s="595"/>
    </row>
    <row r="6" spans="1:15" ht="40.200000000000003" x14ac:dyDescent="0.3">
      <c r="A6" s="383" t="s">
        <v>699</v>
      </c>
      <c r="B6" s="383" t="s">
        <v>700</v>
      </c>
      <c r="C6" s="384" t="s">
        <v>701</v>
      </c>
      <c r="D6" s="385">
        <v>42370</v>
      </c>
      <c r="E6" s="385">
        <v>42401</v>
      </c>
      <c r="F6" s="385">
        <v>42430</v>
      </c>
      <c r="G6" s="385">
        <v>42461</v>
      </c>
      <c r="H6" s="385">
        <v>42491</v>
      </c>
      <c r="I6" s="385">
        <v>42522</v>
      </c>
      <c r="J6" s="385">
        <v>42552</v>
      </c>
      <c r="K6" s="385">
        <v>42583</v>
      </c>
      <c r="L6" s="386">
        <v>42614</v>
      </c>
      <c r="M6" s="385">
        <v>42278</v>
      </c>
      <c r="N6" s="385">
        <v>42309</v>
      </c>
      <c r="O6" s="385">
        <v>42339</v>
      </c>
    </row>
    <row r="8" spans="1:15" x14ac:dyDescent="0.3">
      <c r="A8">
        <v>7</v>
      </c>
      <c r="C8" s="387">
        <v>10201987686.310894</v>
      </c>
      <c r="D8" s="387">
        <v>1190501053.3627825</v>
      </c>
      <c r="E8" s="387">
        <v>964027579.2051127</v>
      </c>
      <c r="F8" s="387">
        <v>958303179.00230944</v>
      </c>
      <c r="G8" s="387">
        <v>733422296.49593079</v>
      </c>
      <c r="H8" s="387">
        <v>702898324.76243246</v>
      </c>
      <c r="I8" s="387">
        <v>626396742.3738904</v>
      </c>
      <c r="J8" s="387">
        <v>694861877.76933014</v>
      </c>
      <c r="K8" s="387">
        <v>690999493.84101057</v>
      </c>
      <c r="L8" s="387">
        <v>611813627.71759748</v>
      </c>
      <c r="M8" s="387">
        <v>749372183.0855763</v>
      </c>
      <c r="N8" s="387">
        <v>1065321445.8149936</v>
      </c>
      <c r="O8" s="387">
        <v>1214069882.8799291</v>
      </c>
    </row>
    <row r="9" spans="1:15" x14ac:dyDescent="0.3">
      <c r="A9">
        <v>8</v>
      </c>
      <c r="C9" s="387">
        <v>255780408.9580256</v>
      </c>
      <c r="D9" s="387">
        <v>27667563.975531206</v>
      </c>
      <c r="E9" s="387">
        <v>22906937.227131128</v>
      </c>
      <c r="F9" s="387">
        <v>22934792.966842622</v>
      </c>
      <c r="G9" s="387">
        <v>18458846.668266062</v>
      </c>
      <c r="H9" s="387">
        <v>22832829.782701746</v>
      </c>
      <c r="I9" s="387">
        <v>14030467.221582266</v>
      </c>
      <c r="J9" s="387">
        <v>18583517.118144553</v>
      </c>
      <c r="K9" s="387">
        <v>19049905.227420717</v>
      </c>
      <c r="L9" s="387">
        <v>17832801.567354888</v>
      </c>
      <c r="M9" s="387">
        <v>19327803.411737621</v>
      </c>
      <c r="N9" s="387">
        <v>24262299.682539985</v>
      </c>
      <c r="O9" s="387">
        <v>27892644.108772855</v>
      </c>
    </row>
    <row r="10" spans="1:15" x14ac:dyDescent="0.3">
      <c r="A10">
        <v>10</v>
      </c>
      <c r="C10" s="387">
        <v>32150677.142857142</v>
      </c>
      <c r="D10" s="387">
        <v>3097997.8571428568</v>
      </c>
      <c r="E10" s="387">
        <v>2534918.5714285714</v>
      </c>
      <c r="F10" s="387">
        <v>2886494.2207792224</v>
      </c>
      <c r="G10" s="387">
        <v>1693522.9220779205</v>
      </c>
      <c r="H10" s="387">
        <v>2467595.7142857146</v>
      </c>
      <c r="I10" s="387">
        <v>1654930</v>
      </c>
      <c r="J10" s="387">
        <v>4019572.1428571427</v>
      </c>
      <c r="K10" s="387">
        <v>1909992.8571428573</v>
      </c>
      <c r="L10" s="387">
        <v>2854220</v>
      </c>
      <c r="M10" s="387">
        <v>2437351.3428571429</v>
      </c>
      <c r="N10" s="387">
        <v>2891415.8</v>
      </c>
      <c r="O10" s="387">
        <v>3702665.7142857146</v>
      </c>
    </row>
    <row r="11" spans="1:15" x14ac:dyDescent="0.3">
      <c r="A11">
        <v>11</v>
      </c>
      <c r="C11" s="387">
        <v>151558294.92340526</v>
      </c>
      <c r="D11" s="387">
        <v>14537271.721630305</v>
      </c>
      <c r="E11" s="387">
        <v>12838500.578034319</v>
      </c>
      <c r="F11" s="387">
        <v>13135564.43446568</v>
      </c>
      <c r="G11" s="387">
        <v>11202217.452156914</v>
      </c>
      <c r="H11" s="387">
        <v>11157252.773343084</v>
      </c>
      <c r="I11" s="387">
        <v>10781091.509420667</v>
      </c>
      <c r="J11" s="387">
        <v>12270599.603243632</v>
      </c>
      <c r="K11" s="387">
        <v>11309287.920805508</v>
      </c>
      <c r="L11" s="387">
        <v>12814099.446530193</v>
      </c>
      <c r="M11" s="387">
        <v>12361169.003905259</v>
      </c>
      <c r="N11" s="387">
        <v>13742711.227926198</v>
      </c>
      <c r="O11" s="387">
        <v>15408529.251943495</v>
      </c>
    </row>
    <row r="12" spans="1:15" x14ac:dyDescent="0.3">
      <c r="A12">
        <v>12</v>
      </c>
      <c r="C12" s="387">
        <v>17290774.545454547</v>
      </c>
      <c r="D12" s="387">
        <v>1660430</v>
      </c>
      <c r="E12" s="387">
        <v>1390130</v>
      </c>
      <c r="F12" s="387">
        <v>1382230</v>
      </c>
      <c r="G12" s="387">
        <v>1315191.6666666667</v>
      </c>
      <c r="H12" s="387">
        <v>1066248.3333333333</v>
      </c>
      <c r="I12" s="387">
        <v>1614235</v>
      </c>
      <c r="J12" s="387">
        <v>1637935</v>
      </c>
      <c r="K12" s="387">
        <v>684122.5</v>
      </c>
      <c r="L12" s="387">
        <v>1679672.0454545459</v>
      </c>
      <c r="M12" s="387">
        <v>1307260</v>
      </c>
      <c r="N12" s="387">
        <v>1782050</v>
      </c>
      <c r="O12" s="387">
        <v>1771270</v>
      </c>
    </row>
    <row r="13" spans="1:15" x14ac:dyDescent="0.3">
      <c r="A13">
        <v>29</v>
      </c>
      <c r="C13" s="387">
        <v>14485574.90902702</v>
      </c>
      <c r="D13" s="387">
        <v>231144.29394143634</v>
      </c>
      <c r="E13" s="387">
        <v>309267.79760427692</v>
      </c>
      <c r="F13" s="387">
        <v>165319.15694117249</v>
      </c>
      <c r="G13" s="387">
        <v>615258.28384076932</v>
      </c>
      <c r="H13" s="387">
        <v>3094654.8784940718</v>
      </c>
      <c r="I13" s="387">
        <v>853850.17328795278</v>
      </c>
      <c r="J13" s="387">
        <v>3536777.4255359909</v>
      </c>
      <c r="K13" s="387">
        <v>3248632.4787526377</v>
      </c>
      <c r="L13" s="387">
        <v>1337479.0695987176</v>
      </c>
      <c r="M13" s="387">
        <v>355045.0848267203</v>
      </c>
      <c r="N13" s="387">
        <v>311573.85639389709</v>
      </c>
      <c r="O13" s="387">
        <v>426572.40980937553</v>
      </c>
    </row>
    <row r="14" spans="1:15" x14ac:dyDescent="0.3">
      <c r="A14">
        <v>35</v>
      </c>
      <c r="C14" s="387">
        <v>4452600</v>
      </c>
      <c r="D14" s="387">
        <v>3000</v>
      </c>
      <c r="E14" s="387">
        <v>2400</v>
      </c>
      <c r="F14" s="387">
        <v>3600</v>
      </c>
      <c r="G14" s="387">
        <v>299400</v>
      </c>
      <c r="H14" s="387">
        <v>802200</v>
      </c>
      <c r="I14" s="387">
        <v>811200</v>
      </c>
      <c r="J14" s="387">
        <v>912600</v>
      </c>
      <c r="K14" s="387">
        <v>848400</v>
      </c>
      <c r="L14" s="387">
        <v>760200</v>
      </c>
      <c r="M14" s="387">
        <v>782400</v>
      </c>
      <c r="N14" s="387">
        <v>-776400</v>
      </c>
      <c r="O14" s="387">
        <v>3600</v>
      </c>
    </row>
    <row r="15" spans="1:15" x14ac:dyDescent="0.3">
      <c r="A15">
        <v>56</v>
      </c>
      <c r="C15" s="387">
        <v>1899905.0585</v>
      </c>
      <c r="D15" s="387">
        <v>154659.89750000002</v>
      </c>
      <c r="E15" s="387">
        <v>162562.35100000002</v>
      </c>
      <c r="F15" s="387">
        <v>155130.21649999998</v>
      </c>
      <c r="G15" s="387">
        <v>163971.17049999998</v>
      </c>
      <c r="H15" s="387">
        <v>153769.61800000002</v>
      </c>
      <c r="I15" s="387">
        <v>162112.03500000003</v>
      </c>
      <c r="J15" s="387">
        <v>152099.201</v>
      </c>
      <c r="K15" s="387">
        <v>163176.13399999999</v>
      </c>
      <c r="L15" s="387">
        <v>151136.43150000001</v>
      </c>
      <c r="M15" s="387">
        <v>162637.41649999999</v>
      </c>
      <c r="N15" s="387">
        <v>155587.50100000002</v>
      </c>
      <c r="O15" s="387">
        <v>163063.08599999998</v>
      </c>
    </row>
    <row r="16" spans="1:15" x14ac:dyDescent="0.3">
      <c r="A16">
        <v>59</v>
      </c>
      <c r="C16" s="387">
        <v>81728.168000000005</v>
      </c>
      <c r="D16" s="387">
        <v>7244.2999999999993</v>
      </c>
      <c r="E16" s="387">
        <v>6253.9</v>
      </c>
      <c r="F16" s="387">
        <v>7306</v>
      </c>
      <c r="G16" s="387">
        <v>6252.9009999999998</v>
      </c>
      <c r="H16" s="387">
        <v>7181.4334999999992</v>
      </c>
      <c r="I16" s="387">
        <v>6350.3165000000008</v>
      </c>
      <c r="J16" s="387">
        <v>7295.35</v>
      </c>
      <c r="K16" s="387">
        <v>6713.5</v>
      </c>
      <c r="L16" s="387">
        <v>7428</v>
      </c>
      <c r="M16" s="387">
        <v>6246</v>
      </c>
      <c r="N16" s="387">
        <v>7111.700499999999</v>
      </c>
      <c r="O16" s="387">
        <v>6344.7664999999997</v>
      </c>
    </row>
    <row r="17" spans="2:15" x14ac:dyDescent="0.3">
      <c r="B17" t="s">
        <v>702</v>
      </c>
      <c r="C17" s="387">
        <v>10679687650.016161</v>
      </c>
      <c r="D17" s="387">
        <v>1237860365.4085283</v>
      </c>
      <c r="E17" s="387">
        <v>1004178549.6303109</v>
      </c>
      <c r="F17" s="387">
        <v>998973615.99783814</v>
      </c>
      <c r="G17" s="387">
        <v>767176957.56043911</v>
      </c>
      <c r="H17" s="387">
        <v>744480057.29609048</v>
      </c>
      <c r="I17" s="387">
        <v>656310978.62968123</v>
      </c>
      <c r="J17" s="387">
        <v>735982273.61011147</v>
      </c>
      <c r="K17" s="387">
        <v>728219724.45913208</v>
      </c>
      <c r="L17" s="387">
        <v>649250664.27803576</v>
      </c>
      <c r="M17" s="387">
        <v>786112095.34540308</v>
      </c>
      <c r="N17" s="387">
        <v>1107697795.5833535</v>
      </c>
      <c r="O17" s="387">
        <v>1263444572.2172403</v>
      </c>
    </row>
  </sheetData>
  <mergeCells count="4">
    <mergeCell ref="A1:O1"/>
    <mergeCell ref="A2:O2"/>
    <mergeCell ref="A3:O3"/>
    <mergeCell ref="C5:O5"/>
  </mergeCells>
  <printOptions horizontalCentered="1"/>
  <pageMargins left="0.25" right="0.25" top="0.75" bottom="0.75" header="0.3" footer="0.3"/>
  <pageSetup scale="61" orientation="landscape" r:id="rId1"/>
  <headerFooter>
    <oddFooter>&amp;L&amp;"Times New Roman,Regular"&amp;F
&amp;A&amp;R&amp;"Times New Roman,Regular"Page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Q173"/>
  <sheetViews>
    <sheetView workbookViewId="0">
      <pane xSplit="4" ySplit="3" topLeftCell="E4" activePane="bottomRight" state="frozen"/>
      <selection sqref="A1:B38"/>
      <selection pane="topRight" sqref="A1:B38"/>
      <selection pane="bottomLeft" sqref="A1:B38"/>
      <selection pane="bottomRight" activeCell="E4" sqref="E4"/>
    </sheetView>
  </sheetViews>
  <sheetFormatPr defaultRowHeight="14.4" x14ac:dyDescent="0.3"/>
  <cols>
    <col min="1" max="1" width="20.6640625" bestFit="1" customWidth="1"/>
    <col min="2" max="2" width="57.88671875" bestFit="1" customWidth="1"/>
    <col min="3" max="3" width="9" bestFit="1" customWidth="1"/>
    <col min="4" max="5" width="15.109375" bestFit="1" customWidth="1"/>
    <col min="6" max="9" width="14.109375" bestFit="1" customWidth="1"/>
    <col min="10" max="10" width="10.44140625" bestFit="1" customWidth="1"/>
    <col min="11" max="14" width="12.44140625" bestFit="1" customWidth="1"/>
    <col min="15" max="15" width="14.109375" bestFit="1" customWidth="1"/>
    <col min="16" max="16" width="11.44140625" bestFit="1" customWidth="1"/>
    <col min="17" max="17" width="10.44140625" bestFit="1" customWidth="1"/>
  </cols>
  <sheetData>
    <row r="1" spans="1:17" ht="15.6" x14ac:dyDescent="0.3">
      <c r="A1" s="538" t="s">
        <v>291</v>
      </c>
      <c r="B1" s="53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ht="15.6" x14ac:dyDescent="0.3">
      <c r="A2" s="107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spans="1:17" ht="40.200000000000003" x14ac:dyDescent="0.3">
      <c r="A3" s="64" t="s">
        <v>100</v>
      </c>
      <c r="B3" s="64" t="s">
        <v>32</v>
      </c>
      <c r="C3" s="64" t="s">
        <v>292</v>
      </c>
      <c r="D3" s="66" t="s">
        <v>20</v>
      </c>
      <c r="E3" s="66" t="s">
        <v>110</v>
      </c>
      <c r="F3" s="66" t="s">
        <v>112</v>
      </c>
      <c r="G3" s="66" t="s">
        <v>114</v>
      </c>
      <c r="H3" s="66" t="s">
        <v>116</v>
      </c>
      <c r="I3" s="66" t="s">
        <v>118</v>
      </c>
      <c r="J3" s="66" t="s">
        <v>121</v>
      </c>
      <c r="K3" s="66" t="s">
        <v>125</v>
      </c>
      <c r="L3" s="66" t="s">
        <v>128</v>
      </c>
      <c r="M3" s="66" t="s">
        <v>131</v>
      </c>
      <c r="N3" s="66" t="s">
        <v>134</v>
      </c>
      <c r="O3" s="66" t="s">
        <v>137</v>
      </c>
      <c r="P3" s="66" t="s">
        <v>140</v>
      </c>
      <c r="Q3" s="66" t="s">
        <v>143</v>
      </c>
    </row>
    <row r="4" spans="1:17" x14ac:dyDescent="0.3">
      <c r="A4" s="64"/>
      <c r="B4" s="64"/>
      <c r="C4" s="64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</row>
    <row r="5" spans="1:17" x14ac:dyDescent="0.3">
      <c r="A5" s="64"/>
      <c r="B5" s="64" t="s">
        <v>293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</row>
    <row r="6" spans="1:17" x14ac:dyDescent="0.3">
      <c r="A6" s="60"/>
      <c r="B6" s="58"/>
      <c r="C6" s="60"/>
      <c r="D6" s="60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</row>
    <row r="7" spans="1:17" x14ac:dyDescent="0.3">
      <c r="A7" s="65" t="s">
        <v>127</v>
      </c>
      <c r="B7" s="65" t="s">
        <v>294</v>
      </c>
      <c r="C7" s="109" t="s">
        <v>159</v>
      </c>
      <c r="D7" s="110"/>
      <c r="E7" s="111">
        <f t="shared" ref="E7:Q7" si="0">IF($D8=0,0,E8/$D8)</f>
        <v>0.8794841440665806</v>
      </c>
      <c r="F7" s="111">
        <f t="shared" si="0"/>
        <v>0.10575226000860956</v>
      </c>
      <c r="G7" s="111">
        <f t="shared" si="0"/>
        <v>6.830248242215526E-3</v>
      </c>
      <c r="H7" s="111">
        <f t="shared" si="0"/>
        <v>6.9773281675993687E-4</v>
      </c>
      <c r="I7" s="111">
        <f t="shared" si="0"/>
        <v>4.2599368632515426E-4</v>
      </c>
      <c r="J7" s="111">
        <f t="shared" si="0"/>
        <v>8.9682881331611423E-7</v>
      </c>
      <c r="K7" s="111">
        <f t="shared" si="0"/>
        <v>1.4169895250394605E-4</v>
      </c>
      <c r="L7" s="111">
        <f t="shared" si="0"/>
        <v>1.4169895250394605E-4</v>
      </c>
      <c r="M7" s="111">
        <f t="shared" si="0"/>
        <v>2.2420720332902856E-5</v>
      </c>
      <c r="N7" s="111">
        <f t="shared" si="0"/>
        <v>1.7936576266322285E-6</v>
      </c>
      <c r="O7" s="111">
        <f t="shared" si="0"/>
        <v>1.2555603386425599E-5</v>
      </c>
      <c r="P7" s="111">
        <f t="shared" si="0"/>
        <v>6.4813818338355575E-3</v>
      </c>
      <c r="Q7" s="111">
        <f t="shared" si="0"/>
        <v>7.1746305065289138E-6</v>
      </c>
    </row>
    <row r="8" spans="1:17" x14ac:dyDescent="0.3">
      <c r="A8" s="112" t="str">
        <f>IF(A7="~","~","")</f>
        <v/>
      </c>
      <c r="B8" s="113" t="s">
        <v>95</v>
      </c>
      <c r="C8" s="71"/>
      <c r="D8" s="109">
        <f>SUM(E8:Q8)</f>
        <v>1115040</v>
      </c>
      <c r="E8" s="109">
        <f>+'Customer Counts'!$Q$10</f>
        <v>980660</v>
      </c>
      <c r="F8" s="109">
        <f>+'Customer Counts'!$Q$11</f>
        <v>117918</v>
      </c>
      <c r="G8" s="109">
        <f>SUM('Customer Counts'!Q12:Q13,'Customer Counts'!Q15)</f>
        <v>7616</v>
      </c>
      <c r="H8" s="109">
        <f>+'Customer Counts'!$Q$14</f>
        <v>778</v>
      </c>
      <c r="I8" s="109">
        <f>+'Customer Counts'!$Q$16</f>
        <v>475</v>
      </c>
      <c r="J8" s="109">
        <f>+'Customer Counts'!$Q$17</f>
        <v>1</v>
      </c>
      <c r="K8" s="109">
        <f>+'Customer Counts'!$Q$19</f>
        <v>158</v>
      </c>
      <c r="L8" s="425">
        <f>+'Customer Counts'!$Q$18</f>
        <v>158</v>
      </c>
      <c r="M8" s="109">
        <f>SUM('Customer Counts'!Q20:Q21)</f>
        <v>25</v>
      </c>
      <c r="N8" s="109">
        <v>2</v>
      </c>
      <c r="O8" s="109">
        <f>+'Customer Counts'!Q24-'ECOS - EXTERNAL (2017)'!N8</f>
        <v>14</v>
      </c>
      <c r="P8" s="109">
        <f>SUM('Customer Counts'!Q22)</f>
        <v>7227</v>
      </c>
      <c r="Q8" s="109">
        <f>+'Customer Counts'!Q23</f>
        <v>8</v>
      </c>
    </row>
    <row r="9" spans="1:17" x14ac:dyDescent="0.3">
      <c r="A9" s="114" t="str">
        <f>IF(A8="~","~","")</f>
        <v/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</row>
    <row r="10" spans="1:17" x14ac:dyDescent="0.3">
      <c r="A10" s="65" t="s">
        <v>295</v>
      </c>
      <c r="B10" s="65" t="s">
        <v>296</v>
      </c>
      <c r="C10" s="109" t="s">
        <v>159</v>
      </c>
      <c r="D10" s="110"/>
      <c r="E10" s="111">
        <f t="shared" ref="E10:Q10" si="1">IF($D11=0,0,E11/$D11)</f>
        <v>0.88589413282359442</v>
      </c>
      <c r="F10" s="111">
        <f t="shared" si="1"/>
        <v>0.10652301955243673</v>
      </c>
      <c r="G10" s="111">
        <f t="shared" si="1"/>
        <v>6.8800294858406535E-3</v>
      </c>
      <c r="H10" s="111">
        <f t="shared" si="1"/>
        <v>7.0281813812815498E-4</v>
      </c>
      <c r="I10" s="111">
        <f t="shared" si="1"/>
        <v>0</v>
      </c>
      <c r="J10" s="111">
        <f t="shared" si="1"/>
        <v>0</v>
      </c>
      <c r="K10" s="111">
        <f t="shared" si="1"/>
        <v>0</v>
      </c>
      <c r="L10" s="111">
        <f t="shared" si="1"/>
        <v>0</v>
      </c>
      <c r="M10" s="111">
        <f t="shared" si="1"/>
        <v>0</v>
      </c>
      <c r="N10" s="111">
        <f t="shared" si="1"/>
        <v>0</v>
      </c>
      <c r="O10" s="111">
        <f t="shared" si="1"/>
        <v>0</v>
      </c>
      <c r="P10" s="111">
        <f t="shared" si="1"/>
        <v>0</v>
      </c>
      <c r="Q10" s="111">
        <f t="shared" si="1"/>
        <v>0</v>
      </c>
    </row>
    <row r="11" spans="1:17" x14ac:dyDescent="0.3">
      <c r="A11" s="112" t="str">
        <f>IF(A10="~","~","")</f>
        <v/>
      </c>
      <c r="B11" s="113" t="s">
        <v>95</v>
      </c>
      <c r="C11" s="71"/>
      <c r="D11" s="109">
        <f>SUM(E11:Q11)</f>
        <v>1106972</v>
      </c>
      <c r="E11" s="109">
        <f t="shared" ref="E11:F11" si="2">+E8</f>
        <v>980660</v>
      </c>
      <c r="F11" s="109">
        <f t="shared" si="2"/>
        <v>117918</v>
      </c>
      <c r="G11" s="109">
        <f>+G8</f>
        <v>7616</v>
      </c>
      <c r="H11" s="109">
        <f t="shared" ref="H11" si="3">+H8</f>
        <v>778</v>
      </c>
      <c r="I11" s="109">
        <v>0</v>
      </c>
      <c r="J11" s="109">
        <v>0</v>
      </c>
      <c r="K11" s="109">
        <v>0</v>
      </c>
      <c r="L11" s="425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</row>
    <row r="12" spans="1:17" x14ac:dyDescent="0.3">
      <c r="A12" s="114" t="str">
        <f>IF(A11="~","~","")</f>
        <v/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</row>
    <row r="13" spans="1:17" x14ac:dyDescent="0.3">
      <c r="A13" s="65" t="s">
        <v>297</v>
      </c>
      <c r="B13" s="87" t="s">
        <v>718</v>
      </c>
      <c r="C13" s="109" t="s">
        <v>159</v>
      </c>
      <c r="D13" s="110"/>
      <c r="E13" s="111">
        <f t="shared" ref="E13:Q13" si="4">IF($D14=0,0,E14/$D14)</f>
        <v>0.86058588681943127</v>
      </c>
      <c r="F13" s="111">
        <f t="shared" si="4"/>
        <v>0.10301795377401993</v>
      </c>
      <c r="G13" s="111">
        <f t="shared" si="4"/>
        <v>8.5771792201725285E-3</v>
      </c>
      <c r="H13" s="111">
        <f t="shared" si="4"/>
        <v>4.8042648939019333E-3</v>
      </c>
      <c r="I13" s="111">
        <f t="shared" si="4"/>
        <v>1.6764491862090226E-3</v>
      </c>
      <c r="J13" s="111">
        <f t="shared" si="4"/>
        <v>6.6217746373975175E-7</v>
      </c>
      <c r="K13" s="111">
        <f t="shared" si="4"/>
        <v>2.200498834356321E-4</v>
      </c>
      <c r="L13" s="111">
        <f t="shared" si="4"/>
        <v>3.1051228943448036E-3</v>
      </c>
      <c r="M13" s="111">
        <f t="shared" si="4"/>
        <v>1.8912192230472677E-3</v>
      </c>
      <c r="N13" s="111">
        <f t="shared" si="4"/>
        <v>5.9512066885743199E-4</v>
      </c>
      <c r="O13" s="111">
        <f t="shared" si="4"/>
        <v>1.1379241403999298E-2</v>
      </c>
      <c r="P13" s="111">
        <f t="shared" si="4"/>
        <v>4.1458698628893519E-3</v>
      </c>
      <c r="Q13" s="111">
        <f t="shared" si="4"/>
        <v>9.7999222778922465E-7</v>
      </c>
    </row>
    <row r="14" spans="1:17" x14ac:dyDescent="0.3">
      <c r="A14" s="112" t="str">
        <f>IF(A13="~","~","")</f>
        <v/>
      </c>
      <c r="B14" s="113" t="s">
        <v>95</v>
      </c>
      <c r="C14" s="71"/>
      <c r="D14" s="109">
        <f>SUM(E14:Q14)</f>
        <v>25302937.027326711</v>
      </c>
      <c r="E14" s="109">
        <f>+'Records &amp; Collec (903)'!$L$8</f>
        <v>21775350.500798181</v>
      </c>
      <c r="F14" s="109">
        <f>+'Records &amp; Collec (903)'!$L$9</f>
        <v>2606656.7970280801</v>
      </c>
      <c r="G14" s="109">
        <f>+'Records &amp; Collec (903)'!$L$10</f>
        <v>217027.82568012073</v>
      </c>
      <c r="H14" s="109">
        <f>+'Records &amp; Collec (903)'!$L$11</f>
        <v>121562.01207299705</v>
      </c>
      <c r="I14" s="109">
        <f>+'Records &amp; Collec (903)'!$L$12</f>
        <v>42419.088188160007</v>
      </c>
      <c r="J14" s="109">
        <f>+'Records &amp; Collec (903)'!$L$13</f>
        <v>16.755034665921855</v>
      </c>
      <c r="K14" s="109">
        <f>+'Records &amp; Collec (903)'!$L$14</f>
        <v>5567.9083434423819</v>
      </c>
      <c r="L14" s="425">
        <f>+'Records &amp; Collec (903)'!$L$15</f>
        <v>78568.729057717021</v>
      </c>
      <c r="M14" s="109">
        <f>+'Records &amp; Collec (903)'!$L$16</f>
        <v>47853.400905634764</v>
      </c>
      <c r="N14" s="109">
        <f>+'Records &amp; Collec (903)'!$L$17</f>
        <v>15058.300807760153</v>
      </c>
      <c r="O14" s="109">
        <f>+'Records &amp; Collec (903)'!$L$18</f>
        <v>287928.22866414301</v>
      </c>
      <c r="P14" s="109">
        <f>+'Records &amp; Collec (903)'!$L$19</f>
        <v>104902.6840641809</v>
      </c>
      <c r="Q14" s="109">
        <f>+'Records &amp; Collec (903)'!$L$20</f>
        <v>24.796681627020366</v>
      </c>
    </row>
    <row r="15" spans="1:17" x14ac:dyDescent="0.3">
      <c r="A15" s="114" t="str">
        <f>IF(A14="~","~","")</f>
        <v/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</row>
    <row r="16" spans="1:17" x14ac:dyDescent="0.3">
      <c r="A16" s="65" t="s">
        <v>298</v>
      </c>
      <c r="B16" s="87" t="s">
        <v>299</v>
      </c>
      <c r="C16" s="109" t="s">
        <v>159</v>
      </c>
      <c r="D16" s="110"/>
      <c r="E16" s="111">
        <f t="shared" ref="E16:Q16" si="5">IF($D17=0,0,E17/$D17)</f>
        <v>0.878741383613311</v>
      </c>
      <c r="F16" s="111">
        <f t="shared" si="5"/>
        <v>0.11269583495906667</v>
      </c>
      <c r="G16" s="111">
        <f t="shared" si="5"/>
        <v>7.0337133155469319E-3</v>
      </c>
      <c r="H16" s="111">
        <f t="shared" si="5"/>
        <v>7.2235286673907775E-4</v>
      </c>
      <c r="I16" s="111">
        <f t="shared" si="5"/>
        <v>4.3499351464214536E-4</v>
      </c>
      <c r="J16" s="111">
        <f t="shared" si="5"/>
        <v>8.7877477705483907E-7</v>
      </c>
      <c r="K16" s="111">
        <f t="shared" si="5"/>
        <v>1.4411906343699359E-4</v>
      </c>
      <c r="L16" s="111">
        <f t="shared" si="5"/>
        <v>1.4324028865993877E-4</v>
      </c>
      <c r="M16" s="111">
        <f t="shared" si="5"/>
        <v>3.2514666751029043E-5</v>
      </c>
      <c r="N16" s="111">
        <f t="shared" si="5"/>
        <v>1.7575495541096781E-6</v>
      </c>
      <c r="O16" s="111">
        <f t="shared" si="5"/>
        <v>4.1302414521577435E-5</v>
      </c>
      <c r="P16" s="111">
        <f t="shared" si="5"/>
        <v>0</v>
      </c>
      <c r="Q16" s="111">
        <f t="shared" si="5"/>
        <v>7.9089729934935515E-6</v>
      </c>
    </row>
    <row r="17" spans="1:17" x14ac:dyDescent="0.3">
      <c r="A17" s="112" t="str">
        <f>IF(A16="~","~","")</f>
        <v/>
      </c>
      <c r="B17" s="113" t="s">
        <v>95</v>
      </c>
      <c r="C17" s="71"/>
      <c r="D17" s="109">
        <f>SUM(E17:Q17)</f>
        <v>1137948</v>
      </c>
      <c r="E17" s="109">
        <f>+'Meter Reading Cost (902)'!D8</f>
        <v>999962</v>
      </c>
      <c r="F17" s="109">
        <f>+'Meter Reading Cost (902)'!D9</f>
        <v>128242</v>
      </c>
      <c r="G17" s="109">
        <f>SUM('Meter Reading Cost (902)'!D10,'Meter Reading Cost (902)'!D12)</f>
        <v>8004</v>
      </c>
      <c r="H17" s="109">
        <f>+'Meter Reading Cost (902)'!D11</f>
        <v>822</v>
      </c>
      <c r="I17" s="109">
        <f>+'Meter Reading Cost (902)'!D13</f>
        <v>495</v>
      </c>
      <c r="J17" s="109">
        <f>+'Meter Reading Cost (902)'!D14</f>
        <v>1</v>
      </c>
      <c r="K17" s="109">
        <f>+'Meter Reading Cost (902)'!D15</f>
        <v>164</v>
      </c>
      <c r="L17" s="425">
        <f>SUM('Meter Reading Cost (902)'!D18:D20)</f>
        <v>163</v>
      </c>
      <c r="M17" s="109">
        <f>SUM('Meter Reading Cost (902)'!D16:D17)</f>
        <v>37</v>
      </c>
      <c r="N17" s="109">
        <v>2</v>
      </c>
      <c r="O17" s="109">
        <f>SUM('Meter Reading Cost (902)'!D21:D23)-'ECOS - EXTERNAL (2017)'!N17</f>
        <v>47</v>
      </c>
      <c r="P17" s="109">
        <v>0</v>
      </c>
      <c r="Q17" s="109">
        <f>+'Meter Reading Cost (902)'!D26</f>
        <v>9</v>
      </c>
    </row>
    <row r="18" spans="1:17" x14ac:dyDescent="0.3">
      <c r="A18" s="114" t="str">
        <f>IF(A17="~","~","")</f>
        <v/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</row>
    <row r="19" spans="1:17" x14ac:dyDescent="0.3">
      <c r="A19" s="65" t="s">
        <v>300</v>
      </c>
      <c r="B19" s="65" t="s">
        <v>301</v>
      </c>
      <c r="C19" s="109" t="s">
        <v>159</v>
      </c>
      <c r="D19" s="110"/>
      <c r="E19" s="111">
        <f t="shared" ref="E19:Q19" si="6">IF($D20=0,0,E20/$D20)</f>
        <v>0</v>
      </c>
      <c r="F19" s="111">
        <f t="shared" si="6"/>
        <v>0</v>
      </c>
      <c r="G19" s="111">
        <f t="shared" si="6"/>
        <v>0</v>
      </c>
      <c r="H19" s="111">
        <f t="shared" si="6"/>
        <v>0</v>
      </c>
      <c r="I19" s="111">
        <f t="shared" si="6"/>
        <v>0</v>
      </c>
      <c r="J19" s="111">
        <f t="shared" si="6"/>
        <v>0</v>
      </c>
      <c r="K19" s="111">
        <f t="shared" si="6"/>
        <v>0</v>
      </c>
      <c r="L19" s="111">
        <f t="shared" si="6"/>
        <v>1</v>
      </c>
      <c r="M19" s="111">
        <f t="shared" si="6"/>
        <v>0</v>
      </c>
      <c r="N19" s="111">
        <f t="shared" si="6"/>
        <v>0</v>
      </c>
      <c r="O19" s="111">
        <f t="shared" si="6"/>
        <v>0</v>
      </c>
      <c r="P19" s="111">
        <f t="shared" si="6"/>
        <v>0</v>
      </c>
      <c r="Q19" s="111">
        <f t="shared" si="6"/>
        <v>0</v>
      </c>
    </row>
    <row r="20" spans="1:17" x14ac:dyDescent="0.3">
      <c r="A20" s="112" t="str">
        <f>IF(A19="~","~","")</f>
        <v/>
      </c>
      <c r="B20" s="113" t="s">
        <v>95</v>
      </c>
      <c r="C20" s="71"/>
      <c r="D20" s="109">
        <f>SUM(E20:Q20)</f>
        <v>1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425">
        <v>1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</row>
    <row r="21" spans="1:17" x14ac:dyDescent="0.3">
      <c r="A21" s="114" t="str">
        <f>IF(A20="~","~","")</f>
        <v/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</row>
    <row r="22" spans="1:17" x14ac:dyDescent="0.3">
      <c r="A22" s="65" t="s">
        <v>302</v>
      </c>
      <c r="B22" s="87" t="s">
        <v>303</v>
      </c>
      <c r="C22" s="109" t="s">
        <v>154</v>
      </c>
      <c r="D22" s="110"/>
      <c r="E22" s="111">
        <f t="shared" ref="E22:Q22" si="7">IF($D23=0,0,E23/$D23)</f>
        <v>0</v>
      </c>
      <c r="F22" s="111">
        <f t="shared" si="7"/>
        <v>0</v>
      </c>
      <c r="G22" s="111">
        <f t="shared" si="7"/>
        <v>0</v>
      </c>
      <c r="H22" s="111">
        <f t="shared" si="7"/>
        <v>0</v>
      </c>
      <c r="I22" s="111">
        <f t="shared" si="7"/>
        <v>0</v>
      </c>
      <c r="J22" s="111">
        <f t="shared" si="7"/>
        <v>0</v>
      </c>
      <c r="K22" s="111">
        <f t="shared" si="7"/>
        <v>0</v>
      </c>
      <c r="L22" s="111">
        <f t="shared" si="7"/>
        <v>0</v>
      </c>
      <c r="M22" s="111">
        <f t="shared" si="7"/>
        <v>0</v>
      </c>
      <c r="N22" s="111">
        <f t="shared" si="7"/>
        <v>13.854095563139932</v>
      </c>
      <c r="O22" s="111">
        <f t="shared" si="7"/>
        <v>-12.854095563139932</v>
      </c>
      <c r="P22" s="111">
        <f t="shared" si="7"/>
        <v>0</v>
      </c>
      <c r="Q22" s="111">
        <f t="shared" si="7"/>
        <v>0</v>
      </c>
    </row>
    <row r="23" spans="1:17" x14ac:dyDescent="0.3">
      <c r="A23" s="112" t="str">
        <f>IF(A22="~","~","")</f>
        <v/>
      </c>
      <c r="B23" s="113" t="s">
        <v>95</v>
      </c>
      <c r="C23" s="71"/>
      <c r="D23" s="109">
        <f>SUM(E23:Q23)</f>
        <v>18752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425">
        <v>0</v>
      </c>
      <c r="M23" s="109">
        <v>0</v>
      </c>
      <c r="N23" s="109">
        <f>+'Retail Wheeling Proforma Rev'!L15</f>
        <v>259792</v>
      </c>
      <c r="O23" s="109">
        <f>+'Retail Wheeling Proforma Rev'!M15</f>
        <v>-241040</v>
      </c>
      <c r="P23" s="109">
        <v>0</v>
      </c>
      <c r="Q23" s="109">
        <v>0</v>
      </c>
    </row>
    <row r="24" spans="1:17" x14ac:dyDescent="0.3">
      <c r="A24" s="114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</row>
    <row r="25" spans="1:17" x14ac:dyDescent="0.3">
      <c r="A25" s="65" t="s">
        <v>304</v>
      </c>
      <c r="B25" s="65" t="s">
        <v>305</v>
      </c>
      <c r="C25" s="109" t="s">
        <v>159</v>
      </c>
      <c r="D25" s="110"/>
      <c r="E25" s="111">
        <f t="shared" ref="E25:Q25" si="8">IF($D26=0,0,E26/$D26)</f>
        <v>0</v>
      </c>
      <c r="F25" s="111">
        <f t="shared" si="8"/>
        <v>0</v>
      </c>
      <c r="G25" s="111">
        <f t="shared" si="8"/>
        <v>0</v>
      </c>
      <c r="H25" s="111">
        <f t="shared" si="8"/>
        <v>0</v>
      </c>
      <c r="I25" s="111">
        <f t="shared" si="8"/>
        <v>0</v>
      </c>
      <c r="J25" s="111">
        <f t="shared" si="8"/>
        <v>0</v>
      </c>
      <c r="K25" s="111">
        <f t="shared" si="8"/>
        <v>0</v>
      </c>
      <c r="L25" s="111">
        <f t="shared" si="8"/>
        <v>0</v>
      </c>
      <c r="M25" s="111">
        <f t="shared" si="8"/>
        <v>0</v>
      </c>
      <c r="N25" s="111">
        <f t="shared" si="8"/>
        <v>4.5309463826069346E-2</v>
      </c>
      <c r="O25" s="111">
        <f t="shared" si="8"/>
        <v>0.95469053617393063</v>
      </c>
      <c r="P25" s="111">
        <f t="shared" si="8"/>
        <v>0</v>
      </c>
      <c r="Q25" s="111">
        <f t="shared" si="8"/>
        <v>0</v>
      </c>
    </row>
    <row r="26" spans="1:17" x14ac:dyDescent="0.3">
      <c r="A26" s="112" t="str">
        <f>IF(A25="~","~","")</f>
        <v/>
      </c>
      <c r="B26" s="113" t="s">
        <v>95</v>
      </c>
      <c r="C26" s="71"/>
      <c r="D26" s="109">
        <f>SUM(E26:Q26)</f>
        <v>7494527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425">
        <v>0</v>
      </c>
      <c r="M26" s="109">
        <v>0</v>
      </c>
      <c r="N26" s="109">
        <f>+'Retail Wheeling Proforma Rev'!L16</f>
        <v>339573</v>
      </c>
      <c r="O26" s="109">
        <f>+'Retail Wheeling Proforma Rev'!M16</f>
        <v>7154954</v>
      </c>
      <c r="P26" s="109">
        <v>0</v>
      </c>
      <c r="Q26" s="109">
        <v>0</v>
      </c>
    </row>
    <row r="27" spans="1:17" x14ac:dyDescent="0.3">
      <c r="A27" s="114" t="str">
        <f>IF(A26="~","~","")</f>
        <v/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</row>
    <row r="28" spans="1:17" x14ac:dyDescent="0.3">
      <c r="A28" s="65" t="s">
        <v>306</v>
      </c>
      <c r="B28" s="65" t="s">
        <v>307</v>
      </c>
      <c r="C28" s="109" t="s">
        <v>159</v>
      </c>
      <c r="D28" s="110"/>
      <c r="E28" s="111">
        <f t="shared" ref="E28:Q28" si="9">IF($D29=0,0,E29/$D29)</f>
        <v>0</v>
      </c>
      <c r="F28" s="111">
        <f t="shared" si="9"/>
        <v>0</v>
      </c>
      <c r="G28" s="111">
        <f t="shared" si="9"/>
        <v>0</v>
      </c>
      <c r="H28" s="111">
        <f t="shared" si="9"/>
        <v>0</v>
      </c>
      <c r="I28" s="111">
        <f t="shared" si="9"/>
        <v>0</v>
      </c>
      <c r="J28" s="111">
        <f t="shared" si="9"/>
        <v>0</v>
      </c>
      <c r="K28" s="111">
        <f t="shared" si="9"/>
        <v>0</v>
      </c>
      <c r="L28" s="111">
        <f t="shared" si="9"/>
        <v>0</v>
      </c>
      <c r="M28" s="111">
        <f t="shared" si="9"/>
        <v>0</v>
      </c>
      <c r="N28" s="111">
        <f t="shared" si="9"/>
        <v>0</v>
      </c>
      <c r="O28" s="111">
        <f t="shared" si="9"/>
        <v>0</v>
      </c>
      <c r="P28" s="111">
        <f t="shared" si="9"/>
        <v>0</v>
      </c>
      <c r="Q28" s="111">
        <f t="shared" si="9"/>
        <v>1</v>
      </c>
    </row>
    <row r="29" spans="1:17" x14ac:dyDescent="0.3">
      <c r="A29" s="112" t="str">
        <f>IF(A28="~","~","")</f>
        <v/>
      </c>
      <c r="B29" s="113" t="s">
        <v>95</v>
      </c>
      <c r="C29" s="71"/>
      <c r="D29" s="109">
        <f>SUM(E29:Q29)</f>
        <v>1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425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1</v>
      </c>
    </row>
    <row r="30" spans="1:17" x14ac:dyDescent="0.3">
      <c r="A30" s="114" t="str">
        <f>IF(A29="~","~","")</f>
        <v/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</row>
    <row r="31" spans="1:17" x14ac:dyDescent="0.3">
      <c r="A31" s="65" t="s">
        <v>308</v>
      </c>
      <c r="B31" s="65" t="s">
        <v>75</v>
      </c>
      <c r="C31" s="109" t="s">
        <v>159</v>
      </c>
      <c r="D31" s="110"/>
      <c r="E31" s="111">
        <f t="shared" ref="E31:Q31" si="10">IF($D32=0,0,E32/$D32)</f>
        <v>0.87236121576363324</v>
      </c>
      <c r="F31" s="111">
        <f t="shared" si="10"/>
        <v>7.6723449522767523E-2</v>
      </c>
      <c r="G31" s="111">
        <f t="shared" si="10"/>
        <v>3.3598073794129907E-2</v>
      </c>
      <c r="H31" s="111">
        <f t="shared" si="10"/>
        <v>1.4828821316221204E-2</v>
      </c>
      <c r="I31" s="111">
        <f t="shared" si="10"/>
        <v>1.233162390285302E-3</v>
      </c>
      <c r="J31" s="111">
        <f t="shared" si="10"/>
        <v>0</v>
      </c>
      <c r="K31" s="111">
        <f t="shared" si="10"/>
        <v>0</v>
      </c>
      <c r="L31" s="111">
        <f t="shared" si="10"/>
        <v>1.2399972153619982E-5</v>
      </c>
      <c r="M31" s="111">
        <f t="shared" si="10"/>
        <v>0</v>
      </c>
      <c r="N31" s="111">
        <f t="shared" si="10"/>
        <v>0</v>
      </c>
      <c r="O31" s="111">
        <f t="shared" si="10"/>
        <v>0</v>
      </c>
      <c r="P31" s="111">
        <f t="shared" si="10"/>
        <v>1.2428772408092739E-3</v>
      </c>
      <c r="Q31" s="111">
        <f t="shared" si="10"/>
        <v>0</v>
      </c>
    </row>
    <row r="32" spans="1:17" x14ac:dyDescent="0.3">
      <c r="A32" s="112" t="str">
        <f>IF(A31="~","~","")</f>
        <v/>
      </c>
      <c r="B32" s="113" t="s">
        <v>95</v>
      </c>
      <c r="C32" s="71"/>
      <c r="D32" s="109">
        <f>SUM(E32:Q32)</f>
        <v>-30322648.739999998</v>
      </c>
      <c r="E32" s="109">
        <f>+'Customer Deposits (235)'!B9</f>
        <v>-26452302.719999999</v>
      </c>
      <c r="F32" s="109">
        <f>+'Customer Deposits (235)'!B10</f>
        <v>-2326458.21</v>
      </c>
      <c r="G32" s="109">
        <f>SUM('Customer Deposits (235)'!B11,'Customer Deposits (235)'!B13)</f>
        <v>-1018782.5900000001</v>
      </c>
      <c r="H32" s="109">
        <f>+'Customer Deposits (235)'!B12</f>
        <v>-449649.14</v>
      </c>
      <c r="I32" s="109">
        <f>SUM('Customer Deposits (235)'!B14)</f>
        <v>-37392.75</v>
      </c>
      <c r="J32" s="109">
        <v>0</v>
      </c>
      <c r="K32" s="109">
        <v>0</v>
      </c>
      <c r="L32" s="425">
        <f>+'Customer Deposits (235)'!B15</f>
        <v>-376</v>
      </c>
      <c r="M32" s="109">
        <v>0</v>
      </c>
      <c r="N32" s="109">
        <v>0</v>
      </c>
      <c r="O32" s="109">
        <v>0</v>
      </c>
      <c r="P32" s="109">
        <f>+'Customer Deposits (235)'!B16</f>
        <v>-37687.33</v>
      </c>
      <c r="Q32" s="109">
        <v>0</v>
      </c>
    </row>
    <row r="33" spans="1:17" x14ac:dyDescent="0.3">
      <c r="A33" s="114" t="str">
        <f>IF(A32="~","~","")</f>
        <v/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</row>
    <row r="34" spans="1:17" x14ac:dyDescent="0.3">
      <c r="A34" s="87" t="s">
        <v>309</v>
      </c>
      <c r="B34" s="65" t="s">
        <v>27</v>
      </c>
      <c r="C34" s="109" t="s">
        <v>159</v>
      </c>
      <c r="D34" s="110"/>
      <c r="E34" s="111">
        <f t="shared" ref="E34:Q34" si="11">IF($D35=0,0,E35/$D35)</f>
        <v>0.386930567259474</v>
      </c>
      <c r="F34" s="111">
        <f t="shared" si="11"/>
        <v>0.57224925141572025</v>
      </c>
      <c r="G34" s="111">
        <f t="shared" si="11"/>
        <v>3.7010880048061481E-2</v>
      </c>
      <c r="H34" s="111">
        <f t="shared" si="11"/>
        <v>3.8093012767442327E-3</v>
      </c>
      <c r="I34" s="111">
        <f t="shared" si="11"/>
        <v>0</v>
      </c>
      <c r="J34" s="111">
        <f t="shared" si="11"/>
        <v>0</v>
      </c>
      <c r="K34" s="111">
        <f t="shared" si="11"/>
        <v>0</v>
      </c>
      <c r="L34" s="111">
        <f t="shared" si="11"/>
        <v>0</v>
      </c>
      <c r="M34" s="111">
        <f t="shared" si="11"/>
        <v>0</v>
      </c>
      <c r="N34" s="111">
        <f t="shared" si="11"/>
        <v>0</v>
      </c>
      <c r="O34" s="111">
        <f t="shared" si="11"/>
        <v>0</v>
      </c>
      <c r="P34" s="111">
        <f t="shared" si="11"/>
        <v>0</v>
      </c>
      <c r="Q34" s="111">
        <f t="shared" si="11"/>
        <v>0</v>
      </c>
    </row>
    <row r="35" spans="1:17" x14ac:dyDescent="0.3">
      <c r="A35" s="112" t="str">
        <f>IF(A34="~","~","")</f>
        <v/>
      </c>
      <c r="B35" s="113" t="s">
        <v>95</v>
      </c>
      <c r="C35" s="71"/>
      <c r="D35" s="109">
        <f>SUM(E35:Q35)</f>
        <v>-54720677.887500003</v>
      </c>
      <c r="E35" s="109">
        <f>+'Customer Advances (252)'!C16</f>
        <v>-21173102.935833331</v>
      </c>
      <c r="F35" s="109">
        <f>+'Customer Advances (252)'!C17</f>
        <v>-31313866.958082631</v>
      </c>
      <c r="G35" s="109">
        <f>+'Customer Advances (252)'!C18</f>
        <v>-2025260.4454428728</v>
      </c>
      <c r="H35" s="109">
        <f>+'Customer Advances (252)'!C19</f>
        <v>-208447.54814116366</v>
      </c>
      <c r="I35" s="109">
        <v>0</v>
      </c>
      <c r="J35" s="109">
        <v>0</v>
      </c>
      <c r="K35" s="109">
        <v>0</v>
      </c>
      <c r="L35" s="425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</row>
    <row r="36" spans="1:17" x14ac:dyDescent="0.3">
      <c r="A36" s="114" t="str">
        <f>IF(A35="~","~","")</f>
        <v/>
      </c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</row>
    <row r="37" spans="1:17" x14ac:dyDescent="0.3">
      <c r="A37" s="65" t="s">
        <v>310</v>
      </c>
      <c r="B37" s="65" t="s">
        <v>311</v>
      </c>
      <c r="C37" s="109" t="s">
        <v>159</v>
      </c>
      <c r="D37" s="110"/>
      <c r="E37" s="111">
        <f t="shared" ref="E37:Q37" si="12">IF($D38=0,0,E38/$D38)</f>
        <v>0</v>
      </c>
      <c r="F37" s="111">
        <f t="shared" si="12"/>
        <v>0</v>
      </c>
      <c r="G37" s="111">
        <f t="shared" si="12"/>
        <v>0</v>
      </c>
      <c r="H37" s="111">
        <f t="shared" si="12"/>
        <v>0</v>
      </c>
      <c r="I37" s="111">
        <f t="shared" si="12"/>
        <v>0.27490396581130677</v>
      </c>
      <c r="J37" s="111">
        <f t="shared" si="12"/>
        <v>0</v>
      </c>
      <c r="K37" s="111">
        <f t="shared" si="12"/>
        <v>1.5964816040545612E-2</v>
      </c>
      <c r="L37" s="111">
        <f t="shared" si="12"/>
        <v>0.70257724999953963</v>
      </c>
      <c r="M37" s="111">
        <f t="shared" si="12"/>
        <v>0</v>
      </c>
      <c r="N37" s="111">
        <f t="shared" si="12"/>
        <v>0</v>
      </c>
      <c r="O37" s="111">
        <f t="shared" si="12"/>
        <v>0</v>
      </c>
      <c r="P37" s="111">
        <f t="shared" si="12"/>
        <v>0</v>
      </c>
      <c r="Q37" s="111">
        <f t="shared" si="12"/>
        <v>6.5539681486079552E-3</v>
      </c>
    </row>
    <row r="38" spans="1:17" x14ac:dyDescent="0.3">
      <c r="A38" s="112" t="str">
        <f>IF(A37="~","~","")</f>
        <v/>
      </c>
      <c r="B38" s="113" t="s">
        <v>95</v>
      </c>
      <c r="C38" s="71"/>
      <c r="D38" s="109">
        <f>SUM(E38:Q38)</f>
        <v>2959610.0500000003</v>
      </c>
      <c r="E38" s="109">
        <f>+E130</f>
        <v>0</v>
      </c>
      <c r="F38" s="109">
        <f t="shared" ref="F38:Q38" si="13">+F130</f>
        <v>0</v>
      </c>
      <c r="G38" s="109">
        <f t="shared" si="13"/>
        <v>0</v>
      </c>
      <c r="H38" s="109">
        <f t="shared" si="13"/>
        <v>0</v>
      </c>
      <c r="I38" s="109">
        <f t="shared" si="13"/>
        <v>813608.53999999992</v>
      </c>
      <c r="J38" s="109">
        <f t="shared" si="13"/>
        <v>0</v>
      </c>
      <c r="K38" s="109">
        <f t="shared" si="13"/>
        <v>47249.630000000005</v>
      </c>
      <c r="L38" s="425">
        <f t="shared" si="13"/>
        <v>2079354.6900000002</v>
      </c>
      <c r="M38" s="109">
        <f t="shared" si="13"/>
        <v>0</v>
      </c>
      <c r="N38" s="109">
        <f t="shared" si="13"/>
        <v>0</v>
      </c>
      <c r="O38" s="109">
        <f t="shared" si="13"/>
        <v>0</v>
      </c>
      <c r="P38" s="109">
        <f t="shared" si="13"/>
        <v>0</v>
      </c>
      <c r="Q38" s="109">
        <f t="shared" si="13"/>
        <v>19397.189999999999</v>
      </c>
    </row>
    <row r="39" spans="1:17" x14ac:dyDescent="0.3">
      <c r="A39" s="114" t="str">
        <f>IF(A38="~","~","")</f>
        <v/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</row>
    <row r="40" spans="1:17" x14ac:dyDescent="0.3">
      <c r="A40" s="65" t="s">
        <v>312</v>
      </c>
      <c r="B40" s="65" t="s">
        <v>313</v>
      </c>
      <c r="C40" s="109" t="s">
        <v>159</v>
      </c>
      <c r="D40" s="110"/>
      <c r="E40" s="111">
        <f t="shared" ref="E40:Q40" si="14">IF($D41=0,0,E41/$D41)</f>
        <v>0</v>
      </c>
      <c r="F40" s="111">
        <f t="shared" si="14"/>
        <v>0</v>
      </c>
      <c r="G40" s="111">
        <f t="shared" si="14"/>
        <v>0</v>
      </c>
      <c r="H40" s="111">
        <f t="shared" si="14"/>
        <v>0</v>
      </c>
      <c r="I40" s="111">
        <f t="shared" si="14"/>
        <v>0</v>
      </c>
      <c r="J40" s="111">
        <f t="shared" si="14"/>
        <v>0</v>
      </c>
      <c r="K40" s="111">
        <f t="shared" si="14"/>
        <v>0</v>
      </c>
      <c r="L40" s="111">
        <f t="shared" si="14"/>
        <v>0</v>
      </c>
      <c r="M40" s="111">
        <f t="shared" si="14"/>
        <v>0</v>
      </c>
      <c r="N40" s="111">
        <f t="shared" si="14"/>
        <v>0</v>
      </c>
      <c r="O40" s="111">
        <f t="shared" si="14"/>
        <v>0</v>
      </c>
      <c r="P40" s="111">
        <f t="shared" si="14"/>
        <v>1</v>
      </c>
      <c r="Q40" s="111">
        <f t="shared" si="14"/>
        <v>0</v>
      </c>
    </row>
    <row r="41" spans="1:17" x14ac:dyDescent="0.3">
      <c r="A41" s="112" t="str">
        <f>IF(A40="~","~","")</f>
        <v/>
      </c>
      <c r="B41" s="113" t="s">
        <v>95</v>
      </c>
      <c r="C41" s="71"/>
      <c r="D41" s="109">
        <f>SUM(E41:Q41)</f>
        <v>1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425">
        <v>0</v>
      </c>
      <c r="M41" s="109">
        <v>0</v>
      </c>
      <c r="N41" s="109">
        <v>0</v>
      </c>
      <c r="O41" s="109">
        <v>0</v>
      </c>
      <c r="P41" s="109">
        <v>1</v>
      </c>
      <c r="Q41" s="109">
        <v>0</v>
      </c>
    </row>
    <row r="42" spans="1:17" x14ac:dyDescent="0.3">
      <c r="A42" s="114" t="str">
        <f>IF(A41="~","~","")</f>
        <v/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</row>
    <row r="43" spans="1:17" x14ac:dyDescent="0.3">
      <c r="A43" s="65" t="s">
        <v>314</v>
      </c>
      <c r="B43" s="65" t="s">
        <v>315</v>
      </c>
      <c r="C43" s="109" t="s">
        <v>159</v>
      </c>
      <c r="D43" s="110"/>
      <c r="E43" s="111">
        <f t="shared" ref="E43:Q43" si="15">IF($D44=0,0,E44/$D44)</f>
        <v>0.78488838431857766</v>
      </c>
      <c r="F43" s="111">
        <f t="shared" si="15"/>
        <v>0.12843247058086463</v>
      </c>
      <c r="G43" s="111">
        <f t="shared" si="15"/>
        <v>3.0539008571290233E-2</v>
      </c>
      <c r="H43" s="111">
        <f t="shared" si="15"/>
        <v>1.0229810162920641E-2</v>
      </c>
      <c r="I43" s="111">
        <f t="shared" si="15"/>
        <v>1.4036725202949359E-2</v>
      </c>
      <c r="J43" s="111">
        <f t="shared" si="15"/>
        <v>0</v>
      </c>
      <c r="K43" s="111">
        <f t="shared" si="15"/>
        <v>2.5931703745711446E-3</v>
      </c>
      <c r="L43" s="111">
        <f t="shared" si="15"/>
        <v>-1.6681485956524553E-4</v>
      </c>
      <c r="M43" s="111">
        <f t="shared" si="15"/>
        <v>3.4794002042230618E-3</v>
      </c>
      <c r="N43" s="111">
        <f t="shared" si="15"/>
        <v>0</v>
      </c>
      <c r="O43" s="111">
        <f t="shared" si="15"/>
        <v>-5.9112878984022877E-6</v>
      </c>
      <c r="P43" s="111">
        <f t="shared" si="15"/>
        <v>2.5952733749155226E-2</v>
      </c>
      <c r="Q43" s="111">
        <f t="shared" si="15"/>
        <v>2.102298291183569E-5</v>
      </c>
    </row>
    <row r="44" spans="1:17" x14ac:dyDescent="0.3">
      <c r="A44" s="112" t="str">
        <f>IF(A43="~","~","")</f>
        <v/>
      </c>
      <c r="B44" s="113" t="s">
        <v>95</v>
      </c>
      <c r="C44" s="71"/>
      <c r="D44" s="109">
        <f>SUM(E44:Q44)</f>
        <v>2848786.98</v>
      </c>
      <c r="E44" s="109">
        <f>+'Other Op Rev (450-451)'!C7</f>
        <v>2235979.81</v>
      </c>
      <c r="F44" s="109">
        <f>+'Other Op Rev (450-451)'!D7</f>
        <v>365876.75000000017</v>
      </c>
      <c r="G44" s="109">
        <f>+'Other Op Rev (450-451)'!E7</f>
        <v>86999.130000000019</v>
      </c>
      <c r="H44" s="109">
        <f>+'Other Op Rev (450-451)'!F7</f>
        <v>29142.55</v>
      </c>
      <c r="I44" s="109">
        <f>+'Other Op Rev (450-451)'!G7</f>
        <v>39987.639999999992</v>
      </c>
      <c r="J44" s="109">
        <v>0</v>
      </c>
      <c r="K44" s="109">
        <f>+'Other Op Rev (450-451)'!H7</f>
        <v>7387.39</v>
      </c>
      <c r="L44" s="425">
        <f>+'Other Op Rev (450-451)'!I7</f>
        <v>-475.21999999999991</v>
      </c>
      <c r="M44" s="109">
        <f>+'Other Op Rev (450-451)'!J7</f>
        <v>9912.07</v>
      </c>
      <c r="N44" s="109">
        <v>0</v>
      </c>
      <c r="O44" s="109">
        <f>+'Other Op Rev (450-451)'!K7</f>
        <v>-16.84</v>
      </c>
      <c r="P44" s="109">
        <f>+'Other Op Rev (450-451)'!L7</f>
        <v>73933.81</v>
      </c>
      <c r="Q44" s="109">
        <f>+'Other Op Rev (450-451)'!M7</f>
        <v>59.89</v>
      </c>
    </row>
    <row r="45" spans="1:17" x14ac:dyDescent="0.3">
      <c r="A45" s="114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</row>
    <row r="46" spans="1:17" x14ac:dyDescent="0.3">
      <c r="A46" s="65" t="s">
        <v>316</v>
      </c>
      <c r="B46" s="65" t="s">
        <v>317</v>
      </c>
      <c r="C46" s="109" t="s">
        <v>159</v>
      </c>
      <c r="D46" s="110"/>
      <c r="E46" s="111">
        <f t="shared" ref="E46:Q46" si="16">IF($D47=0,0,E47/$D47)</f>
        <v>0.96617231797462588</v>
      </c>
      <c r="F46" s="111">
        <f t="shared" si="16"/>
        <v>3.3432923026539177E-2</v>
      </c>
      <c r="G46" s="111">
        <f t="shared" si="16"/>
        <v>1.3320048221493301E-4</v>
      </c>
      <c r="H46" s="111">
        <f t="shared" si="16"/>
        <v>0</v>
      </c>
      <c r="I46" s="111">
        <f t="shared" si="16"/>
        <v>0</v>
      </c>
      <c r="J46" s="111">
        <f t="shared" si="16"/>
        <v>0</v>
      </c>
      <c r="K46" s="111">
        <f t="shared" si="16"/>
        <v>0</v>
      </c>
      <c r="L46" s="111">
        <f t="shared" si="16"/>
        <v>0</v>
      </c>
      <c r="M46" s="111">
        <f t="shared" si="16"/>
        <v>0</v>
      </c>
      <c r="N46" s="111">
        <f t="shared" si="16"/>
        <v>0</v>
      </c>
      <c r="O46" s="111">
        <f t="shared" si="16"/>
        <v>0</v>
      </c>
      <c r="P46" s="111">
        <f t="shared" si="16"/>
        <v>2.6155851662025938E-4</v>
      </c>
      <c r="Q46" s="111">
        <f t="shared" si="16"/>
        <v>0</v>
      </c>
    </row>
    <row r="47" spans="1:17" x14ac:dyDescent="0.3">
      <c r="A47" s="112" t="str">
        <f>IF(A46="~","~","")</f>
        <v/>
      </c>
      <c r="B47" s="113" t="s">
        <v>95</v>
      </c>
      <c r="C47" s="71"/>
      <c r="D47" s="109">
        <f>SUM(E47:Q47)</f>
        <v>301500.40999999992</v>
      </c>
      <c r="E47" s="109">
        <f>+'Other Op Rev (450-451)'!C8</f>
        <v>291301.34999999998</v>
      </c>
      <c r="F47" s="109">
        <f>+'Other Op Rev (450-451)'!D8</f>
        <v>10080.040000000001</v>
      </c>
      <c r="G47" s="109">
        <f>+'Other Op Rev (450-451)'!E8</f>
        <v>40.159999999999997</v>
      </c>
      <c r="H47" s="109">
        <v>0</v>
      </c>
      <c r="I47" s="109">
        <v>0</v>
      </c>
      <c r="J47" s="109">
        <v>0</v>
      </c>
      <c r="K47" s="109">
        <v>0</v>
      </c>
      <c r="L47" s="425">
        <v>0</v>
      </c>
      <c r="M47" s="109">
        <v>0</v>
      </c>
      <c r="N47" s="109">
        <v>0</v>
      </c>
      <c r="O47" s="109">
        <v>0</v>
      </c>
      <c r="P47" s="109">
        <f>+'Other Op Rev (450-451)'!L8</f>
        <v>78.86</v>
      </c>
      <c r="Q47" s="109">
        <f>+'Other Op Rev (450-451)'!O8</f>
        <v>0</v>
      </c>
    </row>
    <row r="48" spans="1:17" x14ac:dyDescent="0.3">
      <c r="A48" s="114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</row>
    <row r="49" spans="1:17" x14ac:dyDescent="0.3">
      <c r="A49" s="65" t="s">
        <v>318</v>
      </c>
      <c r="B49" s="65" t="s">
        <v>319</v>
      </c>
      <c r="C49" s="109" t="s">
        <v>159</v>
      </c>
      <c r="D49" s="110"/>
      <c r="E49" s="111">
        <f t="shared" ref="E49:Q49" si="17">IF($D50=0,0,E50/$D50)</f>
        <v>0.97587076693427399</v>
      </c>
      <c r="F49" s="111">
        <f t="shared" si="17"/>
        <v>2.3708946307238358E-2</v>
      </c>
      <c r="G49" s="111">
        <f t="shared" si="17"/>
        <v>4.2028675848752249E-4</v>
      </c>
      <c r="H49" s="111">
        <f t="shared" si="17"/>
        <v>0</v>
      </c>
      <c r="I49" s="111">
        <f t="shared" si="17"/>
        <v>0</v>
      </c>
      <c r="J49" s="111">
        <f t="shared" si="17"/>
        <v>0</v>
      </c>
      <c r="K49" s="111">
        <f t="shared" si="17"/>
        <v>0</v>
      </c>
      <c r="L49" s="111">
        <f t="shared" si="17"/>
        <v>0</v>
      </c>
      <c r="M49" s="111">
        <f t="shared" si="17"/>
        <v>0</v>
      </c>
      <c r="N49" s="111">
        <f t="shared" si="17"/>
        <v>0</v>
      </c>
      <c r="O49" s="111">
        <f t="shared" si="17"/>
        <v>0</v>
      </c>
      <c r="P49" s="111">
        <f t="shared" si="17"/>
        <v>0</v>
      </c>
      <c r="Q49" s="111">
        <f t="shared" si="17"/>
        <v>0</v>
      </c>
    </row>
    <row r="50" spans="1:17" x14ac:dyDescent="0.3">
      <c r="A50" s="112" t="str">
        <f>IF(A49="~","~","")</f>
        <v/>
      </c>
      <c r="B50" s="113" t="s">
        <v>95</v>
      </c>
      <c r="C50" s="71"/>
      <c r="D50" s="109">
        <f>SUM(E50:Q50)</f>
        <v>1376036.6900000004</v>
      </c>
      <c r="E50" s="109">
        <f>+'Other Op Rev (450-451)'!C9</f>
        <v>1342833.9800000002</v>
      </c>
      <c r="F50" s="109">
        <f>+'Other Op Rev (450-451)'!D9</f>
        <v>32624.380000000005</v>
      </c>
      <c r="G50" s="109">
        <f>+'Other Op Rev (450-451)'!E9</f>
        <v>578.33000000000004</v>
      </c>
      <c r="H50" s="109">
        <f>+'Other Op Rev (450-451)'!F9</f>
        <v>0</v>
      </c>
      <c r="I50" s="109">
        <f>+'Other Op Rev (450-451)'!G9</f>
        <v>0</v>
      </c>
      <c r="J50" s="109">
        <v>0</v>
      </c>
      <c r="K50" s="109">
        <f>+'Other Op Rev (450-451)'!H9</f>
        <v>0</v>
      </c>
      <c r="L50" s="425">
        <f>+'Other Op Rev (450-451)'!I9</f>
        <v>0</v>
      </c>
      <c r="M50" s="109">
        <f>+'Other Op Rev (450-451)'!J9</f>
        <v>0</v>
      </c>
      <c r="N50" s="109">
        <v>0</v>
      </c>
      <c r="O50" s="109">
        <v>0</v>
      </c>
      <c r="P50" s="109">
        <f>+'Other Op Rev (450-451)'!L9</f>
        <v>0</v>
      </c>
      <c r="Q50" s="109">
        <f>+'Other Op Rev (450-451)'!M9</f>
        <v>0</v>
      </c>
    </row>
    <row r="51" spans="1:17" x14ac:dyDescent="0.3">
      <c r="A51" s="114" t="str">
        <f>IF(A50="~","~","")</f>
        <v/>
      </c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</row>
    <row r="52" spans="1:17" x14ac:dyDescent="0.3">
      <c r="A52" s="65" t="s">
        <v>320</v>
      </c>
      <c r="B52" s="65" t="s">
        <v>321</v>
      </c>
      <c r="C52" s="109" t="s">
        <v>159</v>
      </c>
      <c r="D52" s="110"/>
      <c r="E52" s="111">
        <f t="shared" ref="E52:Q52" si="18">IF($D53=0,0,E53/$D53)</f>
        <v>0.91588908322946017</v>
      </c>
      <c r="F52" s="111">
        <f t="shared" si="18"/>
        <v>8.1694590819096885E-2</v>
      </c>
      <c r="G52" s="111">
        <f t="shared" si="18"/>
        <v>1.9943430379136214E-3</v>
      </c>
      <c r="H52" s="111">
        <f t="shared" si="18"/>
        <v>2.5979122521953242E-4</v>
      </c>
      <c r="I52" s="111">
        <f t="shared" si="18"/>
        <v>5.6904784825780525E-5</v>
      </c>
      <c r="J52" s="111">
        <f t="shared" si="18"/>
        <v>0</v>
      </c>
      <c r="K52" s="111">
        <f t="shared" si="18"/>
        <v>4.2482815277044867E-6</v>
      </c>
      <c r="L52" s="111">
        <f t="shared" si="18"/>
        <v>9.7057897329568088E-5</v>
      </c>
      <c r="M52" s="111">
        <f t="shared" si="18"/>
        <v>3.9807246265740961E-6</v>
      </c>
      <c r="N52" s="111">
        <f t="shared" si="18"/>
        <v>0</v>
      </c>
      <c r="O52" s="111">
        <f t="shared" si="18"/>
        <v>0</v>
      </c>
      <c r="P52" s="111">
        <f t="shared" si="18"/>
        <v>0</v>
      </c>
      <c r="Q52" s="111">
        <f t="shared" si="18"/>
        <v>0</v>
      </c>
    </row>
    <row r="53" spans="1:17" x14ac:dyDescent="0.3">
      <c r="A53" s="112" t="str">
        <f>IF(A52="~","~","")</f>
        <v/>
      </c>
      <c r="B53" s="113" t="s">
        <v>95</v>
      </c>
      <c r="C53" s="71"/>
      <c r="D53" s="109">
        <f>SUM(E53:Q53)</f>
        <v>1532384.3199999998</v>
      </c>
      <c r="E53" s="109">
        <f>+'Other Op Rev (450-451)'!C10</f>
        <v>1403494.0699999996</v>
      </c>
      <c r="F53" s="109">
        <f>+'Other Op Rev (450-451)'!D10</f>
        <v>125187.51000000001</v>
      </c>
      <c r="G53" s="109">
        <f>+'Other Op Rev (450-451)'!E10</f>
        <v>3056.099999999999</v>
      </c>
      <c r="H53" s="109">
        <f>+'Other Op Rev (450-451)'!F10</f>
        <v>398.09999999999997</v>
      </c>
      <c r="I53" s="109">
        <f>+'Other Op Rev (450-451)'!G10</f>
        <v>87.2</v>
      </c>
      <c r="J53" s="109">
        <v>0</v>
      </c>
      <c r="K53" s="109">
        <f>+'Other Op Rev (450-451)'!H10</f>
        <v>6.51</v>
      </c>
      <c r="L53" s="425">
        <f>+'Other Op Rev (450-451)'!I10</f>
        <v>148.72999999999999</v>
      </c>
      <c r="M53" s="109">
        <f>+'Other Op Rev (450-451)'!J10</f>
        <v>6.1</v>
      </c>
      <c r="N53" s="109">
        <v>0</v>
      </c>
      <c r="O53" s="109">
        <f>+'Other Op Rev (450-451)'!K10</f>
        <v>0</v>
      </c>
      <c r="P53" s="109">
        <f>+'Other Op Rev (450-451)'!L10</f>
        <v>0</v>
      </c>
      <c r="Q53" s="109">
        <f>+'Other Op Rev (450-451)'!M10</f>
        <v>0</v>
      </c>
    </row>
    <row r="54" spans="1:17" x14ac:dyDescent="0.3">
      <c r="A54" s="114" t="str">
        <f>IF(A53="~","~","")</f>
        <v/>
      </c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</row>
    <row r="55" spans="1:17" x14ac:dyDescent="0.3">
      <c r="A55" s="65" t="s">
        <v>322</v>
      </c>
      <c r="B55" s="65" t="s">
        <v>323</v>
      </c>
      <c r="C55" s="109" t="s">
        <v>159</v>
      </c>
      <c r="D55" s="110"/>
      <c r="E55" s="111">
        <f t="shared" ref="E55:Q55" si="19">IF($D56=0,0,E56/$D56)</f>
        <v>-0.88887529315794878</v>
      </c>
      <c r="F55" s="111">
        <f t="shared" si="19"/>
        <v>1.9602120934026721</v>
      </c>
      <c r="G55" s="111">
        <f t="shared" si="19"/>
        <v>-5.4002243295605185E-2</v>
      </c>
      <c r="H55" s="111">
        <f t="shared" si="19"/>
        <v>-1.733455694911798E-2</v>
      </c>
      <c r="I55" s="111">
        <f t="shared" si="19"/>
        <v>0</v>
      </c>
      <c r="J55" s="111">
        <f t="shared" si="19"/>
        <v>0</v>
      </c>
      <c r="K55" s="111">
        <f t="shared" si="19"/>
        <v>0</v>
      </c>
      <c r="L55" s="111">
        <f t="shared" si="19"/>
        <v>0</v>
      </c>
      <c r="M55" s="111">
        <f t="shared" si="19"/>
        <v>0</v>
      </c>
      <c r="N55" s="111">
        <f t="shared" si="19"/>
        <v>0</v>
      </c>
      <c r="O55" s="111">
        <f t="shared" si="19"/>
        <v>0</v>
      </c>
      <c r="P55" s="111">
        <f t="shared" si="19"/>
        <v>0</v>
      </c>
      <c r="Q55" s="111">
        <f t="shared" si="19"/>
        <v>0</v>
      </c>
    </row>
    <row r="56" spans="1:17" x14ac:dyDescent="0.3">
      <c r="A56" s="112" t="str">
        <f>IF(A55="~","~","")</f>
        <v/>
      </c>
      <c r="B56" s="113" t="s">
        <v>95</v>
      </c>
      <c r="C56" s="71"/>
      <c r="D56" s="109">
        <f>SUM(E56:Q56)</f>
        <v>980.69999999999982</v>
      </c>
      <c r="E56" s="109">
        <f>+'Other Op Rev (450-451)'!C11</f>
        <v>-871.72000000000025</v>
      </c>
      <c r="F56" s="109">
        <f>+'Other Op Rev (450-451)'!D11</f>
        <v>1922.38</v>
      </c>
      <c r="G56" s="109">
        <f>+'Other Op Rev (450-451)'!E11</f>
        <v>-52.959999999999994</v>
      </c>
      <c r="H56" s="109">
        <f>+'Other Op Rev (450-451)'!F11</f>
        <v>-17</v>
      </c>
      <c r="I56" s="109">
        <f>+'Other Op Rev (450-451)'!G11</f>
        <v>0</v>
      </c>
      <c r="J56" s="109">
        <v>0</v>
      </c>
      <c r="K56" s="109">
        <f>+'Other Op Rev (450-451)'!H11</f>
        <v>0</v>
      </c>
      <c r="L56" s="425">
        <f>+'Other Op Rev (450-451)'!I11</f>
        <v>0</v>
      </c>
      <c r="M56" s="109">
        <f>+'Other Op Rev (450-451)'!J11</f>
        <v>0</v>
      </c>
      <c r="N56" s="109">
        <v>0</v>
      </c>
      <c r="O56" s="109">
        <f>+'Other Op Rev (450-451)'!K11</f>
        <v>0</v>
      </c>
      <c r="P56" s="109">
        <f>+'Other Op Rev (450-451)'!L11</f>
        <v>0</v>
      </c>
      <c r="Q56" s="109">
        <f>+'Other Op Rev (450-451)'!M11</f>
        <v>0</v>
      </c>
    </row>
    <row r="57" spans="1:17" x14ac:dyDescent="0.3">
      <c r="A57" s="114" t="str">
        <f>IF(A56="~","~","")</f>
        <v/>
      </c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</row>
    <row r="58" spans="1:17" x14ac:dyDescent="0.3">
      <c r="A58" s="65" t="s">
        <v>324</v>
      </c>
      <c r="B58" s="65" t="s">
        <v>325</v>
      </c>
      <c r="C58" s="109" t="s">
        <v>159</v>
      </c>
      <c r="D58" s="110"/>
      <c r="E58" s="111">
        <f t="shared" ref="E58:Q58" si="20">IF($D59=0,0,E59/$D59)</f>
        <v>0.8891505580192306</v>
      </c>
      <c r="F58" s="111">
        <f t="shared" si="20"/>
        <v>7.0753466766378753E-2</v>
      </c>
      <c r="G58" s="111">
        <f t="shared" si="20"/>
        <v>2.1983879713718579E-2</v>
      </c>
      <c r="H58" s="111">
        <f t="shared" si="20"/>
        <v>1.55786016290759E-2</v>
      </c>
      <c r="I58" s="111">
        <f t="shared" si="20"/>
        <v>1.0290264859527129E-4</v>
      </c>
      <c r="J58" s="111">
        <f t="shared" si="20"/>
        <v>0</v>
      </c>
      <c r="K58" s="111">
        <f t="shared" si="20"/>
        <v>0</v>
      </c>
      <c r="L58" s="111">
        <f t="shared" si="20"/>
        <v>0</v>
      </c>
      <c r="M58" s="111">
        <f t="shared" si="20"/>
        <v>0</v>
      </c>
      <c r="N58" s="111">
        <f t="shared" si="20"/>
        <v>0</v>
      </c>
      <c r="O58" s="111">
        <f t="shared" si="20"/>
        <v>0</v>
      </c>
      <c r="P58" s="111">
        <f t="shared" si="20"/>
        <v>2.4305912230008263E-3</v>
      </c>
      <c r="Q58" s="111">
        <f t="shared" si="20"/>
        <v>0</v>
      </c>
    </row>
    <row r="59" spans="1:17" x14ac:dyDescent="0.3">
      <c r="A59" s="112" t="str">
        <f>IF(A58="~","~","")</f>
        <v/>
      </c>
      <c r="B59" s="113" t="s">
        <v>95</v>
      </c>
      <c r="C59" s="71"/>
      <c r="D59" s="109">
        <f>SUM(E59:Q59)</f>
        <v>1247308.1208836439</v>
      </c>
      <c r="E59" s="109">
        <f>+'Uncollectibles (904)'!B9</f>
        <v>1109044.7117056099</v>
      </c>
      <c r="F59" s="109">
        <f>+'Uncollectibles (904)'!B10</f>
        <v>88251.373678375225</v>
      </c>
      <c r="G59" s="109">
        <f>+'Uncollectibles (904)'!B11</f>
        <v>27420.671695450379</v>
      </c>
      <c r="H59" s="109">
        <f>+'Uncollectibles (904)'!B12</f>
        <v>19431.316323957533</v>
      </c>
      <c r="I59" s="109">
        <f>+'Uncollectibles (904)'!B13</f>
        <v>128.35130925331777</v>
      </c>
      <c r="J59" s="109">
        <v>0</v>
      </c>
      <c r="K59" s="109">
        <v>0</v>
      </c>
      <c r="L59" s="425">
        <v>0</v>
      </c>
      <c r="M59" s="109">
        <v>0</v>
      </c>
      <c r="N59" s="109">
        <v>0</v>
      </c>
      <c r="O59" s="109">
        <v>0</v>
      </c>
      <c r="P59" s="109">
        <f>+'Uncollectibles (904)'!B14</f>
        <v>3031.6961709974385</v>
      </c>
      <c r="Q59" s="109">
        <v>0</v>
      </c>
    </row>
    <row r="60" spans="1:17" x14ac:dyDescent="0.3">
      <c r="A60" s="114" t="str">
        <f>IF(A59="~","~","")</f>
        <v/>
      </c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</row>
    <row r="61" spans="1:17" x14ac:dyDescent="0.3">
      <c r="A61" s="65" t="s">
        <v>326</v>
      </c>
      <c r="B61" s="65" t="s">
        <v>327</v>
      </c>
      <c r="C61" s="109" t="s">
        <v>159</v>
      </c>
      <c r="D61" s="110"/>
      <c r="E61" s="111">
        <f t="shared" ref="E61:Q61" si="21">IF($D62=0,0,E62/$D62)</f>
        <v>0.65017083726185199</v>
      </c>
      <c r="F61" s="111">
        <f t="shared" si="21"/>
        <v>0.18427818923151099</v>
      </c>
      <c r="G61" s="111">
        <f t="shared" si="21"/>
        <v>5.0103618161674988E-2</v>
      </c>
      <c r="H61" s="111">
        <f t="shared" si="21"/>
        <v>5.7159572314715249E-3</v>
      </c>
      <c r="I61" s="111">
        <f t="shared" si="21"/>
        <v>7.0492272874765699E-2</v>
      </c>
      <c r="J61" s="111">
        <f t="shared" si="21"/>
        <v>1.6527322091635006E-4</v>
      </c>
      <c r="K61" s="111">
        <f t="shared" si="21"/>
        <v>2.4581357779955966E-2</v>
      </c>
      <c r="L61" s="111">
        <f t="shared" si="21"/>
        <v>5.6305893084579372E-3</v>
      </c>
      <c r="M61" s="111">
        <f t="shared" si="21"/>
        <v>3.0782353480524266E-3</v>
      </c>
      <c r="N61" s="111">
        <f t="shared" si="21"/>
        <v>1.7644142695215278E-4</v>
      </c>
      <c r="O61" s="111">
        <f t="shared" si="21"/>
        <v>4.1463735333755903E-3</v>
      </c>
      <c r="P61" s="111">
        <f t="shared" si="21"/>
        <v>0</v>
      </c>
      <c r="Q61" s="111">
        <f t="shared" si="21"/>
        <v>1.4608546210143638E-3</v>
      </c>
    </row>
    <row r="62" spans="1:17" x14ac:dyDescent="0.3">
      <c r="A62" s="112" t="str">
        <f>IF(A61="~","~","")</f>
        <v/>
      </c>
      <c r="B62" s="113" t="s">
        <v>95</v>
      </c>
      <c r="C62" s="71"/>
      <c r="D62" s="109">
        <f>SUM(E62:Q62)</f>
        <v>173542936</v>
      </c>
      <c r="E62" s="109">
        <f>+'Meter Costs (370)'!G7</f>
        <v>112832556</v>
      </c>
      <c r="F62" s="109">
        <f>+'Meter Costs (370)'!G8</f>
        <v>31980178</v>
      </c>
      <c r="G62" s="109">
        <f>+'Meter Costs (370)'!G9+'Meter Costs (370)'!G11</f>
        <v>8695129</v>
      </c>
      <c r="H62" s="109">
        <f>+'Meter Costs (370)'!G10</f>
        <v>991964</v>
      </c>
      <c r="I62" s="109">
        <f>+'Meter Costs (370)'!G12</f>
        <v>12233436</v>
      </c>
      <c r="J62" s="109">
        <f>+'Meter Costs (370)'!G13</f>
        <v>28682</v>
      </c>
      <c r="K62" s="109">
        <f>+'Meter Costs (370)'!G14</f>
        <v>4265921</v>
      </c>
      <c r="L62" s="425">
        <f>SUM('Meter Costs (370)'!G17:G19)</f>
        <v>977149</v>
      </c>
      <c r="M62" s="109">
        <f>SUM('Meter Costs (370)'!G15:G16)</f>
        <v>534206</v>
      </c>
      <c r="N62" s="109">
        <f>+'Meter Costs (370)'!G30</f>
        <v>30620.163265306124</v>
      </c>
      <c r="O62" s="109">
        <f>+'Meter Costs (370)'!G29</f>
        <v>719573.83673469396</v>
      </c>
      <c r="P62" s="109">
        <v>0</v>
      </c>
      <c r="Q62" s="109">
        <f>+'Meter Costs (370)'!G25</f>
        <v>253521</v>
      </c>
    </row>
    <row r="63" spans="1:17" x14ac:dyDescent="0.3">
      <c r="A63" s="114" t="str">
        <f>IF(A62="~","~","")</f>
        <v/>
      </c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</row>
    <row r="64" spans="1:17" x14ac:dyDescent="0.3">
      <c r="A64" s="65" t="s">
        <v>328</v>
      </c>
      <c r="B64" s="65" t="s">
        <v>329</v>
      </c>
      <c r="C64" s="109" t="s">
        <v>159</v>
      </c>
      <c r="D64" s="110"/>
      <c r="E64" s="111">
        <f t="shared" ref="E64:Q64" si="22">IF($D65=0,0,E65/$D65)</f>
        <v>0.86745968532344786</v>
      </c>
      <c r="F64" s="111">
        <f t="shared" si="22"/>
        <v>0.12794001245605024</v>
      </c>
      <c r="G64" s="111">
        <f t="shared" si="22"/>
        <v>4.530826243061707E-3</v>
      </c>
      <c r="H64" s="111">
        <f t="shared" si="22"/>
        <v>6.9475977440157616E-5</v>
      </c>
      <c r="I64" s="111">
        <f t="shared" si="22"/>
        <v>0</v>
      </c>
      <c r="J64" s="111">
        <f t="shared" si="22"/>
        <v>0</v>
      </c>
      <c r="K64" s="111">
        <f t="shared" si="22"/>
        <v>0</v>
      </c>
      <c r="L64" s="111">
        <f t="shared" si="22"/>
        <v>0</v>
      </c>
      <c r="M64" s="111">
        <f t="shared" si="22"/>
        <v>0</v>
      </c>
      <c r="N64" s="111">
        <f t="shared" si="22"/>
        <v>0</v>
      </c>
      <c r="O64" s="111">
        <f t="shared" si="22"/>
        <v>0</v>
      </c>
      <c r="P64" s="111">
        <f t="shared" si="22"/>
        <v>0</v>
      </c>
      <c r="Q64" s="111">
        <f t="shared" si="22"/>
        <v>0</v>
      </c>
    </row>
    <row r="65" spans="1:17" x14ac:dyDescent="0.3">
      <c r="A65" s="112" t="str">
        <f>IF(A64="~","~","")</f>
        <v/>
      </c>
      <c r="B65" s="113" t="s">
        <v>95</v>
      </c>
      <c r="C65" s="71"/>
      <c r="D65" s="109">
        <f>SUM(E65:Q65)</f>
        <v>403017</v>
      </c>
      <c r="E65" s="109">
        <f>+'Distribution Service (369)'!$B$11</f>
        <v>349601</v>
      </c>
      <c r="F65" s="109">
        <f>+'Distribution Service (369)'!$B$12</f>
        <v>51562</v>
      </c>
      <c r="G65" s="109">
        <f>SUM('Distribution Service (369)'!$B$13,'Distribution Service (369)'!$B$15)</f>
        <v>1826</v>
      </c>
      <c r="H65" s="109">
        <f>+'Distribution Service (369)'!$B$14</f>
        <v>28</v>
      </c>
      <c r="I65" s="109">
        <v>0</v>
      </c>
      <c r="J65" s="109">
        <v>0</v>
      </c>
      <c r="K65" s="109">
        <v>0</v>
      </c>
      <c r="L65" s="425">
        <v>0</v>
      </c>
      <c r="M65" s="109">
        <v>0</v>
      </c>
      <c r="N65" s="109">
        <v>0</v>
      </c>
      <c r="O65" s="109">
        <v>0</v>
      </c>
      <c r="P65" s="109">
        <v>0</v>
      </c>
      <c r="Q65" s="109">
        <v>0</v>
      </c>
    </row>
    <row r="66" spans="1:17" x14ac:dyDescent="0.3">
      <c r="A66" s="114" t="str">
        <f>IF(A91="~","~","")</f>
        <v/>
      </c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</row>
    <row r="67" spans="1:17" x14ac:dyDescent="0.3">
      <c r="A67" s="65" t="s">
        <v>330</v>
      </c>
      <c r="B67" s="65" t="s">
        <v>331</v>
      </c>
      <c r="C67" s="109" t="s">
        <v>159</v>
      </c>
      <c r="D67" s="110"/>
      <c r="E67" s="111">
        <f t="shared" ref="E67:Q67" si="23">IF($D68=0,0,E68/$D68)</f>
        <v>0.7303429587007737</v>
      </c>
      <c r="F67" s="111">
        <f t="shared" si="23"/>
        <v>0.11447772228662677</v>
      </c>
      <c r="G67" s="111">
        <f t="shared" si="23"/>
        <v>1.4681822696456839E-2</v>
      </c>
      <c r="H67" s="111">
        <f t="shared" si="23"/>
        <v>1.8637852716737259E-4</v>
      </c>
      <c r="I67" s="111">
        <f t="shared" si="23"/>
        <v>0</v>
      </c>
      <c r="J67" s="111">
        <f t="shared" si="23"/>
        <v>0</v>
      </c>
      <c r="K67" s="111">
        <f t="shared" si="23"/>
        <v>0</v>
      </c>
      <c r="L67" s="111">
        <f t="shared" si="23"/>
        <v>0</v>
      </c>
      <c r="M67" s="111">
        <f t="shared" si="23"/>
        <v>0</v>
      </c>
      <c r="N67" s="111">
        <f t="shared" si="23"/>
        <v>0</v>
      </c>
      <c r="O67" s="111">
        <f t="shared" si="23"/>
        <v>0</v>
      </c>
      <c r="P67" s="111">
        <f t="shared" si="23"/>
        <v>0.14031111778897534</v>
      </c>
      <c r="Q67" s="111">
        <f t="shared" si="23"/>
        <v>0</v>
      </c>
    </row>
    <row r="68" spans="1:17" x14ac:dyDescent="0.3">
      <c r="A68" s="112" t="str">
        <f>IF(A67="~","~","")</f>
        <v/>
      </c>
      <c r="B68" s="113" t="s">
        <v>95</v>
      </c>
      <c r="C68" s="71"/>
      <c r="D68" s="109">
        <f>SUM(E68:Q68)</f>
        <v>404799745.95307964</v>
      </c>
      <c r="E68" s="109">
        <f>+'Dist Transformer Plant (368)'!B10</f>
        <v>295642644.14069372</v>
      </c>
      <c r="F68" s="109">
        <f>+'Dist Transformer Plant (368)'!B11</f>
        <v>46340552.898913719</v>
      </c>
      <c r="G68" s="109">
        <f>+'Dist Transformer Plant (368)'!B12+'Dist Transformer Plant (368)'!B14</f>
        <v>5943198.0976538872</v>
      </c>
      <c r="H68" s="109">
        <f>+'Dist Transformer Plant (368)'!B13</f>
        <v>75445.980448461574</v>
      </c>
      <c r="I68" s="109">
        <v>0</v>
      </c>
      <c r="J68" s="109">
        <v>0</v>
      </c>
      <c r="K68" s="109">
        <v>0</v>
      </c>
      <c r="L68" s="425">
        <v>0</v>
      </c>
      <c r="M68" s="109">
        <v>0</v>
      </c>
      <c r="N68" s="109">
        <v>0</v>
      </c>
      <c r="O68" s="109">
        <v>0</v>
      </c>
      <c r="P68" s="109">
        <f>+'Dist Transformer Plant (368)'!B23</f>
        <v>56797904.835369848</v>
      </c>
      <c r="Q68" s="109">
        <v>0</v>
      </c>
    </row>
    <row r="69" spans="1:17" x14ac:dyDescent="0.3">
      <c r="A69" s="114" t="str">
        <f>IF(A145="~","~","")</f>
        <v/>
      </c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</row>
    <row r="70" spans="1:17" x14ac:dyDescent="0.3">
      <c r="A70" s="65" t="s">
        <v>332</v>
      </c>
      <c r="B70" s="65" t="s">
        <v>241</v>
      </c>
      <c r="C70" s="109" t="s">
        <v>159</v>
      </c>
      <c r="D70" s="110"/>
      <c r="E70" s="111">
        <f t="shared" ref="E70:Q70" si="24">IF($D71=0,0,E71/$D71)</f>
        <v>0.54322666992374935</v>
      </c>
      <c r="F70" s="111">
        <f t="shared" si="24"/>
        <v>0.13595951136629403</v>
      </c>
      <c r="G70" s="111">
        <f t="shared" si="24"/>
        <v>0.12919139296439253</v>
      </c>
      <c r="H70" s="111">
        <f t="shared" si="24"/>
        <v>7.8362252970076138E-2</v>
      </c>
      <c r="I70" s="111">
        <f t="shared" si="24"/>
        <v>5.2401597104590913E-2</v>
      </c>
      <c r="J70" s="111">
        <f t="shared" si="24"/>
        <v>1.2641383281744548E-4</v>
      </c>
      <c r="K70" s="111">
        <f t="shared" si="24"/>
        <v>5.2649899186179711E-3</v>
      </c>
      <c r="L70" s="111">
        <f t="shared" si="24"/>
        <v>2.2181334721432196E-2</v>
      </c>
      <c r="M70" s="111">
        <f t="shared" si="24"/>
        <v>2.0555141622087065E-2</v>
      </c>
      <c r="N70" s="111">
        <f t="shared" si="24"/>
        <v>0</v>
      </c>
      <c r="O70" s="111">
        <f t="shared" si="24"/>
        <v>3.8264658537263169E-3</v>
      </c>
      <c r="P70" s="111">
        <f t="shared" si="24"/>
        <v>8.743094789652758E-3</v>
      </c>
      <c r="Q70" s="111">
        <f t="shared" si="24"/>
        <v>1.611349325633476E-4</v>
      </c>
    </row>
    <row r="71" spans="1:17" x14ac:dyDescent="0.3">
      <c r="A71" s="112" t="str">
        <f>IF(A70="~","~","")</f>
        <v/>
      </c>
      <c r="B71" s="113" t="s">
        <v>95</v>
      </c>
      <c r="C71" s="71"/>
      <c r="D71" s="109">
        <f>SUM(E71:Q71)</f>
        <v>1963503474.8012619</v>
      </c>
      <c r="E71" s="109">
        <f>+'Proforma Revenue'!K9</f>
        <v>1066627454</v>
      </c>
      <c r="F71" s="109">
        <f>+'Proforma Revenue'!K13</f>
        <v>266956973</v>
      </c>
      <c r="G71" s="109">
        <f>SUM('Proforma Revenue'!K10,'Proforma Revenue'!K14,'Proforma Revenue'!K17)</f>
        <v>253667749</v>
      </c>
      <c r="H71" s="109">
        <f>SUM('Proforma Revenue'!K15:K16)</f>
        <v>153864556</v>
      </c>
      <c r="I71" s="109">
        <f>+'Proforma Revenue'!K20</f>
        <v>102890718</v>
      </c>
      <c r="J71" s="109">
        <f>+'Proforma Revenue'!K21</f>
        <v>248214</v>
      </c>
      <c r="K71" s="109">
        <f>+'Proforma Revenue'!K22</f>
        <v>10337826</v>
      </c>
      <c r="L71" s="425">
        <f>+'Proforma Revenue'!K25</f>
        <v>43553127.801261999</v>
      </c>
      <c r="M71" s="109">
        <f>+'Proforma Revenue'!K29</f>
        <v>40360092</v>
      </c>
      <c r="N71" s="109">
        <v>0</v>
      </c>
      <c r="O71" s="109">
        <f>+'Proforma Revenue'!K33</f>
        <v>7513279</v>
      </c>
      <c r="P71" s="109">
        <f>+'Proforma Revenue'!K31</f>
        <v>17167097</v>
      </c>
      <c r="Q71" s="109">
        <f>+'Proforma Revenue'!K37</f>
        <v>316389</v>
      </c>
    </row>
    <row r="72" spans="1:17" x14ac:dyDescent="0.3">
      <c r="A72" s="114" t="str">
        <f>IF(A71="~","~","")</f>
        <v/>
      </c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</row>
    <row r="73" spans="1:17" x14ac:dyDescent="0.3">
      <c r="A73" s="65" t="s">
        <v>333</v>
      </c>
      <c r="B73" s="65" t="s">
        <v>334</v>
      </c>
      <c r="C73" s="109" t="s">
        <v>159</v>
      </c>
      <c r="D73" s="110"/>
      <c r="E73" s="111">
        <f t="shared" ref="E73:Q73" si="25">IF($D74=0,0,E74/$D74)</f>
        <v>0.54531329261753336</v>
      </c>
      <c r="F73" s="111">
        <f t="shared" si="25"/>
        <v>0.13648175413816038</v>
      </c>
      <c r="G73" s="111">
        <f t="shared" si="25"/>
        <v>0.1296876382839364</v>
      </c>
      <c r="H73" s="111">
        <f t="shared" si="25"/>
        <v>7.8663255230157297E-2</v>
      </c>
      <c r="I73" s="111">
        <f t="shared" si="25"/>
        <v>5.2602880229597124E-2</v>
      </c>
      <c r="J73" s="111">
        <f t="shared" si="25"/>
        <v>1.2689940907312182E-4</v>
      </c>
      <c r="K73" s="111">
        <f t="shared" si="25"/>
        <v>5.2852136080187044E-3</v>
      </c>
      <c r="L73" s="111">
        <f t="shared" si="25"/>
        <v>2.2266536864424657E-2</v>
      </c>
      <c r="M73" s="111">
        <f t="shared" si="25"/>
        <v>2.0634097290792752E-2</v>
      </c>
      <c r="N73" s="111">
        <f t="shared" si="25"/>
        <v>0</v>
      </c>
      <c r="O73" s="111">
        <f t="shared" si="25"/>
        <v>0</v>
      </c>
      <c r="P73" s="111">
        <f t="shared" si="25"/>
        <v>8.7766784500510151E-3</v>
      </c>
      <c r="Q73" s="111">
        <f t="shared" si="25"/>
        <v>1.6175387825519892E-4</v>
      </c>
    </row>
    <row r="74" spans="1:17" x14ac:dyDescent="0.3">
      <c r="A74" s="112" t="str">
        <f>IF(A73="~","~","")</f>
        <v/>
      </c>
      <c r="B74" s="113" t="s">
        <v>95</v>
      </c>
      <c r="C74" s="71"/>
      <c r="D74" s="109">
        <f>SUM(E74:Q74)</f>
        <v>1955990195.8012619</v>
      </c>
      <c r="E74" s="109">
        <f>+E71</f>
        <v>1066627454</v>
      </c>
      <c r="F74" s="109">
        <f t="shared" ref="F74:Q74" si="26">+F71</f>
        <v>266956973</v>
      </c>
      <c r="G74" s="109">
        <f t="shared" si="26"/>
        <v>253667749</v>
      </c>
      <c r="H74" s="109">
        <f t="shared" si="26"/>
        <v>153864556</v>
      </c>
      <c r="I74" s="109">
        <f t="shared" si="26"/>
        <v>102890718</v>
      </c>
      <c r="J74" s="109">
        <f t="shared" si="26"/>
        <v>248214</v>
      </c>
      <c r="K74" s="109">
        <f t="shared" si="26"/>
        <v>10337826</v>
      </c>
      <c r="L74" s="425">
        <f t="shared" si="26"/>
        <v>43553127.801261999</v>
      </c>
      <c r="M74" s="109">
        <f t="shared" si="26"/>
        <v>40360092</v>
      </c>
      <c r="N74" s="109">
        <v>0</v>
      </c>
      <c r="O74" s="109">
        <v>0</v>
      </c>
      <c r="P74" s="109">
        <f t="shared" si="26"/>
        <v>17167097</v>
      </c>
      <c r="Q74" s="109">
        <f t="shared" si="26"/>
        <v>316389</v>
      </c>
    </row>
    <row r="75" spans="1:17" x14ac:dyDescent="0.3">
      <c r="A75" s="114" t="str">
        <f>IF(A74="~","~","")</f>
        <v/>
      </c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</row>
    <row r="76" spans="1:17" x14ac:dyDescent="0.3">
      <c r="A76" s="65" t="s">
        <v>335</v>
      </c>
      <c r="B76" s="65" t="s">
        <v>336</v>
      </c>
      <c r="C76" s="109" t="s">
        <v>159</v>
      </c>
      <c r="D76" s="110"/>
      <c r="E76" s="111">
        <f t="shared" ref="E76:Q76" si="27">IF($D77=0,0,E77/$D77)</f>
        <v>1</v>
      </c>
      <c r="F76" s="111">
        <f t="shared" si="27"/>
        <v>0</v>
      </c>
      <c r="G76" s="111">
        <f t="shared" si="27"/>
        <v>0</v>
      </c>
      <c r="H76" s="111">
        <f t="shared" si="27"/>
        <v>0</v>
      </c>
      <c r="I76" s="111">
        <f t="shared" si="27"/>
        <v>0</v>
      </c>
      <c r="J76" s="111">
        <f t="shared" si="27"/>
        <v>0</v>
      </c>
      <c r="K76" s="111">
        <f t="shared" si="27"/>
        <v>0</v>
      </c>
      <c r="L76" s="111">
        <f t="shared" si="27"/>
        <v>0</v>
      </c>
      <c r="M76" s="111">
        <f t="shared" si="27"/>
        <v>0</v>
      </c>
      <c r="N76" s="111">
        <f t="shared" si="27"/>
        <v>0</v>
      </c>
      <c r="O76" s="111">
        <f t="shared" si="27"/>
        <v>0</v>
      </c>
      <c r="P76" s="111">
        <f t="shared" si="27"/>
        <v>0</v>
      </c>
      <c r="Q76" s="111">
        <f t="shared" si="27"/>
        <v>0</v>
      </c>
    </row>
    <row r="77" spans="1:17" x14ac:dyDescent="0.3">
      <c r="A77" s="112" t="str">
        <f>IF(A76="~","~","")</f>
        <v/>
      </c>
      <c r="B77" s="113" t="s">
        <v>95</v>
      </c>
      <c r="C77" s="71"/>
      <c r="D77" s="109">
        <f>SUM(E77:Q77)</f>
        <v>1</v>
      </c>
      <c r="E77" s="109">
        <v>1</v>
      </c>
      <c r="F77" s="109">
        <v>0</v>
      </c>
      <c r="G77" s="109">
        <v>0</v>
      </c>
      <c r="H77" s="109">
        <v>0</v>
      </c>
      <c r="I77" s="109">
        <v>0</v>
      </c>
      <c r="J77" s="109">
        <v>0</v>
      </c>
      <c r="K77" s="109">
        <v>0</v>
      </c>
      <c r="L77" s="425">
        <v>0</v>
      </c>
      <c r="M77" s="109">
        <v>0</v>
      </c>
      <c r="N77" s="109">
        <v>0</v>
      </c>
      <c r="O77" s="109">
        <v>0</v>
      </c>
      <c r="P77" s="109">
        <v>0</v>
      </c>
      <c r="Q77" s="109">
        <v>0</v>
      </c>
    </row>
    <row r="78" spans="1:17" x14ac:dyDescent="0.3">
      <c r="A78" s="114" t="str">
        <f>IF(A77="~","~","")</f>
        <v/>
      </c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</row>
    <row r="79" spans="1:17" x14ac:dyDescent="0.3">
      <c r="A79" s="65" t="s">
        <v>337</v>
      </c>
      <c r="B79" s="65" t="s">
        <v>338</v>
      </c>
      <c r="C79" s="109" t="s">
        <v>159</v>
      </c>
      <c r="D79" s="110"/>
      <c r="E79" s="111">
        <f t="shared" ref="E79:Q79" si="28">IF($D80=0,0,E80/$D80)</f>
        <v>0.7355320996358401</v>
      </c>
      <c r="F79" s="111">
        <f t="shared" si="28"/>
        <v>0.14493820090527729</v>
      </c>
      <c r="G79" s="111">
        <f t="shared" si="28"/>
        <v>8.7743433698652465E-2</v>
      </c>
      <c r="H79" s="111">
        <f t="shared" si="28"/>
        <v>2.9422589225516247E-2</v>
      </c>
      <c r="I79" s="111">
        <f t="shared" si="28"/>
        <v>0</v>
      </c>
      <c r="J79" s="111">
        <f t="shared" si="28"/>
        <v>0</v>
      </c>
      <c r="K79" s="111">
        <f t="shared" si="28"/>
        <v>0</v>
      </c>
      <c r="L79" s="111">
        <f t="shared" si="28"/>
        <v>0</v>
      </c>
      <c r="M79" s="111">
        <f t="shared" si="28"/>
        <v>0</v>
      </c>
      <c r="N79" s="111">
        <f t="shared" si="28"/>
        <v>0</v>
      </c>
      <c r="O79" s="111">
        <f t="shared" si="28"/>
        <v>0</v>
      </c>
      <c r="P79" s="111">
        <f t="shared" si="28"/>
        <v>2.3045907603834585E-3</v>
      </c>
      <c r="Q79" s="111">
        <f t="shared" si="28"/>
        <v>5.9085774330539027E-5</v>
      </c>
    </row>
    <row r="80" spans="1:17" x14ac:dyDescent="0.3">
      <c r="A80" s="112" t="str">
        <f>IF(A79="~","~","")</f>
        <v/>
      </c>
      <c r="B80" s="113" t="s">
        <v>95</v>
      </c>
      <c r="C80" s="71"/>
      <c r="D80" s="109">
        <f>SUM(E80:Q80)</f>
        <v>491404408.74264705</v>
      </c>
      <c r="E80" s="109">
        <f>+'Dist Transformer Plant (368)'!E10</f>
        <v>361443716.53278774</v>
      </c>
      <c r="F80" s="109">
        <f>+'Dist Transformer Plant (368)'!E11</f>
        <v>71223270.920080781</v>
      </c>
      <c r="G80" s="109">
        <f>+'Dist Transformer Plant (368)'!E12+'Dist Transformer Plant (368)'!E14</f>
        <v>43117510.157735966</v>
      </c>
      <c r="H80" s="109">
        <f>+'Dist Transformer Plant (368)'!E13</f>
        <v>14458390.062042588</v>
      </c>
      <c r="I80" s="109">
        <v>0</v>
      </c>
      <c r="J80" s="109">
        <v>0</v>
      </c>
      <c r="K80" s="109">
        <v>0</v>
      </c>
      <c r="L80" s="425">
        <v>0</v>
      </c>
      <c r="M80" s="109">
        <v>0</v>
      </c>
      <c r="N80" s="109">
        <v>0</v>
      </c>
      <c r="O80" s="109">
        <v>0</v>
      </c>
      <c r="P80" s="109">
        <f>+'Dist Transformer Plant (368)'!E23</f>
        <v>1132486.0600000008</v>
      </c>
      <c r="Q80" s="109">
        <f>+'Dist Transformer Plant (368)'!E17</f>
        <v>29035.010000000002</v>
      </c>
    </row>
    <row r="81" spans="1:17" x14ac:dyDescent="0.3">
      <c r="A81" s="114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</row>
    <row r="82" spans="1:17" x14ac:dyDescent="0.3">
      <c r="A82" s="60"/>
      <c r="B82" s="64" t="s">
        <v>339</v>
      </c>
      <c r="C82" s="60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</row>
    <row r="83" spans="1:17" x14ac:dyDescent="0.3">
      <c r="A83" s="60"/>
      <c r="B83" s="58"/>
      <c r="C83" s="60"/>
      <c r="D83" s="60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</row>
    <row r="84" spans="1:17" x14ac:dyDescent="0.3">
      <c r="A84" s="65" t="s">
        <v>340</v>
      </c>
      <c r="B84" s="87" t="s">
        <v>341</v>
      </c>
      <c r="C84" s="109" t="s">
        <v>154</v>
      </c>
      <c r="D84" s="110"/>
      <c r="E84" s="111">
        <f t="shared" ref="E84:Q84" si="29">IF($D85=0,0,E85/$D85)</f>
        <v>0.59054453470709478</v>
      </c>
      <c r="F84" s="111">
        <f t="shared" si="29"/>
        <v>0.1090236794512251</v>
      </c>
      <c r="G84" s="111">
        <f t="shared" si="29"/>
        <v>9.8643943298113115E-2</v>
      </c>
      <c r="H84" s="111">
        <f t="shared" si="29"/>
        <v>5.8759799752939386E-2</v>
      </c>
      <c r="I84" s="111">
        <f t="shared" si="29"/>
        <v>3.9445807495527709E-2</v>
      </c>
      <c r="J84" s="111">
        <f t="shared" si="29"/>
        <v>1.0295037634579526E-6</v>
      </c>
      <c r="K84" s="111">
        <f t="shared" si="29"/>
        <v>6.4963881994430667E-3</v>
      </c>
      <c r="L84" s="111">
        <f t="shared" si="29"/>
        <v>1.8483472508227038E-2</v>
      </c>
      <c r="M84" s="111">
        <f t="shared" si="29"/>
        <v>1.7208056543194291E-2</v>
      </c>
      <c r="N84" s="111">
        <f t="shared" si="29"/>
        <v>2.9079445822931295E-3</v>
      </c>
      <c r="O84" s="111">
        <f t="shared" si="29"/>
        <v>5.4954733438636959E-2</v>
      </c>
      <c r="P84" s="111">
        <f t="shared" si="29"/>
        <v>3.1781838349294877E-3</v>
      </c>
      <c r="Q84" s="111">
        <f t="shared" si="29"/>
        <v>3.5242668461242012E-4</v>
      </c>
    </row>
    <row r="85" spans="1:17" x14ac:dyDescent="0.3">
      <c r="A85" s="112" t="str">
        <f>IF(A84="~","~","")</f>
        <v/>
      </c>
      <c r="B85" s="113" t="s">
        <v>95</v>
      </c>
      <c r="C85" s="71"/>
      <c r="D85" s="109">
        <f>SUM(E85:Q85)</f>
        <v>4147590.7055583242</v>
      </c>
      <c r="E85" s="109">
        <f>+'Load Research Data - Summary'!$E$9</f>
        <v>2449337.0233694115</v>
      </c>
      <c r="F85" s="109">
        <f>+'Load Research Data - Summary'!$E$10</f>
        <v>452185.59957767127</v>
      </c>
      <c r="G85" s="109">
        <f>+'Load Research Data - Summary'!$E$11</f>
        <v>409134.7023828763</v>
      </c>
      <c r="H85" s="109">
        <f>+'Load Research Data - Summary'!$E$12</f>
        <v>243711.59931575973</v>
      </c>
      <c r="I85" s="109">
        <f>+'Load Research Data - Summary'!$E$13</f>
        <v>163605.0645416936</v>
      </c>
      <c r="J85" s="109">
        <f>+'Load Research Data - Summary'!$E$14</f>
        <v>4.2699602406555197</v>
      </c>
      <c r="K85" s="109">
        <f>+'Load Research Data - Summary'!$E$15</f>
        <v>26944.35931570884</v>
      </c>
      <c r="L85" s="425">
        <f>+'Load Research Data - Summary'!$E$16</f>
        <v>76661.878781565261</v>
      </c>
      <c r="M85" s="109">
        <f>+'Load Research Data - Summary'!$E$17</f>
        <v>71371.975379274751</v>
      </c>
      <c r="N85" s="109">
        <f>+'Load Research Data - Summary'!$E$19</f>
        <v>12060.963921797667</v>
      </c>
      <c r="O85" s="109">
        <f>+'Load Research Data - Summary'!$E$20</f>
        <v>227929.7416365259</v>
      </c>
      <c r="P85" s="109">
        <f>+'Load Research Data - Summary'!$E$18</f>
        <v>13181.805734309255</v>
      </c>
      <c r="Q85" s="109">
        <f>+'Load Research Data - Summary'!$E$21</f>
        <v>1461.7216414892087</v>
      </c>
    </row>
    <row r="86" spans="1:17" x14ac:dyDescent="0.3">
      <c r="A86" s="114" t="str">
        <f>IF(A85="~","~","")</f>
        <v/>
      </c>
      <c r="B86" s="71"/>
      <c r="C86" s="71"/>
      <c r="D86" s="71"/>
      <c r="E86" s="71">
        <v>0</v>
      </c>
      <c r="F86" s="71">
        <v>0</v>
      </c>
      <c r="G86" s="71">
        <v>0</v>
      </c>
      <c r="H86" s="71">
        <v>0</v>
      </c>
      <c r="I86" s="71">
        <v>0</v>
      </c>
      <c r="J86" s="71">
        <v>0</v>
      </c>
      <c r="K86" s="71">
        <v>0</v>
      </c>
      <c r="L86" s="71">
        <v>0</v>
      </c>
      <c r="M86" s="71">
        <v>0</v>
      </c>
      <c r="N86" s="71">
        <v>0</v>
      </c>
      <c r="O86" s="71">
        <v>0</v>
      </c>
      <c r="P86" s="71">
        <v>0</v>
      </c>
      <c r="Q86" s="71">
        <v>0</v>
      </c>
    </row>
    <row r="87" spans="1:17" x14ac:dyDescent="0.3">
      <c r="A87" s="65" t="s">
        <v>342</v>
      </c>
      <c r="B87" s="87" t="s">
        <v>343</v>
      </c>
      <c r="C87" s="109" t="s">
        <v>154</v>
      </c>
      <c r="D87" s="110"/>
      <c r="E87" s="111">
        <f t="shared" ref="E87:Q87" si="30">IF($D88=0,0,E88/$D88)</f>
        <v>0.59512615902592947</v>
      </c>
      <c r="F87" s="111">
        <f t="shared" si="30"/>
        <v>0.10986951835370572</v>
      </c>
      <c r="G87" s="111">
        <f t="shared" si="30"/>
        <v>9.9409253046927493E-2</v>
      </c>
      <c r="H87" s="111">
        <f t="shared" si="30"/>
        <v>5.9215676171559456E-2</v>
      </c>
      <c r="I87" s="111">
        <f t="shared" si="30"/>
        <v>3.9751840081177194E-2</v>
      </c>
      <c r="J87" s="111">
        <f t="shared" si="30"/>
        <v>1.0374909671348612E-6</v>
      </c>
      <c r="K87" s="111">
        <f t="shared" si="30"/>
        <v>0</v>
      </c>
      <c r="L87" s="111">
        <f t="shared" si="30"/>
        <v>1.8626872916093325E-2</v>
      </c>
      <c r="M87" s="111">
        <f t="shared" si="30"/>
        <v>1.6130046546646987E-2</v>
      </c>
      <c r="N87" s="111">
        <f t="shared" si="30"/>
        <v>2.9305053018206855E-3</v>
      </c>
      <c r="O87" s="111">
        <f t="shared" si="30"/>
        <v>5.5381088994162372E-2</v>
      </c>
      <c r="P87" s="111">
        <f t="shared" si="30"/>
        <v>3.2028411528658269E-3</v>
      </c>
      <c r="Q87" s="111">
        <f t="shared" si="30"/>
        <v>3.551609181442357E-4</v>
      </c>
    </row>
    <row r="88" spans="1:17" x14ac:dyDescent="0.3">
      <c r="A88" s="112" t="str">
        <f>IF(A87="~","~","")</f>
        <v/>
      </c>
      <c r="B88" s="113" t="s">
        <v>95</v>
      </c>
      <c r="C88" s="71"/>
      <c r="D88" s="109">
        <f>SUM(E88:Q88)</f>
        <v>4115660.1608276716</v>
      </c>
      <c r="E88" s="109">
        <f>+'Load Research Data - Summary'!$F$9</f>
        <v>2449337.0233694115</v>
      </c>
      <c r="F88" s="109">
        <f>+'Load Research Data - Summary'!$F$10</f>
        <v>452185.59957767127</v>
      </c>
      <c r="G88" s="109">
        <f>+'Load Research Data - Summary'!$F$11</f>
        <v>409134.7023828763</v>
      </c>
      <c r="H88" s="109">
        <f>+'Load Research Data - Summary'!$F$12</f>
        <v>243711.59931575973</v>
      </c>
      <c r="I88" s="109">
        <f>+'Load Research Data - Summary'!$F$13</f>
        <v>163605.0645416936</v>
      </c>
      <c r="J88" s="109">
        <f>+'Load Research Data - Summary'!$F$14</f>
        <v>4.2699602406555197</v>
      </c>
      <c r="K88" s="109">
        <f>+'Load Research Data - Summary'!$F$15</f>
        <v>0</v>
      </c>
      <c r="L88" s="425">
        <f>+'Load Research Data - Summary'!$F$16</f>
        <v>76661.878781565261</v>
      </c>
      <c r="M88" s="109">
        <f>+'Load Research Data - Summary'!$F$17</f>
        <v>66385.789964330965</v>
      </c>
      <c r="N88" s="109">
        <f>+'Load Research Data - Summary'!$F$19</f>
        <v>12060.963921797667</v>
      </c>
      <c r="O88" s="109">
        <f>+'Load Research Data - Summary'!$F$20</f>
        <v>227929.7416365259</v>
      </c>
      <c r="P88" s="109">
        <f>+'Load Research Data - Summary'!$F$18</f>
        <v>13181.805734309255</v>
      </c>
      <c r="Q88" s="109">
        <f>+'Load Research Data - Summary'!$F$21</f>
        <v>1461.7216414892087</v>
      </c>
    </row>
    <row r="89" spans="1:17" x14ac:dyDescent="0.3">
      <c r="A89" s="114" t="str">
        <f>IF(A88="~","~","")</f>
        <v/>
      </c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</row>
    <row r="90" spans="1:17" x14ac:dyDescent="0.3">
      <c r="A90" s="65" t="s">
        <v>344</v>
      </c>
      <c r="B90" s="87" t="s">
        <v>345</v>
      </c>
      <c r="C90" s="109" t="s">
        <v>154</v>
      </c>
      <c r="D90" s="110"/>
      <c r="E90" s="111">
        <f t="shared" ref="E90:Q90" si="31">IF($D91=0,0,E91/$D91)</f>
        <v>0.6319777916146333</v>
      </c>
      <c r="F90" s="111">
        <f t="shared" si="31"/>
        <v>0.11667290123590934</v>
      </c>
      <c r="G90" s="111">
        <f t="shared" si="31"/>
        <v>0.10556491132818822</v>
      </c>
      <c r="H90" s="111">
        <f t="shared" si="31"/>
        <v>6.2882452213361528E-2</v>
      </c>
      <c r="I90" s="111">
        <f t="shared" si="31"/>
        <v>4.2213368923724043E-2</v>
      </c>
      <c r="J90" s="111">
        <f t="shared" si="31"/>
        <v>1.1017348847565147E-6</v>
      </c>
      <c r="K90" s="111">
        <f t="shared" si="31"/>
        <v>0</v>
      </c>
      <c r="L90" s="111">
        <f t="shared" si="31"/>
        <v>1.9780293357405908E-2</v>
      </c>
      <c r="M90" s="111">
        <f t="shared" si="31"/>
        <v>1.7128857538166224E-2</v>
      </c>
      <c r="N90" s="111">
        <f t="shared" si="31"/>
        <v>0</v>
      </c>
      <c r="O90" s="111">
        <f t="shared" si="31"/>
        <v>0</v>
      </c>
      <c r="P90" s="111">
        <f t="shared" si="31"/>
        <v>3.4011687236091075E-3</v>
      </c>
      <c r="Q90" s="111">
        <f t="shared" si="31"/>
        <v>3.7715333011742176E-4</v>
      </c>
    </row>
    <row r="91" spans="1:17" x14ac:dyDescent="0.3">
      <c r="A91" s="112" t="str">
        <f>IF(A90="~","~","")</f>
        <v/>
      </c>
      <c r="B91" s="113" t="s">
        <v>95</v>
      </c>
      <c r="C91" s="71"/>
      <c r="D91" s="109">
        <f>SUM(E91:Q91)</f>
        <v>3875669.4552693483</v>
      </c>
      <c r="E91" s="109">
        <f>+'Load Research Data - Summary'!$G$9</f>
        <v>2449337.0233694115</v>
      </c>
      <c r="F91" s="109">
        <f>+'Load Research Data - Summary'!$G$10</f>
        <v>452185.59957767127</v>
      </c>
      <c r="G91" s="109">
        <f>+'Load Research Data - Summary'!$G$11</f>
        <v>409134.7023828763</v>
      </c>
      <c r="H91" s="109">
        <f>+'Load Research Data - Summary'!$G$12</f>
        <v>243711.59931575973</v>
      </c>
      <c r="I91" s="109">
        <f>+'Load Research Data - Summary'!$G$13</f>
        <v>163605.0645416936</v>
      </c>
      <c r="J91" s="109">
        <f>+'Load Research Data - Summary'!$G$14</f>
        <v>4.2699602406555197</v>
      </c>
      <c r="K91" s="109">
        <f>+'Load Research Data - Summary'!$G$15</f>
        <v>0</v>
      </c>
      <c r="L91" s="425">
        <f>+'Load Research Data - Summary'!$G$16</f>
        <v>76661.878781565261</v>
      </c>
      <c r="M91" s="109">
        <f>+'Load Research Data - Summary'!$G$17</f>
        <v>66385.789964330965</v>
      </c>
      <c r="N91" s="109">
        <f>+'Load Research Data - Summary'!$G$19</f>
        <v>0</v>
      </c>
      <c r="O91" s="109">
        <f>+'Load Research Data - Summary'!$G$20</f>
        <v>0</v>
      </c>
      <c r="P91" s="109">
        <f>+'Load Research Data - Summary'!$G$18</f>
        <v>13181.805734309255</v>
      </c>
      <c r="Q91" s="109">
        <f>+'Load Research Data - Summary'!$G$21</f>
        <v>1461.7216414892087</v>
      </c>
    </row>
    <row r="92" spans="1:17" x14ac:dyDescent="0.3">
      <c r="A92" s="114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</row>
    <row r="93" spans="1:17" x14ac:dyDescent="0.3">
      <c r="A93" s="65" t="s">
        <v>346</v>
      </c>
      <c r="B93" s="87" t="s">
        <v>347</v>
      </c>
      <c r="C93" s="109" t="s">
        <v>154</v>
      </c>
      <c r="D93" s="110"/>
      <c r="E93" s="111">
        <f t="shared" ref="E93:Q93" si="32">IF($D94=0,0,E94/$D94)</f>
        <v>0.57390862226922457</v>
      </c>
      <c r="F93" s="111">
        <f t="shared" si="32"/>
        <v>0.11560496541001039</v>
      </c>
      <c r="G93" s="111">
        <f t="shared" si="32"/>
        <v>0.10811980141394911</v>
      </c>
      <c r="H93" s="111">
        <f t="shared" si="32"/>
        <v>6.2501310554834544E-2</v>
      </c>
      <c r="I93" s="111">
        <f t="shared" si="32"/>
        <v>4.2810169948941469E-2</v>
      </c>
      <c r="J93" s="111">
        <f t="shared" si="32"/>
        <v>9.658378403436802E-7</v>
      </c>
      <c r="K93" s="111">
        <f t="shared" si="32"/>
        <v>0</v>
      </c>
      <c r="L93" s="111">
        <f t="shared" si="32"/>
        <v>1.9216757937749462E-2</v>
      </c>
      <c r="M93" s="111">
        <f t="shared" si="32"/>
        <v>1.6052810859452493E-2</v>
      </c>
      <c r="N93" s="111">
        <f t="shared" si="32"/>
        <v>2.9664812711146186E-3</v>
      </c>
      <c r="O93" s="111">
        <f t="shared" si="32"/>
        <v>5.5161448863556055E-2</v>
      </c>
      <c r="P93" s="111">
        <f t="shared" si="32"/>
        <v>3.2909557007779469E-3</v>
      </c>
      <c r="Q93" s="111">
        <f t="shared" si="32"/>
        <v>3.6570993254894153E-4</v>
      </c>
    </row>
    <row r="94" spans="1:17" x14ac:dyDescent="0.3">
      <c r="A94" s="112" t="str">
        <f>IF(A93="~","~","")</f>
        <v/>
      </c>
      <c r="B94" s="113" t="s">
        <v>95</v>
      </c>
      <c r="C94" s="71"/>
      <c r="D94" s="109">
        <f>SUM(E94:Q94)</f>
        <v>4184918.5092511764</v>
      </c>
      <c r="E94" s="109">
        <f>+'Load Research Data - Summary'!H9</f>
        <v>2401760.8159533199</v>
      </c>
      <c r="F94" s="109">
        <f>+'Load Research Data - Summary'!H10</f>
        <v>483797.35950569448</v>
      </c>
      <c r="G94" s="109">
        <f>+'Load Research Data - Summary'!H11</f>
        <v>452472.55815379717</v>
      </c>
      <c r="H94" s="109">
        <f>+'Load Research Data - Summary'!H12</f>
        <v>261562.891393383</v>
      </c>
      <c r="I94" s="109">
        <f>+'Load Research Data - Summary'!H13</f>
        <v>179157.07260351363</v>
      </c>
      <c r="J94" s="109">
        <f>+'Load Research Data - Summary'!H14</f>
        <v>4.0419526549894496</v>
      </c>
      <c r="K94" s="109">
        <f>+'Load Research Data - Summary'!H15</f>
        <v>0</v>
      </c>
      <c r="L94" s="425">
        <f>+'Load Research Data - Summary'!H16</f>
        <v>80420.565981487191</v>
      </c>
      <c r="M94" s="109">
        <f>+'Load Research Data - Summary'!H17</f>
        <v>67179.705291231017</v>
      </c>
      <c r="N94" s="109">
        <f>+'Load Research Data - Summary'!H19</f>
        <v>12414.482378834524</v>
      </c>
      <c r="O94" s="109">
        <f>+'Load Research Data - Summary'!H20</f>
        <v>230846.168346208</v>
      </c>
      <c r="P94" s="109">
        <f>+'Load Research Data - Summary'!H18</f>
        <v>13772.381425311305</v>
      </c>
      <c r="Q94" s="109">
        <f>+'Load Research Data - Summary'!H21</f>
        <v>1530.4662657410647</v>
      </c>
    </row>
    <row r="95" spans="1:17" x14ac:dyDescent="0.3">
      <c r="A95" s="114" t="str">
        <f>IF(A94="~","~","")</f>
        <v/>
      </c>
      <c r="B95" s="71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</row>
    <row r="96" spans="1:17" x14ac:dyDescent="0.3">
      <c r="A96" s="65" t="s">
        <v>130</v>
      </c>
      <c r="B96" s="87" t="s">
        <v>348</v>
      </c>
      <c r="C96" s="109" t="s">
        <v>154</v>
      </c>
      <c r="D96" s="110"/>
      <c r="E96" s="111">
        <f t="shared" ref="E96:Q96" si="33">IF($D97=0,0,E97/$D97)</f>
        <v>0.60932757285316164</v>
      </c>
      <c r="F96" s="111">
        <f t="shared" si="33"/>
        <v>0.1227395621005513</v>
      </c>
      <c r="G96" s="111">
        <f t="shared" si="33"/>
        <v>0.11479244886134939</v>
      </c>
      <c r="H96" s="111">
        <f t="shared" si="33"/>
        <v>6.6358598534269203E-2</v>
      </c>
      <c r="I96" s="111">
        <f t="shared" si="33"/>
        <v>4.5452213011330241E-2</v>
      </c>
      <c r="J96" s="111">
        <f t="shared" si="33"/>
        <v>1.0254448255183715E-6</v>
      </c>
      <c r="K96" s="111">
        <f t="shared" si="33"/>
        <v>0</v>
      </c>
      <c r="L96" s="111">
        <f t="shared" si="33"/>
        <v>2.040272617967864E-2</v>
      </c>
      <c r="M96" s="111">
        <f t="shared" si="33"/>
        <v>1.7043515115325324E-2</v>
      </c>
      <c r="N96" s="111">
        <f t="shared" si="33"/>
        <v>0</v>
      </c>
      <c r="O96" s="111">
        <f t="shared" si="33"/>
        <v>0</v>
      </c>
      <c r="P96" s="111">
        <f t="shared" si="33"/>
        <v>3.4940580637968103E-3</v>
      </c>
      <c r="Q96" s="111">
        <f t="shared" si="33"/>
        <v>3.8827983571190452E-4</v>
      </c>
    </row>
    <row r="97" spans="1:17" x14ac:dyDescent="0.3">
      <c r="A97" s="112" t="str">
        <f>IF(A96="~","~","")</f>
        <v/>
      </c>
      <c r="B97" s="113" t="s">
        <v>95</v>
      </c>
      <c r="C97" s="71"/>
      <c r="D97" s="109">
        <f>SUM(E97:Q97)</f>
        <v>3941657.8585261339</v>
      </c>
      <c r="E97" s="109">
        <f>+'Load Research Data - Summary'!I9</f>
        <v>2401760.8159533199</v>
      </c>
      <c r="F97" s="109">
        <f>+'Load Research Data - Summary'!I10</f>
        <v>483797.35950569448</v>
      </c>
      <c r="G97" s="109">
        <f>+'Load Research Data - Summary'!I11</f>
        <v>452472.55815379717</v>
      </c>
      <c r="H97" s="109">
        <f>+'Load Research Data - Summary'!I12</f>
        <v>261562.891393383</v>
      </c>
      <c r="I97" s="109">
        <f>+'Load Research Data - Summary'!I13</f>
        <v>179157.07260351363</v>
      </c>
      <c r="J97" s="109">
        <f>+'Load Research Data - Summary'!I14</f>
        <v>4.0419526549894496</v>
      </c>
      <c r="K97" s="109">
        <f>+'Load Research Data - Summary'!I15</f>
        <v>0</v>
      </c>
      <c r="L97" s="425">
        <f>+'Load Research Data - Summary'!I16</f>
        <v>80420.565981487191</v>
      </c>
      <c r="M97" s="109">
        <f>+'Load Research Data - Summary'!I17</f>
        <v>67179.705291231017</v>
      </c>
      <c r="N97" s="109">
        <f>+'Load Research Data - Summary'!I19</f>
        <v>0</v>
      </c>
      <c r="O97" s="109">
        <f>+'Load Research Data - Summary'!I20</f>
        <v>0</v>
      </c>
      <c r="P97" s="109">
        <f>+'Load Research Data - Summary'!I18</f>
        <v>13772.381425311305</v>
      </c>
      <c r="Q97" s="109">
        <f>+'Load Research Data - Summary'!I21</f>
        <v>1530.4662657410647</v>
      </c>
    </row>
    <row r="98" spans="1:17" x14ac:dyDescent="0.3">
      <c r="A98" s="114" t="str">
        <f>IF(A97="~","~","")</f>
        <v/>
      </c>
      <c r="B98" s="71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</row>
    <row r="99" spans="1:17" x14ac:dyDescent="0.3">
      <c r="A99" s="65" t="s">
        <v>349</v>
      </c>
      <c r="B99" s="65" t="s">
        <v>350</v>
      </c>
      <c r="C99" s="109" t="s">
        <v>154</v>
      </c>
      <c r="D99" s="110"/>
      <c r="E99" s="111">
        <f t="shared" ref="E99:Q99" si="34">IF($D100=0,0,E100/$D100)</f>
        <v>0</v>
      </c>
      <c r="F99" s="111">
        <f t="shared" si="34"/>
        <v>0</v>
      </c>
      <c r="G99" s="111">
        <f t="shared" si="34"/>
        <v>0</v>
      </c>
      <c r="H99" s="111">
        <f t="shared" si="34"/>
        <v>0</v>
      </c>
      <c r="I99" s="111">
        <f t="shared" si="34"/>
        <v>0</v>
      </c>
      <c r="J99" s="111">
        <f t="shared" si="34"/>
        <v>0</v>
      </c>
      <c r="K99" s="111">
        <f t="shared" si="34"/>
        <v>0</v>
      </c>
      <c r="L99" s="111">
        <f t="shared" si="34"/>
        <v>0</v>
      </c>
      <c r="M99" s="111">
        <f t="shared" si="34"/>
        <v>1</v>
      </c>
      <c r="N99" s="111">
        <f t="shared" si="34"/>
        <v>0</v>
      </c>
      <c r="O99" s="111">
        <f t="shared" si="34"/>
        <v>0</v>
      </c>
      <c r="P99" s="111">
        <f t="shared" si="34"/>
        <v>0</v>
      </c>
      <c r="Q99" s="111">
        <f t="shared" si="34"/>
        <v>0</v>
      </c>
    </row>
    <row r="100" spans="1:17" x14ac:dyDescent="0.3">
      <c r="A100" s="112" t="str">
        <f>IF(A99="~","~","")</f>
        <v/>
      </c>
      <c r="B100" s="113" t="s">
        <v>95</v>
      </c>
      <c r="C100" s="71"/>
      <c r="D100" s="109">
        <f>SUM(E100:Q100)</f>
        <v>-10782.6924</v>
      </c>
      <c r="E100" s="109">
        <v>0</v>
      </c>
      <c r="F100" s="109">
        <v>0</v>
      </c>
      <c r="G100" s="109">
        <v>0</v>
      </c>
      <c r="H100" s="109">
        <v>0</v>
      </c>
      <c r="I100" s="109">
        <v>0</v>
      </c>
      <c r="J100" s="109">
        <v>0</v>
      </c>
      <c r="K100" s="109">
        <v>0</v>
      </c>
      <c r="L100" s="425">
        <v>0</v>
      </c>
      <c r="M100" s="109">
        <f>+'Dist Accum Depr (360-368)'!H9</f>
        <v>-10782.6924</v>
      </c>
      <c r="N100" s="109">
        <v>0</v>
      </c>
      <c r="O100" s="109">
        <v>0</v>
      </c>
      <c r="P100" s="109">
        <v>0</v>
      </c>
      <c r="Q100" s="109">
        <v>0</v>
      </c>
    </row>
    <row r="101" spans="1:17" x14ac:dyDescent="0.3">
      <c r="A101" s="114" t="str">
        <f>IF(A100="~","~","")</f>
        <v/>
      </c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</row>
    <row r="102" spans="1:17" x14ac:dyDescent="0.3">
      <c r="A102" s="65" t="s">
        <v>351</v>
      </c>
      <c r="B102" s="65" t="s">
        <v>352</v>
      </c>
      <c r="C102" s="109" t="s">
        <v>154</v>
      </c>
      <c r="D102" s="110"/>
      <c r="E102" s="111">
        <f t="shared" ref="E102:Q102" si="35">IF($D103=0,0,E103/$D103)</f>
        <v>0</v>
      </c>
      <c r="F102" s="111">
        <f t="shared" si="35"/>
        <v>0</v>
      </c>
      <c r="G102" s="111">
        <f t="shared" si="35"/>
        <v>0</v>
      </c>
      <c r="H102" s="111">
        <f t="shared" si="35"/>
        <v>0</v>
      </c>
      <c r="I102" s="111">
        <f t="shared" si="35"/>
        <v>4.4122052319006101E-2</v>
      </c>
      <c r="J102" s="111">
        <f t="shared" si="35"/>
        <v>0</v>
      </c>
      <c r="K102" s="111">
        <f t="shared" si="35"/>
        <v>0</v>
      </c>
      <c r="L102" s="111">
        <f t="shared" si="35"/>
        <v>0.32575311323847606</v>
      </c>
      <c r="M102" s="111">
        <f t="shared" si="35"/>
        <v>0.23542660417357666</v>
      </c>
      <c r="N102" s="111">
        <f t="shared" si="35"/>
        <v>0</v>
      </c>
      <c r="O102" s="111">
        <f t="shared" si="35"/>
        <v>0.39469823026894107</v>
      </c>
      <c r="P102" s="111">
        <f t="shared" si="35"/>
        <v>0</v>
      </c>
      <c r="Q102" s="111">
        <f t="shared" si="35"/>
        <v>0</v>
      </c>
    </row>
    <row r="103" spans="1:17" x14ac:dyDescent="0.3">
      <c r="A103" s="112" t="str">
        <f>IF(A102="~","~","")</f>
        <v/>
      </c>
      <c r="B103" s="113" t="s">
        <v>95</v>
      </c>
      <c r="C103" s="71"/>
      <c r="D103" s="109">
        <f>SUM(E103:Q103)</f>
        <v>-217582.35384405742</v>
      </c>
      <c r="E103" s="109">
        <v>0</v>
      </c>
      <c r="F103" s="109">
        <v>0</v>
      </c>
      <c r="G103" s="109">
        <v>0</v>
      </c>
      <c r="H103" s="109">
        <v>0</v>
      </c>
      <c r="I103" s="109">
        <f>+'Dist Accum Depr (360-368)'!D10</f>
        <v>-9600.18</v>
      </c>
      <c r="J103" s="109">
        <v>0</v>
      </c>
      <c r="K103" s="109">
        <v>0</v>
      </c>
      <c r="L103" s="425">
        <f>+'Dist Accum Depr (360-368)'!G10</f>
        <v>-70878.129150457404</v>
      </c>
      <c r="M103" s="109">
        <f>+'Dist Accum Depr (360-368)'!H10</f>
        <v>-51224.674693600005</v>
      </c>
      <c r="N103" s="109">
        <v>0</v>
      </c>
      <c r="O103" s="109">
        <f>+'Dist Accum Depr (360-368)'!I10</f>
        <v>-85879.37</v>
      </c>
      <c r="P103" s="109">
        <v>0</v>
      </c>
      <c r="Q103" s="109">
        <v>0</v>
      </c>
    </row>
    <row r="104" spans="1:17" x14ac:dyDescent="0.3">
      <c r="A104" s="114" t="str">
        <f>IF(A103="~","~","")</f>
        <v/>
      </c>
      <c r="B104" s="71"/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</row>
    <row r="105" spans="1:17" x14ac:dyDescent="0.3">
      <c r="A105" s="65" t="s">
        <v>353</v>
      </c>
      <c r="B105" s="65" t="s">
        <v>354</v>
      </c>
      <c r="C105" s="109" t="s">
        <v>154</v>
      </c>
      <c r="D105" s="110"/>
      <c r="E105" s="111">
        <f t="shared" ref="E105:Q105" si="36">IF($D106=0,0,E106/$D106)</f>
        <v>0</v>
      </c>
      <c r="F105" s="111">
        <f t="shared" si="36"/>
        <v>0</v>
      </c>
      <c r="G105" s="111">
        <f t="shared" si="36"/>
        <v>0</v>
      </c>
      <c r="H105" s="111">
        <f t="shared" si="36"/>
        <v>0</v>
      </c>
      <c r="I105" s="111">
        <f t="shared" si="36"/>
        <v>5.6366809669622014E-2</v>
      </c>
      <c r="J105" s="111">
        <f t="shared" si="36"/>
        <v>0</v>
      </c>
      <c r="K105" s="111">
        <f t="shared" si="36"/>
        <v>0</v>
      </c>
      <c r="L105" s="111">
        <f t="shared" si="36"/>
        <v>0.30583641084343094</v>
      </c>
      <c r="M105" s="111">
        <f t="shared" si="36"/>
        <v>0.34239195350038182</v>
      </c>
      <c r="N105" s="111">
        <f t="shared" si="36"/>
        <v>0</v>
      </c>
      <c r="O105" s="111">
        <f t="shared" si="36"/>
        <v>0.2954048259865652</v>
      </c>
      <c r="P105" s="111">
        <f t="shared" si="36"/>
        <v>0</v>
      </c>
      <c r="Q105" s="111">
        <f t="shared" si="36"/>
        <v>0</v>
      </c>
    </row>
    <row r="106" spans="1:17" x14ac:dyDescent="0.3">
      <c r="A106" s="112" t="str">
        <f>IF(A105="~","~","")</f>
        <v/>
      </c>
      <c r="B106" s="113" t="s">
        <v>95</v>
      </c>
      <c r="C106" s="71"/>
      <c r="D106" s="109">
        <f>SUM(E106:Q106)</f>
        <v>-11527122.038808076</v>
      </c>
      <c r="E106" s="109">
        <v>0</v>
      </c>
      <c r="F106" s="109">
        <v>0</v>
      </c>
      <c r="G106" s="109">
        <v>0</v>
      </c>
      <c r="H106" s="109">
        <v>0</v>
      </c>
      <c r="I106" s="109">
        <f>+'Dist Accum Depr (360-368)'!D11</f>
        <v>-649747.09400000004</v>
      </c>
      <c r="J106" s="109">
        <v>0</v>
      </c>
      <c r="K106" s="109">
        <v>0</v>
      </c>
      <c r="L106" s="425">
        <f>+'Dist Accum Depr (360-368)'!G11</f>
        <v>-3525413.6317032739</v>
      </c>
      <c r="M106" s="109">
        <f>+'Dist Accum Depr (360-368)'!H11</f>
        <v>-3946793.8331048009</v>
      </c>
      <c r="N106" s="109">
        <v>0</v>
      </c>
      <c r="O106" s="109">
        <f>SUM('Dist Accum Depr (360-368)'!I8,'Dist Accum Depr (360-368)'!I11)</f>
        <v>-3405167.48</v>
      </c>
      <c r="P106" s="109">
        <v>0</v>
      </c>
      <c r="Q106" s="109">
        <f>+'Dist Accum Depr (360-368)'!F11</f>
        <v>0</v>
      </c>
    </row>
    <row r="107" spans="1:17" x14ac:dyDescent="0.3">
      <c r="A107" s="114" t="str">
        <f>IF(A106="~","~","")</f>
        <v/>
      </c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</row>
    <row r="108" spans="1:17" x14ac:dyDescent="0.3">
      <c r="A108" s="65" t="s">
        <v>355</v>
      </c>
      <c r="B108" s="65" t="s">
        <v>356</v>
      </c>
      <c r="C108" s="109" t="s">
        <v>154</v>
      </c>
      <c r="D108" s="110"/>
      <c r="E108" s="111">
        <f t="shared" ref="E108:Q108" si="37">IF($D109=0,0,E109/$D109)</f>
        <v>0</v>
      </c>
      <c r="F108" s="111">
        <f t="shared" si="37"/>
        <v>0</v>
      </c>
      <c r="G108" s="111">
        <f t="shared" si="37"/>
        <v>0</v>
      </c>
      <c r="H108" s="111">
        <f t="shared" si="37"/>
        <v>0</v>
      </c>
      <c r="I108" s="111">
        <f t="shared" si="37"/>
        <v>0</v>
      </c>
      <c r="J108" s="111">
        <f t="shared" si="37"/>
        <v>0</v>
      </c>
      <c r="K108" s="111">
        <f t="shared" si="37"/>
        <v>0</v>
      </c>
      <c r="L108" s="111">
        <f t="shared" si="37"/>
        <v>1</v>
      </c>
      <c r="M108" s="111">
        <f t="shared" si="37"/>
        <v>0</v>
      </c>
      <c r="N108" s="111">
        <f t="shared" si="37"/>
        <v>0</v>
      </c>
      <c r="O108" s="111">
        <f t="shared" si="37"/>
        <v>0</v>
      </c>
      <c r="P108" s="111">
        <f t="shared" si="37"/>
        <v>0</v>
      </c>
      <c r="Q108" s="111">
        <f t="shared" si="37"/>
        <v>0</v>
      </c>
    </row>
    <row r="109" spans="1:17" x14ac:dyDescent="0.3">
      <c r="A109" s="112" t="str">
        <f>IF(A108="~","~","")</f>
        <v/>
      </c>
      <c r="B109" s="113" t="s">
        <v>95</v>
      </c>
      <c r="C109" s="71"/>
      <c r="D109" s="109">
        <f>SUM(E109:Q109)</f>
        <v>-1425400.0629863495</v>
      </c>
      <c r="E109" s="109">
        <v>0</v>
      </c>
      <c r="F109" s="109">
        <v>0</v>
      </c>
      <c r="G109" s="109">
        <v>0</v>
      </c>
      <c r="H109" s="109">
        <v>0</v>
      </c>
      <c r="I109" s="109">
        <v>0</v>
      </c>
      <c r="J109" s="109">
        <v>0</v>
      </c>
      <c r="K109" s="109">
        <v>0</v>
      </c>
      <c r="L109" s="425">
        <f>+'Dist Accum Depr (360-368)'!G12</f>
        <v>-1425400.0629863495</v>
      </c>
      <c r="M109" s="109">
        <v>0</v>
      </c>
      <c r="N109" s="109">
        <v>0</v>
      </c>
      <c r="O109" s="109">
        <v>0</v>
      </c>
      <c r="P109" s="109">
        <v>0</v>
      </c>
      <c r="Q109" s="109">
        <v>0</v>
      </c>
    </row>
    <row r="110" spans="1:17" x14ac:dyDescent="0.3">
      <c r="A110" s="114" t="str">
        <f>IF(A109="~","~","")</f>
        <v/>
      </c>
      <c r="B110" s="71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</row>
    <row r="111" spans="1:17" x14ac:dyDescent="0.3">
      <c r="A111" s="65" t="s">
        <v>357</v>
      </c>
      <c r="B111" s="65" t="s">
        <v>358</v>
      </c>
      <c r="C111" s="109" t="s">
        <v>154</v>
      </c>
      <c r="D111" s="110"/>
      <c r="E111" s="111">
        <f t="shared" ref="E111:Q111" si="38">IF($D112=0,0,E112/$D112)</f>
        <v>0</v>
      </c>
      <c r="F111" s="111">
        <f t="shared" si="38"/>
        <v>0</v>
      </c>
      <c r="G111" s="111">
        <f t="shared" si="38"/>
        <v>0</v>
      </c>
      <c r="H111" s="111">
        <f t="shared" si="38"/>
        <v>0</v>
      </c>
      <c r="I111" s="111">
        <f t="shared" si="38"/>
        <v>0</v>
      </c>
      <c r="J111" s="111">
        <f t="shared" si="38"/>
        <v>0</v>
      </c>
      <c r="K111" s="111">
        <f t="shared" si="38"/>
        <v>0</v>
      </c>
      <c r="L111" s="111">
        <f t="shared" si="38"/>
        <v>0.90899738273009567</v>
      </c>
      <c r="M111" s="111">
        <f t="shared" si="38"/>
        <v>9.1002617269904371E-2</v>
      </c>
      <c r="N111" s="111">
        <f t="shared" si="38"/>
        <v>0</v>
      </c>
      <c r="O111" s="111">
        <f t="shared" si="38"/>
        <v>0</v>
      </c>
      <c r="P111" s="111">
        <f t="shared" si="38"/>
        <v>0</v>
      </c>
      <c r="Q111" s="111">
        <f t="shared" si="38"/>
        <v>0</v>
      </c>
    </row>
    <row r="112" spans="1:17" x14ac:dyDescent="0.3">
      <c r="A112" s="112" t="str">
        <f>IF(A111="~","~","")</f>
        <v/>
      </c>
      <c r="B112" s="113" t="s">
        <v>95</v>
      </c>
      <c r="C112" s="71"/>
      <c r="D112" s="109">
        <f>SUM(E112:Q112)</f>
        <v>-17302931.116034426</v>
      </c>
      <c r="E112" s="109">
        <v>0</v>
      </c>
      <c r="F112" s="109">
        <v>0</v>
      </c>
      <c r="G112" s="109">
        <v>0</v>
      </c>
      <c r="H112" s="109">
        <v>0</v>
      </c>
      <c r="I112" s="109">
        <v>0</v>
      </c>
      <c r="J112" s="109">
        <v>0</v>
      </c>
      <c r="K112" s="109">
        <v>0</v>
      </c>
      <c r="L112" s="425">
        <f>+'Dist Accum Depr (360-368)'!G13</f>
        <v>-15728319.098034427</v>
      </c>
      <c r="M112" s="109">
        <f>+'Dist Accum Depr (360-368)'!H13</f>
        <v>-1574612.0180000002</v>
      </c>
      <c r="N112" s="109">
        <v>0</v>
      </c>
      <c r="O112" s="109">
        <v>0</v>
      </c>
      <c r="P112" s="109">
        <v>0</v>
      </c>
      <c r="Q112" s="109">
        <v>0</v>
      </c>
    </row>
    <row r="113" spans="1:17" x14ac:dyDescent="0.3">
      <c r="A113" s="114" t="str">
        <f>IF(A112="~","~","")</f>
        <v/>
      </c>
      <c r="B113" s="71"/>
      <c r="C113" s="71"/>
      <c r="D113" s="71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</row>
    <row r="114" spans="1:17" x14ac:dyDescent="0.3">
      <c r="A114" s="65" t="s">
        <v>359</v>
      </c>
      <c r="B114" s="65" t="s">
        <v>360</v>
      </c>
      <c r="C114" s="109" t="s">
        <v>154</v>
      </c>
      <c r="D114" s="110"/>
      <c r="E114" s="111">
        <f t="shared" ref="E114:Q114" si="39">IF($D115=0,0,E115/$D115)</f>
        <v>0</v>
      </c>
      <c r="F114" s="111">
        <f t="shared" si="39"/>
        <v>0</v>
      </c>
      <c r="G114" s="111">
        <f t="shared" si="39"/>
        <v>0</v>
      </c>
      <c r="H114" s="111">
        <f t="shared" si="39"/>
        <v>0</v>
      </c>
      <c r="I114" s="111">
        <f t="shared" si="39"/>
        <v>0</v>
      </c>
      <c r="J114" s="111">
        <f t="shared" si="39"/>
        <v>0</v>
      </c>
      <c r="K114" s="111">
        <f t="shared" si="39"/>
        <v>0</v>
      </c>
      <c r="L114" s="111">
        <f t="shared" si="39"/>
        <v>0.86164137366034721</v>
      </c>
      <c r="M114" s="111">
        <f t="shared" si="39"/>
        <v>0.13835862633965268</v>
      </c>
      <c r="N114" s="111">
        <f t="shared" si="39"/>
        <v>0</v>
      </c>
      <c r="O114" s="111">
        <f t="shared" si="39"/>
        <v>0</v>
      </c>
      <c r="P114" s="111">
        <f t="shared" si="39"/>
        <v>0</v>
      </c>
      <c r="Q114" s="111">
        <f t="shared" si="39"/>
        <v>0</v>
      </c>
    </row>
    <row r="115" spans="1:17" x14ac:dyDescent="0.3">
      <c r="A115" s="112" t="str">
        <f>IF(A114="~","~","")</f>
        <v/>
      </c>
      <c r="B115" s="113" t="s">
        <v>95</v>
      </c>
      <c r="C115" s="71"/>
      <c r="D115" s="109">
        <f>SUM(E115:Q115)</f>
        <v>5368160.9644597787</v>
      </c>
      <c r="E115" s="109">
        <v>0</v>
      </c>
      <c r="F115" s="109">
        <v>0</v>
      </c>
      <c r="G115" s="109">
        <v>0</v>
      </c>
      <c r="H115" s="109">
        <v>0</v>
      </c>
      <c r="I115" s="109">
        <v>0</v>
      </c>
      <c r="J115" s="109">
        <v>0</v>
      </c>
      <c r="K115" s="109">
        <v>0</v>
      </c>
      <c r="L115" s="425">
        <f>+'Dist Plant (360-368)'!G10</f>
        <v>4625429.5874469783</v>
      </c>
      <c r="M115" s="109">
        <f>+'Dist Plant (360-368)'!H10</f>
        <v>742731.37701280008</v>
      </c>
      <c r="N115" s="109">
        <v>0</v>
      </c>
      <c r="O115" s="109">
        <v>0</v>
      </c>
      <c r="P115" s="109">
        <v>0</v>
      </c>
      <c r="Q115" s="109">
        <v>0</v>
      </c>
    </row>
    <row r="116" spans="1:17" x14ac:dyDescent="0.3">
      <c r="A116" s="114" t="str">
        <f>IF(A115="~","~","")</f>
        <v/>
      </c>
      <c r="B116" s="71"/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</row>
    <row r="117" spans="1:17" x14ac:dyDescent="0.3">
      <c r="A117" s="65" t="s">
        <v>361</v>
      </c>
      <c r="B117" s="65" t="s">
        <v>362</v>
      </c>
      <c r="C117" s="109" t="s">
        <v>154</v>
      </c>
      <c r="D117" s="110"/>
      <c r="E117" s="111">
        <f t="shared" ref="E117:Q117" si="40">IF($D118=0,0,E118/$D118)</f>
        <v>0</v>
      </c>
      <c r="F117" s="111">
        <f t="shared" si="40"/>
        <v>0</v>
      </c>
      <c r="G117" s="111">
        <f t="shared" si="40"/>
        <v>0</v>
      </c>
      <c r="H117" s="111">
        <f t="shared" si="40"/>
        <v>0</v>
      </c>
      <c r="I117" s="111">
        <f t="shared" si="40"/>
        <v>0</v>
      </c>
      <c r="J117" s="111">
        <f t="shared" si="40"/>
        <v>0</v>
      </c>
      <c r="K117" s="111">
        <f t="shared" si="40"/>
        <v>0</v>
      </c>
      <c r="L117" s="111">
        <f t="shared" si="40"/>
        <v>0.48912082415211461</v>
      </c>
      <c r="M117" s="111">
        <f t="shared" si="40"/>
        <v>0.23378117590476657</v>
      </c>
      <c r="N117" s="111">
        <f t="shared" si="40"/>
        <v>0</v>
      </c>
      <c r="O117" s="111">
        <f t="shared" si="40"/>
        <v>0.27709799994311884</v>
      </c>
      <c r="P117" s="111">
        <f t="shared" si="40"/>
        <v>0</v>
      </c>
      <c r="Q117" s="111">
        <f t="shared" si="40"/>
        <v>0</v>
      </c>
    </row>
    <row r="118" spans="1:17" x14ac:dyDescent="0.3">
      <c r="A118" s="112" t="str">
        <f>IF(A117="~","~","")</f>
        <v/>
      </c>
      <c r="B118" s="113" t="s">
        <v>95</v>
      </c>
      <c r="C118" s="71"/>
      <c r="D118" s="109">
        <f>SUM(E118:Q118)</f>
        <v>696660.6761493294</v>
      </c>
      <c r="E118" s="109">
        <v>0</v>
      </c>
      <c r="F118" s="109">
        <v>0</v>
      </c>
      <c r="G118" s="109">
        <v>0</v>
      </c>
      <c r="H118" s="109">
        <v>0</v>
      </c>
      <c r="I118" s="109">
        <v>0</v>
      </c>
      <c r="J118" s="109">
        <v>0</v>
      </c>
      <c r="K118" s="109">
        <v>0</v>
      </c>
      <c r="L118" s="425">
        <f>+'Dist Plant (360-368)'!G11</f>
        <v>340751.24407252943</v>
      </c>
      <c r="M118" s="109">
        <f>+'Dist Plant (360-368)'!H11</f>
        <v>162866.1520768</v>
      </c>
      <c r="N118" s="109">
        <v>0</v>
      </c>
      <c r="O118" s="109">
        <f>+'Dist Plant (360-368)'!I11</f>
        <v>193043.28</v>
      </c>
      <c r="P118" s="109">
        <v>0</v>
      </c>
      <c r="Q118" s="109">
        <v>0</v>
      </c>
    </row>
    <row r="119" spans="1:17" x14ac:dyDescent="0.3">
      <c r="A119" s="114" t="str">
        <f>IF(A118="~","~","")</f>
        <v/>
      </c>
      <c r="B119" s="71"/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</row>
    <row r="120" spans="1:17" x14ac:dyDescent="0.3">
      <c r="A120" s="65" t="s">
        <v>363</v>
      </c>
      <c r="B120" s="65" t="s">
        <v>364</v>
      </c>
      <c r="C120" s="109" t="s">
        <v>154</v>
      </c>
      <c r="D120" s="110"/>
      <c r="E120" s="111">
        <f t="shared" ref="E120:Q120" si="41">IF($D121=0,0,E121/$D121)</f>
        <v>0</v>
      </c>
      <c r="F120" s="111">
        <f t="shared" si="41"/>
        <v>0</v>
      </c>
      <c r="G120" s="111">
        <f t="shared" si="41"/>
        <v>0</v>
      </c>
      <c r="H120" s="111">
        <f t="shared" si="41"/>
        <v>0</v>
      </c>
      <c r="I120" s="111">
        <f t="shared" si="41"/>
        <v>2.1697741727582247E-2</v>
      </c>
      <c r="J120" s="111">
        <f t="shared" si="41"/>
        <v>0</v>
      </c>
      <c r="K120" s="111">
        <f t="shared" si="41"/>
        <v>0</v>
      </c>
      <c r="L120" s="111">
        <f t="shared" si="41"/>
        <v>0.38636121624925895</v>
      </c>
      <c r="M120" s="111">
        <f t="shared" si="41"/>
        <v>0.40463504068363959</v>
      </c>
      <c r="N120" s="111">
        <f t="shared" si="41"/>
        <v>0</v>
      </c>
      <c r="O120" s="111">
        <f t="shared" si="41"/>
        <v>0.18730600133951913</v>
      </c>
      <c r="P120" s="111">
        <f t="shared" si="41"/>
        <v>0</v>
      </c>
      <c r="Q120" s="111">
        <f t="shared" si="41"/>
        <v>0</v>
      </c>
    </row>
    <row r="121" spans="1:17" x14ac:dyDescent="0.3">
      <c r="A121" s="112" t="str">
        <f>IF(A120="~","~","")</f>
        <v/>
      </c>
      <c r="B121" s="113" t="s">
        <v>95</v>
      </c>
      <c r="C121" s="71"/>
      <c r="D121" s="109">
        <f>SUM(E121:Q121)</f>
        <v>35683633.611315653</v>
      </c>
      <c r="E121" s="109">
        <v>0</v>
      </c>
      <c r="F121" s="109">
        <v>0</v>
      </c>
      <c r="G121" s="109">
        <v>0</v>
      </c>
      <c r="H121" s="109">
        <v>0</v>
      </c>
      <c r="I121" s="109">
        <f>+'Dist Plant (360-368)'!D12</f>
        <v>774254.26600000006</v>
      </c>
      <c r="J121" s="109">
        <v>0</v>
      </c>
      <c r="K121" s="109">
        <v>0</v>
      </c>
      <c r="L121" s="425">
        <f>+'Dist Plant (360-368)'!G12</f>
        <v>13786772.082260853</v>
      </c>
      <c r="M121" s="109">
        <f>+'Dist Plant (360-368)'!H12</f>
        <v>14438848.538054798</v>
      </c>
      <c r="N121" s="109">
        <v>0</v>
      </c>
      <c r="O121" s="109">
        <f>SUM('Dist Plant (360-368)'!I9,'Dist Plant (360-368)'!I12)</f>
        <v>6683758.7249999996</v>
      </c>
      <c r="P121" s="109">
        <v>0</v>
      </c>
      <c r="Q121" s="109">
        <v>0</v>
      </c>
    </row>
    <row r="122" spans="1:17" x14ac:dyDescent="0.3">
      <c r="A122" s="114" t="str">
        <f>IF(A121="~","~","")</f>
        <v/>
      </c>
      <c r="B122" s="71"/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</row>
    <row r="123" spans="1:17" x14ac:dyDescent="0.3">
      <c r="A123" s="65" t="s">
        <v>365</v>
      </c>
      <c r="B123" s="65" t="s">
        <v>366</v>
      </c>
      <c r="C123" s="109" t="s">
        <v>154</v>
      </c>
      <c r="D123" s="110"/>
      <c r="E123" s="111">
        <f t="shared" ref="E123:Q123" si="42">IF($D124=0,0,E124/$D124)</f>
        <v>0</v>
      </c>
      <c r="F123" s="111">
        <f t="shared" si="42"/>
        <v>0</v>
      </c>
      <c r="G123" s="111">
        <f t="shared" si="42"/>
        <v>0</v>
      </c>
      <c r="H123" s="111">
        <f t="shared" si="42"/>
        <v>0</v>
      </c>
      <c r="I123" s="111">
        <f t="shared" si="42"/>
        <v>0</v>
      </c>
      <c r="J123" s="111">
        <f t="shared" si="42"/>
        <v>0</v>
      </c>
      <c r="K123" s="111">
        <f t="shared" si="42"/>
        <v>0</v>
      </c>
      <c r="L123" s="111">
        <f t="shared" si="42"/>
        <v>1</v>
      </c>
      <c r="M123" s="111">
        <f t="shared" si="42"/>
        <v>0</v>
      </c>
      <c r="N123" s="111">
        <f t="shared" si="42"/>
        <v>0</v>
      </c>
      <c r="O123" s="111">
        <f t="shared" si="42"/>
        <v>0</v>
      </c>
      <c r="P123" s="111">
        <f t="shared" si="42"/>
        <v>0</v>
      </c>
      <c r="Q123" s="111">
        <f t="shared" si="42"/>
        <v>0</v>
      </c>
    </row>
    <row r="124" spans="1:17" x14ac:dyDescent="0.3">
      <c r="A124" s="112" t="str">
        <f>IF(A123="~","~","")</f>
        <v/>
      </c>
      <c r="B124" s="113" t="s">
        <v>95</v>
      </c>
      <c r="C124" s="71"/>
      <c r="D124" s="109">
        <f>SUM(E124:Q124)</f>
        <v>1570594.1159978251</v>
      </c>
      <c r="E124" s="109">
        <v>0</v>
      </c>
      <c r="F124" s="109">
        <v>0</v>
      </c>
      <c r="G124" s="109">
        <v>0</v>
      </c>
      <c r="H124" s="109">
        <v>0</v>
      </c>
      <c r="I124" s="109">
        <v>0</v>
      </c>
      <c r="J124" s="109">
        <v>0</v>
      </c>
      <c r="K124" s="109">
        <v>0</v>
      </c>
      <c r="L124" s="425">
        <f>+'Dist Plant (360-368)'!G13</f>
        <v>1570594.1159978251</v>
      </c>
      <c r="M124" s="109">
        <v>0</v>
      </c>
      <c r="N124" s="109">
        <v>0</v>
      </c>
      <c r="O124" s="109">
        <v>0</v>
      </c>
      <c r="P124" s="109">
        <v>0</v>
      </c>
      <c r="Q124" s="109">
        <v>0</v>
      </c>
    </row>
    <row r="125" spans="1:17" x14ac:dyDescent="0.3">
      <c r="A125" s="114" t="str">
        <f>IF(A124="~","~","")</f>
        <v/>
      </c>
      <c r="B125" s="71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</row>
    <row r="126" spans="1:17" x14ac:dyDescent="0.3">
      <c r="A126" s="65" t="s">
        <v>367</v>
      </c>
      <c r="B126" s="65" t="s">
        <v>358</v>
      </c>
      <c r="C126" s="109" t="s">
        <v>154</v>
      </c>
      <c r="D126" s="110"/>
      <c r="E126" s="111">
        <f t="shared" ref="E126:Q126" si="43">IF($D127=0,0,E127/$D127)</f>
        <v>0</v>
      </c>
      <c r="F126" s="111">
        <f t="shared" si="43"/>
        <v>0</v>
      </c>
      <c r="G126" s="111">
        <f t="shared" si="43"/>
        <v>0</v>
      </c>
      <c r="H126" s="111">
        <f t="shared" si="43"/>
        <v>0</v>
      </c>
      <c r="I126" s="111">
        <f t="shared" si="43"/>
        <v>0</v>
      </c>
      <c r="J126" s="111">
        <f t="shared" si="43"/>
        <v>0</v>
      </c>
      <c r="K126" s="111">
        <f t="shared" si="43"/>
        <v>0</v>
      </c>
      <c r="L126" s="111">
        <f t="shared" si="43"/>
        <v>0.7965807213290067</v>
      </c>
      <c r="M126" s="111">
        <f t="shared" si="43"/>
        <v>0.2034192786709933</v>
      </c>
      <c r="N126" s="111">
        <f t="shared" si="43"/>
        <v>0</v>
      </c>
      <c r="O126" s="111">
        <f t="shared" si="43"/>
        <v>0</v>
      </c>
      <c r="P126" s="111">
        <f t="shared" si="43"/>
        <v>0</v>
      </c>
      <c r="Q126" s="111">
        <f t="shared" si="43"/>
        <v>0</v>
      </c>
    </row>
    <row r="127" spans="1:17" x14ac:dyDescent="0.3">
      <c r="A127" s="112" t="str">
        <f>IF(A126="~","~","")</f>
        <v/>
      </c>
      <c r="B127" s="113" t="s">
        <v>95</v>
      </c>
      <c r="C127" s="71"/>
      <c r="D127" s="109">
        <f>SUM(E127:Q127)</f>
        <v>32721604.036191806</v>
      </c>
      <c r="E127" s="109">
        <v>0</v>
      </c>
      <c r="F127" s="109">
        <v>0</v>
      </c>
      <c r="G127" s="109">
        <v>0</v>
      </c>
      <c r="H127" s="109">
        <v>0</v>
      </c>
      <c r="I127" s="109">
        <v>0</v>
      </c>
      <c r="J127" s="109">
        <v>0</v>
      </c>
      <c r="K127" s="109">
        <v>0</v>
      </c>
      <c r="L127" s="425">
        <f>+'Dist Plant (360-368)'!G14</f>
        <v>26065398.946191806</v>
      </c>
      <c r="M127" s="109">
        <f>+'Dist Plant (360-368)'!H14</f>
        <v>6656205.0899999999</v>
      </c>
      <c r="N127" s="109">
        <v>0</v>
      </c>
      <c r="O127" s="109">
        <v>0</v>
      </c>
      <c r="P127" s="109">
        <v>0</v>
      </c>
      <c r="Q127" s="109">
        <v>0</v>
      </c>
    </row>
    <row r="128" spans="1:17" x14ac:dyDescent="0.3">
      <c r="A128" s="114" t="str">
        <f>IF(A127="~","~","")</f>
        <v/>
      </c>
      <c r="B128" s="71"/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</row>
    <row r="129" spans="1:17" x14ac:dyDescent="0.3">
      <c r="A129" s="65" t="s">
        <v>368</v>
      </c>
      <c r="B129" s="65" t="s">
        <v>369</v>
      </c>
      <c r="C129" s="109" t="s">
        <v>154</v>
      </c>
      <c r="D129" s="110"/>
      <c r="E129" s="111">
        <f t="shared" ref="E129:Q129" si="44">IF($D130=0,0,E130/$D130)</f>
        <v>0</v>
      </c>
      <c r="F129" s="111">
        <f t="shared" si="44"/>
        <v>0</v>
      </c>
      <c r="G129" s="111">
        <f t="shared" si="44"/>
        <v>0</v>
      </c>
      <c r="H129" s="111">
        <f t="shared" si="44"/>
        <v>0</v>
      </c>
      <c r="I129" s="111">
        <f t="shared" si="44"/>
        <v>0.27490396581130677</v>
      </c>
      <c r="J129" s="111">
        <f t="shared" si="44"/>
        <v>0</v>
      </c>
      <c r="K129" s="111">
        <f t="shared" si="44"/>
        <v>1.5964816040545612E-2</v>
      </c>
      <c r="L129" s="111">
        <f t="shared" si="44"/>
        <v>0.70257724999953963</v>
      </c>
      <c r="M129" s="111">
        <f t="shared" si="44"/>
        <v>0</v>
      </c>
      <c r="N129" s="111">
        <f t="shared" si="44"/>
        <v>0</v>
      </c>
      <c r="O129" s="111">
        <f t="shared" si="44"/>
        <v>0</v>
      </c>
      <c r="P129" s="111">
        <f t="shared" si="44"/>
        <v>0</v>
      </c>
      <c r="Q129" s="111">
        <f t="shared" si="44"/>
        <v>6.5539681486079552E-3</v>
      </c>
    </row>
    <row r="130" spans="1:17" x14ac:dyDescent="0.3">
      <c r="A130" s="112" t="str">
        <f>IF(A129="~","~","")</f>
        <v/>
      </c>
      <c r="B130" s="113" t="s">
        <v>95</v>
      </c>
      <c r="C130" s="71"/>
      <c r="D130" s="109">
        <f>SUM(E130:Q130)</f>
        <v>2959610.0500000003</v>
      </c>
      <c r="E130" s="109">
        <v>0</v>
      </c>
      <c r="F130" s="109">
        <v>0</v>
      </c>
      <c r="G130" s="109">
        <v>0</v>
      </c>
      <c r="H130" s="109">
        <v>0</v>
      </c>
      <c r="I130" s="109">
        <f>SUM('Dist Plant (360-368)'!D15:D16)</f>
        <v>813608.53999999992</v>
      </c>
      <c r="J130" s="109">
        <v>0</v>
      </c>
      <c r="K130" s="109">
        <f>SUM('Dist Plant (360-368)'!E15:E16)</f>
        <v>47249.630000000005</v>
      </c>
      <c r="L130" s="425">
        <f>SUM('Dist Plant (360-368)'!G15:G16)</f>
        <v>2079354.6900000002</v>
      </c>
      <c r="M130" s="109">
        <v>0</v>
      </c>
      <c r="N130" s="109">
        <v>0</v>
      </c>
      <c r="O130" s="109">
        <v>0</v>
      </c>
      <c r="P130" s="109">
        <v>0</v>
      </c>
      <c r="Q130" s="109">
        <f>SUM('Dist Plant (360-368)'!F15:F16)</f>
        <v>19397.189999999999</v>
      </c>
    </row>
    <row r="131" spans="1:17" x14ac:dyDescent="0.3">
      <c r="A131" s="114" t="str">
        <f>IF(A130="~","~","")</f>
        <v/>
      </c>
      <c r="B131" s="71"/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</row>
    <row r="132" spans="1:17" x14ac:dyDescent="0.3">
      <c r="A132" s="65" t="s">
        <v>370</v>
      </c>
      <c r="B132" s="65" t="s">
        <v>371</v>
      </c>
      <c r="C132" s="109" t="s">
        <v>154</v>
      </c>
      <c r="D132" s="110"/>
      <c r="E132" s="111">
        <f t="shared" ref="E132:Q132" si="45">IF($D133=0,0,E133/$D133)</f>
        <v>0.40940547241121222</v>
      </c>
      <c r="F132" s="111">
        <f t="shared" si="45"/>
        <v>0.16007715671561679</v>
      </c>
      <c r="G132" s="111">
        <f t="shared" si="45"/>
        <v>0.20137341655772095</v>
      </c>
      <c r="H132" s="111">
        <f t="shared" si="45"/>
        <v>0.114339142974466</v>
      </c>
      <c r="I132" s="111">
        <f t="shared" si="45"/>
        <v>0.10845052794618527</v>
      </c>
      <c r="J132" s="111">
        <f t="shared" si="45"/>
        <v>2.0303186836565064E-5</v>
      </c>
      <c r="K132" s="111">
        <f t="shared" si="45"/>
        <v>5.441676255668629E-3</v>
      </c>
      <c r="L132" s="111">
        <f t="shared" si="45"/>
        <v>0</v>
      </c>
      <c r="M132" s="111">
        <f t="shared" si="45"/>
        <v>0</v>
      </c>
      <c r="N132" s="111">
        <f t="shared" si="45"/>
        <v>0</v>
      </c>
      <c r="O132" s="111">
        <f t="shared" si="45"/>
        <v>0</v>
      </c>
      <c r="P132" s="111">
        <f t="shared" si="45"/>
        <v>8.2621304920744076E-4</v>
      </c>
      <c r="Q132" s="111">
        <f t="shared" si="45"/>
        <v>6.6090903086134288E-5</v>
      </c>
    </row>
    <row r="133" spans="1:17" x14ac:dyDescent="0.3">
      <c r="A133" s="112" t="str">
        <f>IF(A132="~","~","")</f>
        <v/>
      </c>
      <c r="B133" s="113" t="s">
        <v>95</v>
      </c>
      <c r="C133" s="71"/>
      <c r="D133" s="109">
        <f>SUM(E133:Q133)</f>
        <v>26055023</v>
      </c>
      <c r="E133" s="109">
        <f>+'NCP Dist Plant (360-362)'!$B$20</f>
        <v>10667069</v>
      </c>
      <c r="F133" s="109">
        <f>+'NCP Dist Plant (360-362)'!$B$11</f>
        <v>4170814</v>
      </c>
      <c r="G133" s="109">
        <f>+'NCP Dist Plant (360-362)'!$B$12+'NCP Dist Plant (360-362)'!$B$14</f>
        <v>5246789</v>
      </c>
      <c r="H133" s="109">
        <f>+'NCP Dist Plant (360-362)'!$B$13</f>
        <v>2979109</v>
      </c>
      <c r="I133" s="109">
        <f>+'NCP Dist Plant (360-362)'!$B$15</f>
        <v>2825681</v>
      </c>
      <c r="J133" s="109">
        <f>+'NCP Dist Plant (360-362)'!$B$16</f>
        <v>529</v>
      </c>
      <c r="K133" s="109">
        <f>+'NCP Dist Plant (360-362)'!$B$18</f>
        <v>141783</v>
      </c>
      <c r="L133" s="425">
        <v>0</v>
      </c>
      <c r="M133" s="109">
        <v>0</v>
      </c>
      <c r="N133" s="109">
        <v>0</v>
      </c>
      <c r="O133" s="109">
        <v>0</v>
      </c>
      <c r="P133" s="109">
        <f>++'NCP Dist Plant (360-362)'!$B$19</f>
        <v>21527</v>
      </c>
      <c r="Q133" s="109">
        <f>+'NCP Dist Plant (360-362)'!$B$10</f>
        <v>1722</v>
      </c>
    </row>
    <row r="134" spans="1:17" x14ac:dyDescent="0.3">
      <c r="A134" s="114" t="str">
        <f>IF(A133="~","~","")</f>
        <v/>
      </c>
      <c r="B134" s="71"/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</row>
    <row r="135" spans="1:17" x14ac:dyDescent="0.3">
      <c r="A135" s="65" t="s">
        <v>372</v>
      </c>
      <c r="B135" s="65" t="s">
        <v>373</v>
      </c>
      <c r="C135" s="109" t="s">
        <v>154</v>
      </c>
      <c r="D135" s="110"/>
      <c r="E135" s="111">
        <f t="shared" ref="E135:Q135" si="46">IF($D136=0,0,E136/$D136)</f>
        <v>0.49601126194172962</v>
      </c>
      <c r="F135" s="111">
        <f t="shared" si="46"/>
        <v>0.14605593210339615</v>
      </c>
      <c r="G135" s="111">
        <f t="shared" si="46"/>
        <v>0.17543979015707517</v>
      </c>
      <c r="H135" s="111">
        <f t="shared" si="46"/>
        <v>0.10941976336883391</v>
      </c>
      <c r="I135" s="111">
        <f t="shared" si="46"/>
        <v>6.3279435251893265E-2</v>
      </c>
      <c r="J135" s="111">
        <f t="shared" si="46"/>
        <v>0</v>
      </c>
      <c r="K135" s="111">
        <f t="shared" si="46"/>
        <v>8.8105704384384941E-3</v>
      </c>
      <c r="L135" s="111">
        <f t="shared" si="46"/>
        <v>0</v>
      </c>
      <c r="M135" s="111">
        <f t="shared" si="46"/>
        <v>0</v>
      </c>
      <c r="N135" s="111">
        <f t="shared" si="46"/>
        <v>0</v>
      </c>
      <c r="O135" s="111">
        <f t="shared" si="46"/>
        <v>0</v>
      </c>
      <c r="P135" s="111">
        <f t="shared" si="46"/>
        <v>8.7575540193191243E-4</v>
      </c>
      <c r="Q135" s="111">
        <f t="shared" si="46"/>
        <v>1.0749133670144383E-4</v>
      </c>
    </row>
    <row r="136" spans="1:17" x14ac:dyDescent="0.3">
      <c r="A136" s="112" t="str">
        <f>IF(A135="~","~","")</f>
        <v/>
      </c>
      <c r="B136" s="113" t="s">
        <v>95</v>
      </c>
      <c r="C136" s="71"/>
      <c r="D136" s="109">
        <f>SUM(E136:Q136)</f>
        <v>13712733</v>
      </c>
      <c r="E136" s="109">
        <f>+'NCP Dist Plant (360-362)'!$C$20</f>
        <v>6801670</v>
      </c>
      <c r="F136" s="109">
        <f>+'NCP Dist Plant (360-362)'!$C$11</f>
        <v>2002826</v>
      </c>
      <c r="G136" s="109">
        <f>+'NCP Dist Plant (360-362)'!$C$12+'NCP Dist Plant (360-362)'!$C$14</f>
        <v>2405759</v>
      </c>
      <c r="H136" s="109">
        <f>+'NCP Dist Plant (360-362)'!$C$13</f>
        <v>1500444</v>
      </c>
      <c r="I136" s="109">
        <f>+'NCP Dist Plant (360-362)'!$C$15</f>
        <v>867734</v>
      </c>
      <c r="J136" s="109">
        <f>+'NCP Dist Plant (360-362)'!$C$16</f>
        <v>0</v>
      </c>
      <c r="K136" s="109">
        <f>+'NCP Dist Plant (360-362)'!$C$18</f>
        <v>120817</v>
      </c>
      <c r="L136" s="425">
        <v>0</v>
      </c>
      <c r="M136" s="109">
        <v>0</v>
      </c>
      <c r="N136" s="109">
        <v>0</v>
      </c>
      <c r="O136" s="109">
        <v>0</v>
      </c>
      <c r="P136" s="109">
        <f>++'NCP Dist Plant (360-362)'!$C$19</f>
        <v>12009</v>
      </c>
      <c r="Q136" s="109">
        <f>+'NCP Dist Plant (360-362)'!$C$10</f>
        <v>1474</v>
      </c>
    </row>
    <row r="137" spans="1:17" x14ac:dyDescent="0.3">
      <c r="A137" s="114" t="str">
        <f>IF(A136="~","~","")</f>
        <v/>
      </c>
      <c r="B137" s="71"/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</row>
    <row r="138" spans="1:17" x14ac:dyDescent="0.3">
      <c r="A138" s="65" t="s">
        <v>374</v>
      </c>
      <c r="B138" s="65" t="s">
        <v>375</v>
      </c>
      <c r="C138" s="109" t="s">
        <v>154</v>
      </c>
      <c r="D138" s="110"/>
      <c r="E138" s="111">
        <f t="shared" ref="E138:Q138" si="47">IF($D139=0,0,E139/$D139)</f>
        <v>0.54457524271034785</v>
      </c>
      <c r="F138" s="111">
        <f t="shared" si="47"/>
        <v>0.14087937800043182</v>
      </c>
      <c r="G138" s="111">
        <f t="shared" si="47"/>
        <v>0.15173163209487195</v>
      </c>
      <c r="H138" s="111">
        <f t="shared" si="47"/>
        <v>8.5999559586225016E-2</v>
      </c>
      <c r="I138" s="111">
        <f t="shared" si="47"/>
        <v>6.6700776305602283E-2</v>
      </c>
      <c r="J138" s="111">
        <f t="shared" si="47"/>
        <v>2.4369914277479039E-4</v>
      </c>
      <c r="K138" s="111">
        <f t="shared" si="47"/>
        <v>8.6189607373069084E-3</v>
      </c>
      <c r="L138" s="111">
        <f t="shared" si="47"/>
        <v>0</v>
      </c>
      <c r="M138" s="111">
        <f t="shared" si="47"/>
        <v>0</v>
      </c>
      <c r="N138" s="111">
        <f t="shared" si="47"/>
        <v>0</v>
      </c>
      <c r="O138" s="111">
        <f t="shared" si="47"/>
        <v>0</v>
      </c>
      <c r="P138" s="111">
        <f t="shared" si="47"/>
        <v>9.6430170852159034E-4</v>
      </c>
      <c r="Q138" s="111">
        <f t="shared" si="47"/>
        <v>2.864497139178493E-4</v>
      </c>
    </row>
    <row r="139" spans="1:17" x14ac:dyDescent="0.3">
      <c r="A139" s="112" t="str">
        <f>IF(A138="~","~","")</f>
        <v/>
      </c>
      <c r="B139" s="113" t="s">
        <v>95</v>
      </c>
      <c r="C139" s="71"/>
      <c r="D139" s="109">
        <f>SUM(E139:Q139)</f>
        <v>761229596</v>
      </c>
      <c r="E139" s="109">
        <f>+'NCP Dist Plant (360-362)'!$D$20</f>
        <v>414546792</v>
      </c>
      <c r="F139" s="109">
        <f>+'NCP Dist Plant (360-362)'!$D$11</f>
        <v>107241552</v>
      </c>
      <c r="G139" s="109">
        <f>+'NCP Dist Plant (360-362)'!$D$12+'NCP Dist Plant (360-362)'!$D$14</f>
        <v>115502609</v>
      </c>
      <c r="H139" s="109">
        <f>+'NCP Dist Plant (360-362)'!$D$13</f>
        <v>65465410</v>
      </c>
      <c r="I139" s="109">
        <f>+'NCP Dist Plant (360-362)'!$D$15</f>
        <v>50774605</v>
      </c>
      <c r="J139" s="109">
        <f>+'NCP Dist Plant (360-362)'!$D$16</f>
        <v>185511</v>
      </c>
      <c r="K139" s="109">
        <f>+'NCP Dist Plant (360-362)'!$D$18</f>
        <v>6561008</v>
      </c>
      <c r="L139" s="425">
        <v>0</v>
      </c>
      <c r="M139" s="109">
        <v>0</v>
      </c>
      <c r="N139" s="109">
        <v>0</v>
      </c>
      <c r="O139" s="109">
        <v>0</v>
      </c>
      <c r="P139" s="109">
        <f>++'NCP Dist Plant (360-362)'!$D$19</f>
        <v>734055</v>
      </c>
      <c r="Q139" s="109">
        <f>+'NCP Dist Plant (360-362)'!$D$10</f>
        <v>218054</v>
      </c>
    </row>
    <row r="140" spans="1:17" x14ac:dyDescent="0.3">
      <c r="A140" s="114" t="str">
        <f>IF(A139="~","~","")</f>
        <v/>
      </c>
      <c r="B140" s="71"/>
      <c r="C140" s="71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</row>
    <row r="141" spans="1:17" x14ac:dyDescent="0.3">
      <c r="A141" s="65" t="s">
        <v>376</v>
      </c>
      <c r="B141" s="65" t="s">
        <v>377</v>
      </c>
      <c r="C141" s="109" t="s">
        <v>154</v>
      </c>
      <c r="D141" s="110"/>
      <c r="E141" s="111">
        <f t="shared" ref="E141:Q141" si="48">IF($D142=0,0,E142/$D142)</f>
        <v>0.67931750604630792</v>
      </c>
      <c r="F141" s="111">
        <f t="shared" si="48"/>
        <v>0.13025747319621001</v>
      </c>
      <c r="G141" s="111">
        <f t="shared" si="48"/>
        <v>0.10062503643867951</v>
      </c>
      <c r="H141" s="111">
        <f t="shared" si="48"/>
        <v>4.1929108926018935E-2</v>
      </c>
      <c r="I141" s="111">
        <f t="shared" si="48"/>
        <v>3.5716942327371139E-2</v>
      </c>
      <c r="J141" s="111">
        <f t="shared" si="48"/>
        <v>8.0014314118505639E-4</v>
      </c>
      <c r="K141" s="111">
        <f t="shared" si="48"/>
        <v>9.9897268053983548E-3</v>
      </c>
      <c r="L141" s="111">
        <f t="shared" si="48"/>
        <v>0</v>
      </c>
      <c r="M141" s="111">
        <f t="shared" si="48"/>
        <v>0</v>
      </c>
      <c r="N141" s="111">
        <f t="shared" si="48"/>
        <v>0</v>
      </c>
      <c r="O141" s="111">
        <f t="shared" si="48"/>
        <v>0</v>
      </c>
      <c r="P141" s="111">
        <f t="shared" si="48"/>
        <v>6.5438842325561773E-4</v>
      </c>
      <c r="Q141" s="111">
        <f t="shared" si="48"/>
        <v>7.0967469557368067E-4</v>
      </c>
    </row>
    <row r="142" spans="1:17" x14ac:dyDescent="0.3">
      <c r="A142" s="112" t="str">
        <f>IF(A141="~","~","")</f>
        <v/>
      </c>
      <c r="B142" s="113" t="s">
        <v>95</v>
      </c>
      <c r="C142" s="71"/>
      <c r="D142" s="109">
        <f>SUM(E142:Q142)</f>
        <v>9948.2199999999975</v>
      </c>
      <c r="E142" s="109">
        <f>+'NCP Dist OH-UG Plant (364-367)'!$B$19</f>
        <v>6758</v>
      </c>
      <c r="F142" s="109">
        <f>+'NCP Dist OH-UG Plant (364-367)'!$B$10</f>
        <v>1295.83</v>
      </c>
      <c r="G142" s="109">
        <f>+'NCP Dist OH-UG Plant (364-367)'!$B$11+'NCP Dist OH-UG Plant (364-367)'!$B$13</f>
        <v>1001.04</v>
      </c>
      <c r="H142" s="109">
        <f>+'NCP Dist OH-UG Plant (364-367)'!$B$12</f>
        <v>417.12</v>
      </c>
      <c r="I142" s="109">
        <f>+'NCP Dist OH-UG Plant (364-367)'!$B$14</f>
        <v>355.32</v>
      </c>
      <c r="J142" s="109">
        <f>+'NCP Dist OH-UG Plant (364-367)'!$B$15</f>
        <v>7.96</v>
      </c>
      <c r="K142" s="109">
        <f>+'NCP Dist OH-UG Plant (364-367)'!$B$17</f>
        <v>99.38</v>
      </c>
      <c r="L142" s="425">
        <v>0</v>
      </c>
      <c r="M142" s="109">
        <v>0</v>
      </c>
      <c r="N142" s="109">
        <v>0</v>
      </c>
      <c r="O142" s="109">
        <v>0</v>
      </c>
      <c r="P142" s="109">
        <f>+'NCP Dist OH-UG Plant (364-367)'!$B$18</f>
        <v>6.51</v>
      </c>
      <c r="Q142" s="109">
        <f>+'NCP Dist OH-UG Plant (364-367)'!$B$9</f>
        <v>7.06</v>
      </c>
    </row>
    <row r="143" spans="1:17" x14ac:dyDescent="0.3">
      <c r="A143" s="114" t="str">
        <f>IF(A142="~","~","")</f>
        <v/>
      </c>
      <c r="B143" s="71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</row>
    <row r="144" spans="1:17" x14ac:dyDescent="0.3">
      <c r="A144" s="65" t="s">
        <v>378</v>
      </c>
      <c r="B144" s="65" t="s">
        <v>331</v>
      </c>
      <c r="C144" s="109" t="s">
        <v>154</v>
      </c>
      <c r="D144" s="110"/>
      <c r="E144" s="111">
        <f t="shared" ref="E144:Q144" si="49">IF($D145=0,0,E145/$D145)</f>
        <v>0.7303429587007737</v>
      </c>
      <c r="F144" s="111">
        <f t="shared" si="49"/>
        <v>0.11447772228662677</v>
      </c>
      <c r="G144" s="111">
        <f t="shared" si="49"/>
        <v>1.4681822696456839E-2</v>
      </c>
      <c r="H144" s="111">
        <f t="shared" si="49"/>
        <v>1.8637852716737259E-4</v>
      </c>
      <c r="I144" s="111">
        <f t="shared" si="49"/>
        <v>0</v>
      </c>
      <c r="J144" s="111">
        <f t="shared" si="49"/>
        <v>0</v>
      </c>
      <c r="K144" s="111">
        <f t="shared" si="49"/>
        <v>0</v>
      </c>
      <c r="L144" s="111">
        <f t="shared" si="49"/>
        <v>0</v>
      </c>
      <c r="M144" s="111">
        <f t="shared" si="49"/>
        <v>0</v>
      </c>
      <c r="N144" s="111">
        <f t="shared" si="49"/>
        <v>0</v>
      </c>
      <c r="O144" s="111">
        <f t="shared" si="49"/>
        <v>0</v>
      </c>
      <c r="P144" s="111">
        <f t="shared" si="49"/>
        <v>0.14031111778897534</v>
      </c>
      <c r="Q144" s="111">
        <f t="shared" si="49"/>
        <v>0</v>
      </c>
    </row>
    <row r="145" spans="1:17" x14ac:dyDescent="0.3">
      <c r="A145" s="112" t="str">
        <f>IF(A144="~","~","")</f>
        <v/>
      </c>
      <c r="B145" s="113" t="s">
        <v>95</v>
      </c>
      <c r="C145" s="71"/>
      <c r="D145" s="109">
        <f>SUM(E145:Q145)</f>
        <v>404799745.95307964</v>
      </c>
      <c r="E145" s="109">
        <f>+E68</f>
        <v>295642644.14069372</v>
      </c>
      <c r="F145" s="109">
        <f t="shared" ref="F145:Q145" si="50">+F68</f>
        <v>46340552.898913719</v>
      </c>
      <c r="G145" s="109">
        <f t="shared" si="50"/>
        <v>5943198.0976538872</v>
      </c>
      <c r="H145" s="109">
        <f t="shared" si="50"/>
        <v>75445.980448461574</v>
      </c>
      <c r="I145" s="109">
        <f t="shared" si="50"/>
        <v>0</v>
      </c>
      <c r="J145" s="109">
        <f t="shared" si="50"/>
        <v>0</v>
      </c>
      <c r="K145" s="109">
        <f t="shared" si="50"/>
        <v>0</v>
      </c>
      <c r="L145" s="425">
        <f t="shared" si="50"/>
        <v>0</v>
      </c>
      <c r="M145" s="109">
        <f t="shared" si="50"/>
        <v>0</v>
      </c>
      <c r="N145" s="109">
        <f t="shared" si="50"/>
        <v>0</v>
      </c>
      <c r="O145" s="109">
        <f t="shared" si="50"/>
        <v>0</v>
      </c>
      <c r="P145" s="109">
        <f t="shared" si="50"/>
        <v>56797904.835369848</v>
      </c>
      <c r="Q145" s="109">
        <f t="shared" si="50"/>
        <v>0</v>
      </c>
    </row>
    <row r="146" spans="1:17" x14ac:dyDescent="0.3">
      <c r="A146" s="114"/>
      <c r="B146" s="71"/>
      <c r="C146" s="71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</row>
    <row r="147" spans="1:17" x14ac:dyDescent="0.3">
      <c r="A147" s="65" t="s">
        <v>379</v>
      </c>
      <c r="B147" s="65" t="s">
        <v>380</v>
      </c>
      <c r="C147" s="109" t="s">
        <v>154</v>
      </c>
      <c r="D147" s="110"/>
      <c r="E147" s="111">
        <f t="shared" ref="E147:Q147" si="51">IF($D148=0,0,E148/$D148)</f>
        <v>0.66763664754224528</v>
      </c>
      <c r="F147" s="111">
        <f t="shared" si="51"/>
        <v>0.12354566571435271</v>
      </c>
      <c r="G147" s="111">
        <f t="shared" si="51"/>
        <v>0.11401776950604361</v>
      </c>
      <c r="H147" s="111">
        <f t="shared" si="51"/>
        <v>4.8959402478190729E-2</v>
      </c>
      <c r="I147" s="111">
        <f t="shared" si="51"/>
        <v>3.3327251842029365E-2</v>
      </c>
      <c r="J147" s="111">
        <f t="shared" si="51"/>
        <v>3.7100494435435462E-4</v>
      </c>
      <c r="K147" s="111">
        <f t="shared" si="51"/>
        <v>1.1389036396196589E-2</v>
      </c>
      <c r="L147" s="111">
        <f t="shared" si="51"/>
        <v>0</v>
      </c>
      <c r="M147" s="111">
        <f t="shared" si="51"/>
        <v>0</v>
      </c>
      <c r="N147" s="111">
        <f t="shared" si="51"/>
        <v>0</v>
      </c>
      <c r="O147" s="111">
        <f t="shared" si="51"/>
        <v>0</v>
      </c>
      <c r="P147" s="111">
        <f t="shared" si="51"/>
        <v>4.8923728925848956E-4</v>
      </c>
      <c r="Q147" s="111">
        <f t="shared" si="51"/>
        <v>2.6398428732906E-4</v>
      </c>
    </row>
    <row r="148" spans="1:17" x14ac:dyDescent="0.3">
      <c r="A148" s="112" t="str">
        <f>IF(A147="~","~","")</f>
        <v/>
      </c>
      <c r="B148" s="113" t="s">
        <v>95</v>
      </c>
      <c r="C148" s="71"/>
      <c r="D148" s="109">
        <f>SUM(E148:Q148)</f>
        <v>9811.1899999999987</v>
      </c>
      <c r="E148" s="109">
        <f>+'NCP Dist OH-UG Plant (364-367)'!$C$19</f>
        <v>6550.31</v>
      </c>
      <c r="F148" s="109">
        <f>+'NCP Dist OH-UG Plant (364-367)'!$C$10</f>
        <v>1212.1300000000001</v>
      </c>
      <c r="G148" s="109">
        <f>+'NCP Dist OH-UG Plant (364-367)'!$C$11+'NCP Dist OH-UG Plant (364-367)'!$C$13</f>
        <v>1118.6499999999999</v>
      </c>
      <c r="H148" s="109">
        <f>+'NCP Dist OH-UG Plant (364-367)'!$C$12</f>
        <v>480.35</v>
      </c>
      <c r="I148" s="109">
        <f>+'NCP Dist OH-UG Plant (364-367)'!$C$14</f>
        <v>326.98</v>
      </c>
      <c r="J148" s="109">
        <f>+'NCP Dist OH-UG Plant (364-367)'!$C$15</f>
        <v>3.64</v>
      </c>
      <c r="K148" s="109">
        <f>+'NCP Dist OH-UG Plant (364-367)'!$C$17</f>
        <v>111.74</v>
      </c>
      <c r="L148" s="425">
        <v>0</v>
      </c>
      <c r="M148" s="109">
        <v>0</v>
      </c>
      <c r="N148" s="109">
        <v>0</v>
      </c>
      <c r="O148" s="109">
        <v>0</v>
      </c>
      <c r="P148" s="109">
        <f>+'NCP Dist OH-UG Plant (364-367)'!$C$18</f>
        <v>4.8</v>
      </c>
      <c r="Q148" s="109">
        <f>+'NCP Dist OH-UG Plant (364-367)'!$C$9</f>
        <v>2.59</v>
      </c>
    </row>
    <row r="149" spans="1:17" x14ac:dyDescent="0.3">
      <c r="A149" s="114" t="str">
        <f>IF(A148="~","~","")</f>
        <v/>
      </c>
      <c r="B149" s="71"/>
      <c r="C149" s="71"/>
      <c r="D149" s="71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</row>
    <row r="150" spans="1:17" x14ac:dyDescent="0.3">
      <c r="A150" s="65" t="s">
        <v>381</v>
      </c>
      <c r="B150" s="65" t="s">
        <v>338</v>
      </c>
      <c r="C150" s="109" t="s">
        <v>154</v>
      </c>
      <c r="D150" s="110"/>
      <c r="E150" s="111">
        <f t="shared" ref="E150:Q150" si="52">IF($D151=0,0,E151/$D151)</f>
        <v>0.7355320996358401</v>
      </c>
      <c r="F150" s="111">
        <f t="shared" si="52"/>
        <v>0.14493820090527729</v>
      </c>
      <c r="G150" s="111">
        <f t="shared" si="52"/>
        <v>8.7743433698652465E-2</v>
      </c>
      <c r="H150" s="111">
        <f t="shared" si="52"/>
        <v>2.9422589225516247E-2</v>
      </c>
      <c r="I150" s="111">
        <f t="shared" si="52"/>
        <v>0</v>
      </c>
      <c r="J150" s="111">
        <f t="shared" si="52"/>
        <v>0</v>
      </c>
      <c r="K150" s="111">
        <f t="shared" si="52"/>
        <v>0</v>
      </c>
      <c r="L150" s="111">
        <f t="shared" si="52"/>
        <v>0</v>
      </c>
      <c r="M150" s="111">
        <f t="shared" si="52"/>
        <v>0</v>
      </c>
      <c r="N150" s="111">
        <f t="shared" si="52"/>
        <v>0</v>
      </c>
      <c r="O150" s="111">
        <f t="shared" si="52"/>
        <v>0</v>
      </c>
      <c r="P150" s="111">
        <f t="shared" si="52"/>
        <v>2.3045907603834585E-3</v>
      </c>
      <c r="Q150" s="111">
        <f t="shared" si="52"/>
        <v>5.9085774330539027E-5</v>
      </c>
    </row>
    <row r="151" spans="1:17" x14ac:dyDescent="0.3">
      <c r="A151" s="112" t="str">
        <f>IF(A150="~","~","")</f>
        <v/>
      </c>
      <c r="B151" s="113" t="s">
        <v>95</v>
      </c>
      <c r="C151" s="71"/>
      <c r="D151" s="109">
        <f>SUM(E151:Q151)</f>
        <v>491404408.74264705</v>
      </c>
      <c r="E151" s="109">
        <f>+E80</f>
        <v>361443716.53278774</v>
      </c>
      <c r="F151" s="109">
        <f t="shared" ref="F151:Q151" si="53">+F80</f>
        <v>71223270.920080781</v>
      </c>
      <c r="G151" s="109">
        <f t="shared" si="53"/>
        <v>43117510.157735966</v>
      </c>
      <c r="H151" s="109">
        <f t="shared" si="53"/>
        <v>14458390.062042588</v>
      </c>
      <c r="I151" s="109">
        <f t="shared" si="53"/>
        <v>0</v>
      </c>
      <c r="J151" s="109">
        <f t="shared" si="53"/>
        <v>0</v>
      </c>
      <c r="K151" s="109">
        <f t="shared" si="53"/>
        <v>0</v>
      </c>
      <c r="L151" s="425">
        <f t="shared" si="53"/>
        <v>0</v>
      </c>
      <c r="M151" s="109">
        <f t="shared" si="53"/>
        <v>0</v>
      </c>
      <c r="N151" s="109">
        <f t="shared" si="53"/>
        <v>0</v>
      </c>
      <c r="O151" s="109">
        <f t="shared" si="53"/>
        <v>0</v>
      </c>
      <c r="P151" s="109">
        <f t="shared" si="53"/>
        <v>1132486.0600000008</v>
      </c>
      <c r="Q151" s="109">
        <f t="shared" si="53"/>
        <v>29035.010000000002</v>
      </c>
    </row>
    <row r="152" spans="1:17" x14ac:dyDescent="0.3">
      <c r="A152" s="114" t="str">
        <f>IF(A151="~","~","")</f>
        <v/>
      </c>
      <c r="B152" s="71"/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</row>
    <row r="153" spans="1:17" x14ac:dyDescent="0.3">
      <c r="A153" s="65" t="s">
        <v>382</v>
      </c>
      <c r="B153" s="65" t="s">
        <v>383</v>
      </c>
      <c r="C153" s="109" t="s">
        <v>154</v>
      </c>
      <c r="D153" s="110"/>
      <c r="E153" s="111">
        <f t="shared" ref="E153:Q153" si="54">IF($D154=0,0,E154/$D154)</f>
        <v>0</v>
      </c>
      <c r="F153" s="111">
        <f t="shared" si="54"/>
        <v>0</v>
      </c>
      <c r="G153" s="111">
        <f t="shared" si="54"/>
        <v>0</v>
      </c>
      <c r="H153" s="111">
        <f t="shared" si="54"/>
        <v>0</v>
      </c>
      <c r="I153" s="111">
        <f t="shared" si="54"/>
        <v>0.15252047115174688</v>
      </c>
      <c r="J153" s="111">
        <f t="shared" si="54"/>
        <v>0</v>
      </c>
      <c r="K153" s="111">
        <f t="shared" si="54"/>
        <v>2.8692555375480428E-3</v>
      </c>
      <c r="L153" s="111">
        <f t="shared" si="54"/>
        <v>1.8120200537630402E-2</v>
      </c>
      <c r="M153" s="111">
        <f t="shared" si="54"/>
        <v>0.63667414965169566</v>
      </c>
      <c r="N153" s="111">
        <f t="shared" si="54"/>
        <v>0</v>
      </c>
      <c r="O153" s="111">
        <f t="shared" si="54"/>
        <v>0.18903994303462143</v>
      </c>
      <c r="P153" s="111">
        <f t="shared" si="54"/>
        <v>0</v>
      </c>
      <c r="Q153" s="111">
        <f t="shared" si="54"/>
        <v>7.7598008675775019E-4</v>
      </c>
    </row>
    <row r="154" spans="1:17" x14ac:dyDescent="0.3">
      <c r="A154" s="112" t="str">
        <f>IF(A153="~","~","")</f>
        <v/>
      </c>
      <c r="B154" s="113" t="s">
        <v>95</v>
      </c>
      <c r="C154" s="71"/>
      <c r="D154" s="109">
        <f>SUM(E154:Q154)</f>
        <v>4480475.8</v>
      </c>
      <c r="E154" s="109">
        <v>0</v>
      </c>
      <c r="F154" s="109">
        <v>0</v>
      </c>
      <c r="G154" s="109">
        <v>0</v>
      </c>
      <c r="H154" s="109">
        <v>0</v>
      </c>
      <c r="I154" s="109">
        <f>+'Other Op Rev Equip Rental (454)'!B8</f>
        <v>683364.28</v>
      </c>
      <c r="J154" s="109">
        <v>0</v>
      </c>
      <c r="K154" s="109">
        <f>+'Other Op Rev Equip Rental (454)'!B9</f>
        <v>12855.629999999997</v>
      </c>
      <c r="L154" s="425">
        <f>+'Other Op Rev Equip Rental (454)'!B10</f>
        <v>81187.12</v>
      </c>
      <c r="M154" s="109">
        <f>+'Other Op Rev Equip Rental (454)'!B11</f>
        <v>2852603.1200000006</v>
      </c>
      <c r="N154" s="109">
        <v>0</v>
      </c>
      <c r="O154" s="109">
        <f>+'Other Op Rev Equip Rental (454)'!B12</f>
        <v>846988.8899999999</v>
      </c>
      <c r="P154" s="109">
        <v>0</v>
      </c>
      <c r="Q154" s="109">
        <f>+'Other Op Rev Equip Rental (454)'!B13</f>
        <v>3476.76</v>
      </c>
    </row>
    <row r="155" spans="1:17" x14ac:dyDescent="0.3">
      <c r="A155" s="114" t="str">
        <f>IF(A154="~","~","")</f>
        <v/>
      </c>
      <c r="B155" s="71"/>
      <c r="C155" s="71"/>
      <c r="D155" s="71"/>
      <c r="E155" s="71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</row>
    <row r="156" spans="1:17" x14ac:dyDescent="0.3">
      <c r="A156" s="114"/>
      <c r="B156" s="71"/>
      <c r="C156" s="71"/>
      <c r="D156" s="71"/>
      <c r="E156" s="71"/>
      <c r="F156" s="71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71"/>
    </row>
    <row r="157" spans="1:17" x14ac:dyDescent="0.3">
      <c r="A157" s="114"/>
      <c r="B157" s="71"/>
      <c r="C157" s="71"/>
      <c r="D157" s="71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</row>
    <row r="158" spans="1:17" x14ac:dyDescent="0.3">
      <c r="A158" s="114"/>
      <c r="B158" s="71"/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</row>
    <row r="159" spans="1:17" x14ac:dyDescent="0.3">
      <c r="A159" s="114"/>
      <c r="B159" s="71"/>
      <c r="C159" s="71"/>
      <c r="D159" s="71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</row>
    <row r="160" spans="1:17" x14ac:dyDescent="0.3">
      <c r="A160" s="114"/>
      <c r="B160" s="71"/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</row>
    <row r="161" spans="1:17" x14ac:dyDescent="0.3">
      <c r="A161" s="114"/>
      <c r="B161" s="71"/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</row>
    <row r="162" spans="1:17" x14ac:dyDescent="0.3">
      <c r="A162" s="114"/>
      <c r="B162" s="71"/>
      <c r="C162" s="71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</row>
    <row r="163" spans="1:17" x14ac:dyDescent="0.3">
      <c r="A163" s="60"/>
      <c r="B163" s="64" t="s">
        <v>384</v>
      </c>
      <c r="C163" s="60"/>
      <c r="D163" s="60"/>
      <c r="E163" s="108"/>
      <c r="F163" s="108"/>
      <c r="G163" s="108"/>
      <c r="H163" s="108"/>
      <c r="I163" s="108"/>
      <c r="J163" s="108"/>
      <c r="K163" s="108"/>
      <c r="L163" s="108"/>
      <c r="M163" s="108"/>
      <c r="N163" s="108"/>
      <c r="O163" s="108"/>
      <c r="P163" s="108"/>
      <c r="Q163" s="108"/>
    </row>
    <row r="164" spans="1:17" x14ac:dyDescent="0.3">
      <c r="A164" s="60"/>
      <c r="B164" s="58"/>
      <c r="C164" s="60"/>
      <c r="D164" s="60"/>
      <c r="E164" s="108"/>
      <c r="F164" s="108"/>
      <c r="G164" s="108"/>
      <c r="H164" s="108"/>
      <c r="I164" s="108"/>
      <c r="J164" s="108"/>
      <c r="K164" s="108"/>
      <c r="L164" s="108"/>
      <c r="M164" s="108"/>
      <c r="N164" s="108"/>
      <c r="O164" s="108"/>
      <c r="P164" s="108"/>
      <c r="Q164" s="108"/>
    </row>
    <row r="165" spans="1:17" x14ac:dyDescent="0.3">
      <c r="A165" s="65" t="s">
        <v>385</v>
      </c>
      <c r="B165" s="65" t="s">
        <v>386</v>
      </c>
      <c r="C165" s="109" t="s">
        <v>156</v>
      </c>
      <c r="D165" s="110"/>
      <c r="E165" s="111">
        <f t="shared" ref="E165:Q165" si="55">IF($D166=0,0,E166/$D166)</f>
        <v>0.95527023080075346</v>
      </c>
      <c r="F165" s="111">
        <f t="shared" si="55"/>
        <v>2.3950176947135578E-2</v>
      </c>
      <c r="G165" s="111">
        <f t="shared" si="55"/>
        <v>1.5547633533287933E-2</v>
      </c>
      <c r="H165" s="111">
        <f t="shared" si="55"/>
        <v>1.6190337313309329E-3</v>
      </c>
      <c r="I165" s="111">
        <f t="shared" si="55"/>
        <v>3.0104510727716359E-3</v>
      </c>
      <c r="J165" s="111">
        <f t="shared" si="55"/>
        <v>4.1692230577485684E-4</v>
      </c>
      <c r="K165" s="111">
        <f t="shared" si="55"/>
        <v>0</v>
      </c>
      <c r="L165" s="111">
        <f t="shared" si="55"/>
        <v>0</v>
      </c>
      <c r="M165" s="111">
        <f t="shared" si="55"/>
        <v>0</v>
      </c>
      <c r="N165" s="111">
        <f t="shared" si="55"/>
        <v>0</v>
      </c>
      <c r="O165" s="111">
        <f t="shared" si="55"/>
        <v>0</v>
      </c>
      <c r="P165" s="111">
        <f t="shared" si="55"/>
        <v>1.8555160894588536E-4</v>
      </c>
      <c r="Q165" s="111">
        <f t="shared" si="55"/>
        <v>0</v>
      </c>
    </row>
    <row r="166" spans="1:17" x14ac:dyDescent="0.3">
      <c r="A166" s="112" t="str">
        <f>IF(A165="~","~","")</f>
        <v/>
      </c>
      <c r="B166" s="113" t="s">
        <v>95</v>
      </c>
      <c r="C166" s="71"/>
      <c r="D166" s="109">
        <f>SUM(E166:Q166)</f>
        <v>10679687650.016161</v>
      </c>
      <c r="E166" s="109">
        <f>+'BPA Delivered kWh'!C8</f>
        <v>10201987686.310894</v>
      </c>
      <c r="F166" s="109">
        <f>+'BPA Delivered kWh'!C9</f>
        <v>255780408.9580256</v>
      </c>
      <c r="G166" s="109">
        <f>+'BPA Delivered kWh'!C11+'BPA Delivered kWh'!C13</f>
        <v>166043869.83243227</v>
      </c>
      <c r="H166" s="109">
        <f>+'BPA Delivered kWh'!C12</f>
        <v>17290774.545454547</v>
      </c>
      <c r="I166" s="109">
        <f>+'BPA Delivered kWh'!C10</f>
        <v>32150677.142857142</v>
      </c>
      <c r="J166" s="109">
        <f>+'BPA Delivered kWh'!C14</f>
        <v>4452600</v>
      </c>
      <c r="K166" s="109">
        <v>0</v>
      </c>
      <c r="L166" s="425">
        <v>0</v>
      </c>
      <c r="M166" s="109">
        <v>0</v>
      </c>
      <c r="N166" s="109">
        <v>0</v>
      </c>
      <c r="O166" s="109">
        <v>0</v>
      </c>
      <c r="P166" s="109">
        <f>+'BPA Delivered kWh'!C15+'BPA Delivered kWh'!C16</f>
        <v>1981633.2265000001</v>
      </c>
      <c r="Q166" s="109">
        <v>0</v>
      </c>
    </row>
    <row r="167" spans="1:17" x14ac:dyDescent="0.3">
      <c r="A167" s="114"/>
      <c r="B167" s="71"/>
      <c r="C167" s="71"/>
      <c r="D167" s="71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</row>
    <row r="168" spans="1:17" x14ac:dyDescent="0.3">
      <c r="A168" s="65" t="s">
        <v>124</v>
      </c>
      <c r="B168" s="65" t="s">
        <v>387</v>
      </c>
      <c r="C168" s="109" t="s">
        <v>156</v>
      </c>
      <c r="D168" s="110"/>
      <c r="E168" s="111">
        <f t="shared" ref="E168:Q168" si="56">IF($D169=0,0,E169/$D169)</f>
        <v>0.46468859388342382</v>
      </c>
      <c r="F168" s="111">
        <f t="shared" si="56"/>
        <v>0.12202682683120278</v>
      </c>
      <c r="G168" s="111">
        <f t="shared" si="56"/>
        <v>0.12598356115341469</v>
      </c>
      <c r="H168" s="111">
        <f t="shared" si="56"/>
        <v>8.3878586127416346E-2</v>
      </c>
      <c r="I168" s="111">
        <f t="shared" si="56"/>
        <v>5.4918018007160521E-2</v>
      </c>
      <c r="J168" s="111">
        <f t="shared" si="56"/>
        <v>1.8789920614908735E-4</v>
      </c>
      <c r="K168" s="111">
        <f t="shared" si="56"/>
        <v>5.1111617483568994E-3</v>
      </c>
      <c r="L168" s="111">
        <f t="shared" si="56"/>
        <v>2.6157050704542356E-2</v>
      </c>
      <c r="M168" s="111">
        <f t="shared" si="56"/>
        <v>2.5882572156662526E-2</v>
      </c>
      <c r="N168" s="111">
        <f t="shared" si="56"/>
        <v>4.3920896275772515E-3</v>
      </c>
      <c r="O168" s="111">
        <f t="shared" si="56"/>
        <v>8.3143627518481172E-2</v>
      </c>
      <c r="P168" s="111">
        <f t="shared" si="56"/>
        <v>3.334429358936243E-3</v>
      </c>
      <c r="Q168" s="111">
        <f t="shared" si="56"/>
        <v>2.9558367667650046E-4</v>
      </c>
    </row>
    <row r="169" spans="1:17" x14ac:dyDescent="0.3">
      <c r="A169" s="112" t="str">
        <f>IF(A168="~","~","")</f>
        <v/>
      </c>
      <c r="B169" s="113" t="s">
        <v>95</v>
      </c>
      <c r="C169" s="71"/>
      <c r="D169" s="109">
        <f>SUM(E169:Q169)</f>
        <v>24452276608.80558</v>
      </c>
      <c r="E169" s="109">
        <f>+'Load Research Data - Summary'!$C$9</f>
        <v>11362694034.5944</v>
      </c>
      <c r="F169" s="109">
        <f>+'Load Research Data - Summary'!$C$10</f>
        <v>2983833723.3713889</v>
      </c>
      <c r="G169" s="109">
        <f>+'Load Research Data - Summary'!$C$11</f>
        <v>3080584885.4856691</v>
      </c>
      <c r="H169" s="109">
        <f>+'Load Research Data - Summary'!$C$12</f>
        <v>2051022389.543107</v>
      </c>
      <c r="I169" s="109">
        <f>+'Load Research Data - Summary'!$C$13</f>
        <v>1342870567.1184549</v>
      </c>
      <c r="J169" s="109">
        <f>+'Load Research Data - Summary'!$C$14</f>
        <v>4594563.3633324662</v>
      </c>
      <c r="K169" s="109">
        <f>+'Load Research Data - Summary'!$C$15</f>
        <v>124979540.86316925</v>
      </c>
      <c r="L169" s="425">
        <f>+'Load Research Data - Summary'!$C$16</f>
        <v>639599439.09802258</v>
      </c>
      <c r="M169" s="109">
        <f>+'Load Research Data - Summary'!$C$17</f>
        <v>632887813.72208166</v>
      </c>
      <c r="N169" s="109">
        <f>+'Load Research Data - Summary'!$C$19</f>
        <v>107396590.46418484</v>
      </c>
      <c r="O169" s="109">
        <f>+'Load Research Data - Summary'!$C$20</f>
        <v>2033050978.3414011</v>
      </c>
      <c r="P169" s="109">
        <f>+'Load Research Data - Summary'!$C$18</f>
        <v>81534389.017231286</v>
      </c>
      <c r="Q169" s="109">
        <f>+'Load Research Data - Summary'!$C$21</f>
        <v>7227693.8231415441</v>
      </c>
    </row>
    <row r="170" spans="1:17" x14ac:dyDescent="0.3">
      <c r="A170" s="114"/>
      <c r="B170" s="71"/>
      <c r="C170" s="71"/>
      <c r="D170" s="71"/>
      <c r="E170" s="71"/>
      <c r="F170" s="71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</row>
    <row r="171" spans="1:17" x14ac:dyDescent="0.3">
      <c r="A171" s="65" t="s">
        <v>133</v>
      </c>
      <c r="B171" s="65" t="s">
        <v>388</v>
      </c>
      <c r="C171" s="109" t="s">
        <v>156</v>
      </c>
      <c r="D171" s="110"/>
      <c r="E171" s="111">
        <f t="shared" ref="E171:Q171" si="57">IF($D172=0,0,E172/$D172)</f>
        <v>0.50926770791510168</v>
      </c>
      <c r="F171" s="111">
        <f t="shared" si="57"/>
        <v>0.13373326400189151</v>
      </c>
      <c r="G171" s="111">
        <f t="shared" si="57"/>
        <v>0.13806958093677063</v>
      </c>
      <c r="H171" s="111">
        <f t="shared" si="57"/>
        <v>9.1925336370500779E-2</v>
      </c>
      <c r="I171" s="111">
        <f t="shared" si="57"/>
        <v>6.0186485147004122E-2</v>
      </c>
      <c r="J171" s="111">
        <f t="shared" si="57"/>
        <v>2.0592499857790533E-4</v>
      </c>
      <c r="K171" s="111">
        <f t="shared" si="57"/>
        <v>5.6014924029361094E-3</v>
      </c>
      <c r="L171" s="111">
        <f t="shared" si="57"/>
        <v>2.8666383107873738E-2</v>
      </c>
      <c r="M171" s="111">
        <f t="shared" si="57"/>
        <v>2.8365572924902698E-2</v>
      </c>
      <c r="N171" s="111">
        <f t="shared" si="57"/>
        <v>0</v>
      </c>
      <c r="O171" s="111">
        <f t="shared" si="57"/>
        <v>0</v>
      </c>
      <c r="P171" s="111">
        <f t="shared" si="57"/>
        <v>3.6543121978506923E-3</v>
      </c>
      <c r="Q171" s="111">
        <f t="shared" si="57"/>
        <v>3.2393999659032641E-4</v>
      </c>
    </row>
    <row r="172" spans="1:17" x14ac:dyDescent="0.3">
      <c r="A172" s="112" t="str">
        <f>IF(A171="~","~","")</f>
        <v/>
      </c>
      <c r="B172" s="113" t="s">
        <v>95</v>
      </c>
      <c r="C172" s="71"/>
      <c r="D172" s="109">
        <f>SUM(E172:Q172)</f>
        <v>22311829039.999996</v>
      </c>
      <c r="E172" s="109">
        <f>+'Load Research Data - Summary'!$D$9</f>
        <v>11362694034.5944</v>
      </c>
      <c r="F172" s="109">
        <f>+'Load Research Data - Summary'!$D$10</f>
        <v>2983833723.3713889</v>
      </c>
      <c r="G172" s="109">
        <f>+'Load Research Data - Summary'!$D$11</f>
        <v>3080584885.4856691</v>
      </c>
      <c r="H172" s="109">
        <f>+'Load Research Data - Summary'!$D$12</f>
        <v>2051022389.543107</v>
      </c>
      <c r="I172" s="109">
        <f>+'Load Research Data - Summary'!$D$13</f>
        <v>1342870567.1184549</v>
      </c>
      <c r="J172" s="109">
        <f>+'Load Research Data - Summary'!$D$14</f>
        <v>4594563.3633324662</v>
      </c>
      <c r="K172" s="109">
        <f>+'Load Research Data - Summary'!$D$15</f>
        <v>124979540.86316925</v>
      </c>
      <c r="L172" s="425">
        <f>+'Load Research Data - Summary'!$D$16</f>
        <v>639599439.09802258</v>
      </c>
      <c r="M172" s="109">
        <f>+'Load Research Data - Summary'!$D$17</f>
        <v>632887813.72208166</v>
      </c>
      <c r="N172" s="109">
        <f>+'Load Research Data - Summary'!$D$19</f>
        <v>0</v>
      </c>
      <c r="O172" s="109">
        <f>+'Load Research Data - Summary'!$D$20</f>
        <v>0</v>
      </c>
      <c r="P172" s="109">
        <f>+'Load Research Data - Summary'!$D$18</f>
        <v>81534389.017231286</v>
      </c>
      <c r="Q172" s="109">
        <f>+'Load Research Data - Summary'!$D$21</f>
        <v>7227693.8231415441</v>
      </c>
    </row>
    <row r="173" spans="1:17" x14ac:dyDescent="0.3">
      <c r="A173" s="114"/>
      <c r="B173" s="71"/>
      <c r="C173" s="71"/>
      <c r="D173" s="71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</row>
  </sheetData>
  <mergeCells count="1">
    <mergeCell ref="A1:B1"/>
  </mergeCells>
  <printOptions horizontalCentered="1"/>
  <pageMargins left="0.25" right="0.25" top="0.75" bottom="0.75" header="0.3" footer="0.3"/>
  <pageSetup scale="49" fitToHeight="3" orientation="landscape" r:id="rId1"/>
  <headerFooter>
    <oddHeader>&amp;CPuget Sound Energy</oddHeader>
    <oddFooter>&amp;L&amp;"Times New Roman,Regular"&amp;F
&amp;A&amp;R&amp;"Times New Roman,Regular"Page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workbookViewId="0">
      <selection sqref="A1:XFD1048576"/>
    </sheetView>
  </sheetViews>
  <sheetFormatPr defaultColWidth="52.88671875" defaultRowHeight="14.4" x14ac:dyDescent="0.3"/>
  <cols>
    <col min="1" max="1" width="2.33203125" bestFit="1" customWidth="1"/>
    <col min="2" max="2" width="40.21875" bestFit="1" customWidth="1"/>
    <col min="3" max="3" width="6.33203125" bestFit="1" customWidth="1"/>
    <col min="4" max="4" width="7.33203125" bestFit="1" customWidth="1"/>
    <col min="5" max="5" width="6.33203125" bestFit="1" customWidth="1"/>
    <col min="6" max="6" width="7" bestFit="1" customWidth="1"/>
  </cols>
  <sheetData>
    <row r="1" spans="1:6" ht="15.6" x14ac:dyDescent="0.3">
      <c r="A1" s="485"/>
      <c r="B1" s="486" t="str">
        <f ca="1">'[1]Pg 1 CofCap'!B1</f>
        <v>PUGET SOUND ENERGY, INC.</v>
      </c>
      <c r="C1" s="486"/>
      <c r="D1" s="486"/>
      <c r="E1" s="486"/>
      <c r="F1" s="486"/>
    </row>
    <row r="2" spans="1:6" x14ac:dyDescent="0.3">
      <c r="A2" s="487"/>
      <c r="B2" s="488"/>
      <c r="C2" s="488"/>
      <c r="D2" s="488"/>
      <c r="E2" s="488"/>
      <c r="F2" s="488"/>
    </row>
    <row r="3" spans="1:6" ht="15.6" x14ac:dyDescent="0.3">
      <c r="A3" s="485"/>
      <c r="B3" s="539" t="str">
        <f ca="1">'[1]Pg 1 CofCap'!B3</f>
        <v>Utility Capital Structure</v>
      </c>
      <c r="C3" s="539"/>
      <c r="D3" s="539"/>
      <c r="E3" s="539"/>
      <c r="F3" s="539"/>
    </row>
    <row r="4" spans="1:6" ht="15.6" x14ac:dyDescent="0.3">
      <c r="A4" s="485"/>
      <c r="B4" s="540" t="str">
        <f ca="1">'[1]Pg 1 CofCap'!B4</f>
        <v>Settlement Cost of Capital and Rate of Return</v>
      </c>
      <c r="C4" s="540"/>
      <c r="D4" s="540"/>
      <c r="E4" s="540"/>
      <c r="F4" s="540"/>
    </row>
    <row r="5" spans="1:6" x14ac:dyDescent="0.3">
      <c r="A5" s="489" t="str">
        <f ca="1">'[1]Pg 1 CofCap'!A5</f>
        <v>Requested For Rate Year January 2018 through December 2018</v>
      </c>
      <c r="B5" s="490"/>
      <c r="C5" s="489"/>
      <c r="D5" s="489"/>
      <c r="E5" s="489"/>
      <c r="F5" s="489"/>
    </row>
    <row r="6" spans="1:6" x14ac:dyDescent="0.3">
      <c r="A6" s="491"/>
      <c r="B6" s="485"/>
      <c r="C6" s="492"/>
      <c r="D6" s="485"/>
      <c r="E6" s="485"/>
      <c r="F6" s="485"/>
    </row>
    <row r="7" spans="1:6" x14ac:dyDescent="0.3">
      <c r="A7" s="491"/>
      <c r="B7" s="493"/>
      <c r="C7" s="493"/>
      <c r="D7" s="493"/>
      <c r="E7" s="493"/>
      <c r="F7" s="493"/>
    </row>
    <row r="8" spans="1:6" x14ac:dyDescent="0.3">
      <c r="A8" s="494">
        <f ca="1">'[1]Pg 1 CofCap'!A8</f>
        <v>1</v>
      </c>
      <c r="B8" s="495" t="str">
        <f ca="1">'[1]Pg 1 CofCap'!B8</f>
        <v>(A)</v>
      </c>
      <c r="C8" s="495" t="str">
        <f ca="1">'[1]Pg 1 CofCap'!C8</f>
        <v>(B)</v>
      </c>
      <c r="D8" s="495" t="str">
        <f ca="1">'[1]Pg 1 CofCap'!D8</f>
        <v>(C)</v>
      </c>
      <c r="E8" s="495" t="str">
        <f ca="1">'[1]Pg 1 CofCap'!E8</f>
        <v>(D)</v>
      </c>
      <c r="F8" s="495" t="str">
        <f ca="1">'[1]Pg 1 CofCap'!F8</f>
        <v>(E)</v>
      </c>
    </row>
    <row r="9" spans="1:6" x14ac:dyDescent="0.3">
      <c r="A9" s="494">
        <f ca="1">'[1]Pg 1 CofCap'!A9</f>
        <v>2</v>
      </c>
      <c r="B9" s="541" t="str">
        <f ca="1">'[1]Pg 1 CofCap'!B9</f>
        <v>General Rate Case Request</v>
      </c>
      <c r="C9" s="542"/>
      <c r="D9" s="542"/>
      <c r="E9" s="542"/>
      <c r="F9" s="543"/>
    </row>
    <row r="10" spans="1:6" x14ac:dyDescent="0.3">
      <c r="A10" s="494">
        <f ca="1">'[1]Pg 1 CofCap'!A10</f>
        <v>3</v>
      </c>
      <c r="B10" s="496"/>
      <c r="C10" s="496"/>
      <c r="D10" s="496"/>
      <c r="E10" s="496"/>
      <c r="F10" s="496"/>
    </row>
    <row r="11" spans="1:6" x14ac:dyDescent="0.3">
      <c r="A11" s="494">
        <f ca="1">'[1]Pg 1 CofCap'!A11</f>
        <v>4</v>
      </c>
      <c r="B11" s="495"/>
      <c r="C11" s="495"/>
      <c r="D11" s="497"/>
      <c r="E11" s="498"/>
      <c r="F11" s="498"/>
    </row>
    <row r="12" spans="1:6" x14ac:dyDescent="0.3">
      <c r="A12" s="494">
        <f ca="1">'[1]Pg 1 CofCap'!A12</f>
        <v>5</v>
      </c>
      <c r="B12" s="499" t="str">
        <f ca="1">'[1]Pg 1 CofCap'!B12</f>
        <v>Description</v>
      </c>
      <c r="C12" s="500">
        <f ca="1">'[1]Pg 1 CofCap'!C12</f>
        <v>0</v>
      </c>
      <c r="D12" s="500" t="str">
        <f ca="1">'[1]Pg 1 CofCap'!D12</f>
        <v>Ratio</v>
      </c>
      <c r="E12" s="500" t="str">
        <f ca="1">'[1]Pg 1 CofCap'!E12</f>
        <v>Rates</v>
      </c>
      <c r="F12" s="500" t="str">
        <f ca="1">'[1]Pg 1 CofCap'!F12</f>
        <v>Capital</v>
      </c>
    </row>
    <row r="13" spans="1:6" x14ac:dyDescent="0.3">
      <c r="A13" s="494">
        <f ca="1">'[1]Pg 1 CofCap'!A13</f>
        <v>6</v>
      </c>
      <c r="B13" s="501"/>
      <c r="C13" s="495"/>
      <c r="D13" s="495"/>
      <c r="E13" s="495"/>
      <c r="F13" s="495"/>
    </row>
    <row r="14" spans="1:6" x14ac:dyDescent="0.3">
      <c r="A14" s="494">
        <f ca="1">'[1]Pg 1 CofCap'!A14</f>
        <v>7</v>
      </c>
      <c r="B14" s="502" t="str">
        <f ca="1">'[1]Pg 1 CofCap'!B14</f>
        <v>Marginal Short-Term Debt Rate</v>
      </c>
      <c r="C14" s="495"/>
      <c r="D14" s="503">
        <f ca="1">'[1]Pg 1 CofCap'!D14</f>
        <v>0.01</v>
      </c>
      <c r="E14" s="504">
        <f ca="1">'[1]Pg 1 CofCap'!E14</f>
        <v>3.0599999999999999E-2</v>
      </c>
      <c r="F14" s="504">
        <f ca="1">'[1]Pg 1 CofCap'!F14</f>
        <v>2.9999999999999997E-4</v>
      </c>
    </row>
    <row r="15" spans="1:6" x14ac:dyDescent="0.3">
      <c r="A15" s="494">
        <f ca="1">'[1]Pg 1 CofCap'!A15</f>
        <v>8</v>
      </c>
      <c r="B15" s="505" t="str">
        <f ca="1">'[1]Pg 1 CofCap'!B15</f>
        <v>Commitment Fees</v>
      </c>
      <c r="C15" s="495"/>
      <c r="D15" s="503"/>
      <c r="E15" s="504"/>
      <c r="F15" s="504">
        <f ca="1">'[1]Pg 1 CofCap'!F15</f>
        <v>2.0000000000000001E-4</v>
      </c>
    </row>
    <row r="16" spans="1:6" x14ac:dyDescent="0.3">
      <c r="A16" s="494">
        <f ca="1">'[1]Pg 1 CofCap'!A16</f>
        <v>9</v>
      </c>
      <c r="B16" s="506" t="str">
        <f ca="1">'[1]Pg 1 CofCap'!B16</f>
        <v xml:space="preserve">Amortization of Short-Term Debt Issue Cost </v>
      </c>
      <c r="C16" s="507"/>
      <c r="D16" s="508"/>
      <c r="E16" s="509"/>
      <c r="F16" s="509">
        <f ca="1">'[1]Pg 1 CofCap'!F16</f>
        <v>1E-4</v>
      </c>
    </row>
    <row r="17" spans="1:6" x14ac:dyDescent="0.3">
      <c r="A17" s="494">
        <f ca="1">'[1]Pg 1 CofCap'!A17</f>
        <v>10</v>
      </c>
      <c r="B17" s="510" t="str">
        <f ca="1">'[1]Pg 1 CofCap'!B17</f>
        <v>Weighted Short-Term Debt Rate</v>
      </c>
      <c r="C17" s="495"/>
      <c r="D17" s="503"/>
      <c r="E17" s="504"/>
      <c r="F17" s="511">
        <f ca="1">'[1]Pg 1 CofCap'!F17</f>
        <v>6.0000000000000006E-4</v>
      </c>
    </row>
    <row r="18" spans="1:6" x14ac:dyDescent="0.3">
      <c r="A18" s="494">
        <f ca="1">'[1]Pg 1 CofCap'!A18</f>
        <v>11</v>
      </c>
      <c r="B18" s="502" t="str">
        <f ca="1">'[1]Pg 1 CofCap'!B18</f>
        <v>Marginal Long-Term Debt Rate</v>
      </c>
      <c r="C18" s="512"/>
      <c r="D18" s="503">
        <f ca="1">'[1]Pg 1 CofCap'!D18</f>
        <v>0.505</v>
      </c>
      <c r="E18" s="504">
        <f ca="1">'[1]Pg 1 CofCap'!E18</f>
        <v>5.7332756117079067E-2</v>
      </c>
      <c r="F18" s="504">
        <f ca="1">'[1]Pg 1 CofCap'!F18</f>
        <v>2.9000000000000001E-2</v>
      </c>
    </row>
    <row r="19" spans="1:6" x14ac:dyDescent="0.3">
      <c r="A19" s="494">
        <f ca="1">'[1]Pg 1 CofCap'!A19</f>
        <v>12</v>
      </c>
      <c r="B19" s="506" t="str">
        <f ca="1">'[1]Pg 1 CofCap'!B19</f>
        <v>Amortization of Reacquired Debt</v>
      </c>
      <c r="C19" s="507"/>
      <c r="D19" s="508"/>
      <c r="E19" s="509"/>
      <c r="F19" s="509">
        <f ca="1">'[1]Pg 1 CofCap'!F19</f>
        <v>2.9999999999999997E-4</v>
      </c>
    </row>
    <row r="20" spans="1:6" x14ac:dyDescent="0.3">
      <c r="A20" s="494">
        <f ca="1">'[1]Pg 1 CofCap'!A20</f>
        <v>13</v>
      </c>
      <c r="B20" s="513" t="str">
        <f ca="1">'[1]Pg 1 CofCap'!B20</f>
        <v>Weighted Long-Term Debt Rate</v>
      </c>
      <c r="C20" s="514"/>
      <c r="D20" s="515"/>
      <c r="E20" s="516"/>
      <c r="F20" s="517">
        <f ca="1">'[1]Pg 1 CofCap'!F20</f>
        <v>2.9300000000000003E-2</v>
      </c>
    </row>
    <row r="21" spans="1:6" x14ac:dyDescent="0.3">
      <c r="A21" s="494">
        <f ca="1">'[1]Pg 1 CofCap'!A21</f>
        <v>14</v>
      </c>
      <c r="B21" s="518" t="str">
        <f ca="1">'[1]Pg 1 CofCap'!B21</f>
        <v>Total Debt</v>
      </c>
      <c r="C21" s="495"/>
      <c r="D21" s="519">
        <f ca="1">'[1]Pg 1 CofCap'!D21</f>
        <v>0.51500000000000001</v>
      </c>
      <c r="E21" s="504">
        <f ca="1">'[1]Pg 1 CofCap'!E21</f>
        <v>5.8058252427184473E-2</v>
      </c>
      <c r="F21" s="511">
        <f ca="1">'[1]Pg 1 CofCap'!F21</f>
        <v>2.9900000000000003E-2</v>
      </c>
    </row>
    <row r="22" spans="1:6" x14ac:dyDescent="0.3">
      <c r="A22" s="494">
        <f ca="1">'[1]Pg 1 CofCap'!A22</f>
        <v>15</v>
      </c>
      <c r="B22" s="518" t="str">
        <f ca="1">'[1]Pg 1 CofCap'!B22</f>
        <v>Common Equity</v>
      </c>
      <c r="C22" s="495"/>
      <c r="D22" s="520">
        <f ca="1">'[1]Pg 1 CofCap'!D22</f>
        <v>0.48499999999999999</v>
      </c>
      <c r="E22" s="521">
        <f ca="1">'[1]Pg 1 CofCap'!E22</f>
        <v>9.5000000000000001E-2</v>
      </c>
      <c r="F22" s="522">
        <f ca="1">'[1]Pg 1 CofCap'!F22</f>
        <v>4.6100000000000002E-2</v>
      </c>
    </row>
    <row r="23" spans="1:6" x14ac:dyDescent="0.3">
      <c r="A23" s="494">
        <f ca="1">'[1]Pg 1 CofCap'!A23</f>
        <v>16</v>
      </c>
      <c r="B23" s="518" t="str">
        <f ca="1">'[1]Pg 1 CofCap'!B23</f>
        <v xml:space="preserve">Total </v>
      </c>
      <c r="C23" s="523"/>
      <c r="D23" s="524">
        <f ca="1">'[1]Pg 1 CofCap'!D23</f>
        <v>1</v>
      </c>
      <c r="E23" s="504"/>
      <c r="F23" s="525">
        <f ca="1">'[1]Pg 1 CofCap'!F23</f>
        <v>7.6000000000000012E-2</v>
      </c>
    </row>
    <row r="24" spans="1:6" x14ac:dyDescent="0.3">
      <c r="A24" s="485"/>
      <c r="B24" s="485"/>
      <c r="C24" s="485"/>
      <c r="D24" s="526"/>
      <c r="E24" s="485"/>
      <c r="F24" s="485"/>
    </row>
    <row r="25" spans="1:6" x14ac:dyDescent="0.3">
      <c r="A25" s="485"/>
      <c r="B25" s="527" t="str">
        <f ca="1">'[1]Pg 1 CofCap'!B25</f>
        <v>Adapted from Exhibit No. BJL-04</v>
      </c>
      <c r="C25" s="528"/>
      <c r="D25" s="526"/>
      <c r="E25" s="485"/>
      <c r="F25" s="485"/>
    </row>
    <row r="26" spans="1:6" x14ac:dyDescent="0.3">
      <c r="A26" s="485"/>
      <c r="B26" s="485"/>
      <c r="C26" s="485"/>
      <c r="D26" s="529"/>
      <c r="E26" s="485"/>
      <c r="F26" s="485"/>
    </row>
  </sheetData>
  <mergeCells count="3">
    <mergeCell ref="B3:F3"/>
    <mergeCell ref="B4:F4"/>
    <mergeCell ref="B9:F9"/>
  </mergeCells>
  <printOptions horizontalCentered="1"/>
  <pageMargins left="0.25" right="0.25" top="0.75" bottom="0.75" header="0.3" footer="0.3"/>
  <pageSetup orientation="landscape" r:id="rId1"/>
  <headerFooter>
    <oddFooter>&amp;L&amp;"Times New Roman,Regular"&amp;F
&amp;A&amp;R&amp;"Times New Roman,Regular"Page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23"/>
  <sheetViews>
    <sheetView workbookViewId="0">
      <selection activeCell="E14" sqref="E14"/>
    </sheetView>
  </sheetViews>
  <sheetFormatPr defaultRowHeight="14.4" x14ac:dyDescent="0.3"/>
  <cols>
    <col min="1" max="1" width="5.44140625" bestFit="1" customWidth="1"/>
    <col min="2" max="2" width="63.6640625" bestFit="1" customWidth="1"/>
    <col min="4" max="4" width="8" bestFit="1" customWidth="1"/>
    <col min="5" max="5" width="22.109375" bestFit="1" customWidth="1"/>
  </cols>
  <sheetData>
    <row r="3" spans="1:5" x14ac:dyDescent="0.3">
      <c r="A3" s="9"/>
      <c r="B3" s="9"/>
      <c r="C3" s="9"/>
      <c r="D3" s="9"/>
      <c r="E3" s="41"/>
    </row>
    <row r="4" spans="1:5" ht="15" thickBot="1" x14ac:dyDescent="0.35">
      <c r="A4" s="9"/>
      <c r="B4" s="9"/>
      <c r="C4" s="9"/>
      <c r="D4" s="9"/>
      <c r="E4" s="3"/>
    </row>
    <row r="5" spans="1:5" ht="15" thickBot="1" x14ac:dyDescent="0.35">
      <c r="A5" s="9"/>
      <c r="B5" s="9"/>
      <c r="C5" s="9"/>
      <c r="D5" s="9"/>
      <c r="E5" s="433" t="str">
        <f ca="1">'[2]3.04 E'!E5</f>
        <v>Page 3.04</v>
      </c>
    </row>
    <row r="6" spans="1:5" x14ac:dyDescent="0.3">
      <c r="A6" s="10"/>
      <c r="B6" s="5" t="str">
        <f ca="1">'[2]3.04 E'!B6</f>
        <v>PUGET SOUND ENERGY-ELECTRIC</v>
      </c>
      <c r="C6" s="5"/>
      <c r="D6" s="5"/>
      <c r="E6" s="5"/>
    </row>
    <row r="7" spans="1:5" x14ac:dyDescent="0.3">
      <c r="A7" s="11"/>
      <c r="B7" s="5" t="str">
        <f ca="1">'[2]3.04 E'!B7</f>
        <v>CONVERSION FACTOR - ELECTRIC</v>
      </c>
      <c r="C7" s="5"/>
      <c r="D7" s="5"/>
      <c r="E7" s="5"/>
    </row>
    <row r="8" spans="1:5" x14ac:dyDescent="0.3">
      <c r="A8" s="5"/>
      <c r="B8" s="5" t="str">
        <f ca="1">'[2]3.04 E'!B8</f>
        <v>FOR THE TWELVE MONTHS ENDED SEPTEMBER 30, 2016</v>
      </c>
      <c r="C8" s="5"/>
      <c r="D8" s="5"/>
      <c r="E8" s="5"/>
    </row>
    <row r="9" spans="1:5" x14ac:dyDescent="0.3">
      <c r="A9" s="10"/>
      <c r="B9" s="5"/>
      <c r="C9" s="5"/>
      <c r="D9" s="5"/>
      <c r="E9" s="5"/>
    </row>
    <row r="10" spans="1:5" x14ac:dyDescent="0.3">
      <c r="A10" s="9"/>
      <c r="B10" s="9"/>
      <c r="C10" s="9"/>
      <c r="D10" s="9"/>
      <c r="E10" s="9"/>
    </row>
    <row r="11" spans="1:5" x14ac:dyDescent="0.3">
      <c r="A11" s="6" t="str">
        <f ca="1">'[2]3.04 E'!A11</f>
        <v>LINE</v>
      </c>
      <c r="B11" s="9"/>
      <c r="C11" s="9"/>
      <c r="D11" s="9"/>
      <c r="E11" s="9"/>
    </row>
    <row r="12" spans="1:5" x14ac:dyDescent="0.3">
      <c r="A12" s="7" t="str">
        <f ca="1">'[2]3.04 E'!A12</f>
        <v>NO.</v>
      </c>
      <c r="B12" s="12" t="str">
        <f ca="1">'[2]3.04 E'!B12</f>
        <v>DESCRIPTION</v>
      </c>
      <c r="C12" s="13"/>
      <c r="D12" s="13"/>
      <c r="E12" s="14" t="str">
        <f ca="1">'[2]3.04 E'!E12</f>
        <v>RATE</v>
      </c>
    </row>
    <row r="13" spans="1:5" x14ac:dyDescent="0.3">
      <c r="A13" s="2"/>
      <c r="B13" s="2"/>
      <c r="C13" s="2"/>
      <c r="D13" s="2"/>
      <c r="E13" s="15"/>
    </row>
    <row r="14" spans="1:5" x14ac:dyDescent="0.3">
      <c r="A14" s="16">
        <f ca="1">'[2]3.04 E'!A14</f>
        <v>1</v>
      </c>
      <c r="B14" s="17" t="str">
        <f ca="1">'[2]3.04 E'!B14</f>
        <v>BAD DEBTS</v>
      </c>
      <c r="C14" s="2"/>
      <c r="D14" s="2"/>
      <c r="E14" s="18">
        <f ca="1">'[2]3.04 E'!E14</f>
        <v>7.1570000000000002E-3</v>
      </c>
    </row>
    <row r="15" spans="1:5" x14ac:dyDescent="0.3">
      <c r="A15" s="16">
        <f ca="1">'[2]3.04 E'!A15</f>
        <v>2</v>
      </c>
      <c r="B15" s="17" t="str">
        <f ca="1">'[2]3.04 E'!B15</f>
        <v>ANNUAL FILING FEE</v>
      </c>
      <c r="C15" s="2"/>
      <c r="D15" s="2"/>
      <c r="E15" s="18">
        <f ca="1">'[2]3.04 E'!E15</f>
        <v>2E-3</v>
      </c>
    </row>
    <row r="16" spans="1:5" x14ac:dyDescent="0.3">
      <c r="A16" s="16">
        <f ca="1">'[2]3.04 E'!A16</f>
        <v>3</v>
      </c>
      <c r="B16" s="17" t="str">
        <f ca="1">'[2]3.04 E'!B16</f>
        <v>STATE UTILITY TAX - NET OF BAD DEBTS ( 3.8734% - ( LINE 1 * 3.8734%) )</v>
      </c>
      <c r="C16" s="19">
        <f ca="1">'[2]3.04 E'!C16</f>
        <v>0</v>
      </c>
      <c r="D16" s="20">
        <f ca="1">'[2]3.04 E'!D16</f>
        <v>3.8733999999999998E-2</v>
      </c>
      <c r="E16" s="21">
        <f ca="1">'[2]3.04 E'!E16</f>
        <v>3.8456999999999998E-2</v>
      </c>
    </row>
    <row r="17" spans="1:5" x14ac:dyDescent="0.3">
      <c r="A17" s="16">
        <f ca="1">'[2]3.04 E'!A17</f>
        <v>4</v>
      </c>
      <c r="B17" s="17"/>
      <c r="C17" s="2"/>
      <c r="D17" s="2"/>
      <c r="E17" s="22"/>
    </row>
    <row r="18" spans="1:5" x14ac:dyDescent="0.3">
      <c r="A18" s="16">
        <f ca="1">'[2]3.04 E'!A18</f>
        <v>5</v>
      </c>
      <c r="B18" s="17" t="str">
        <f ca="1">'[2]3.04 E'!B18</f>
        <v>SUM OF TAXES OTHER</v>
      </c>
      <c r="C18" s="2"/>
      <c r="D18" s="2"/>
      <c r="E18" s="18">
        <f ca="1">'[2]3.04 E'!E18</f>
        <v>4.7613999999999997E-2</v>
      </c>
    </row>
    <row r="19" spans="1:5" x14ac:dyDescent="0.3">
      <c r="A19" s="16">
        <f ca="1">'[2]3.04 E'!A19</f>
        <v>6</v>
      </c>
      <c r="B19" s="2"/>
      <c r="C19" s="2"/>
      <c r="D19" s="2"/>
      <c r="E19" s="18"/>
    </row>
    <row r="20" spans="1:5" x14ac:dyDescent="0.3">
      <c r="A20" s="16">
        <f ca="1">'[2]3.04 E'!A20</f>
        <v>7</v>
      </c>
      <c r="B20" s="2" t="str">
        <f ca="1">'[2]3.04 E'!B20</f>
        <v>CONVERSION FACTOR EXCLUDING FEDERAL INCOME TAX ( 1 - LINE 5)</v>
      </c>
      <c r="C20" s="2"/>
      <c r="D20" s="2"/>
      <c r="E20" s="18">
        <f ca="1">'[2]3.04 E'!E20</f>
        <v>0.95238599999999995</v>
      </c>
    </row>
    <row r="21" spans="1:5" x14ac:dyDescent="0.3">
      <c r="A21" s="16">
        <f ca="1">'[2]3.04 E'!A21</f>
        <v>8</v>
      </c>
      <c r="B21" s="17" t="str">
        <f ca="1">'[2]3.04 E'!B21</f>
        <v>FEDERAL INCOME TAX ( LINE 7 * 35%)</v>
      </c>
      <c r="C21" s="2"/>
      <c r="D21" s="23">
        <f ca="1">'[2]3.04 E'!D21</f>
        <v>0.21</v>
      </c>
      <c r="E21" s="18">
        <f ca="1">'[2]3.04 E'!E21</f>
        <v>0.20000100000000001</v>
      </c>
    </row>
    <row r="22" spans="1:5" ht="15" thickBot="1" x14ac:dyDescent="0.35">
      <c r="A22" s="16">
        <f ca="1">'[2]3.04 E'!A22</f>
        <v>9</v>
      </c>
      <c r="B22" s="17" t="str">
        <f ca="1">'[2]3.04 E'!B22</f>
        <v xml:space="preserve">CONVERSION FACTOR INCL FEDERAL INCOME TAX ( LINE 5 + LINE 8 ) </v>
      </c>
      <c r="C22" s="2"/>
      <c r="D22" s="2"/>
      <c r="E22" s="54">
        <f ca="1">'[2]3.04 E'!E22</f>
        <v>0.75238499999999997</v>
      </c>
    </row>
    <row r="23" spans="1:5" ht="15" thickTop="1" x14ac:dyDescent="0.3">
      <c r="A23" s="24"/>
      <c r="B23" s="8"/>
      <c r="C23" s="8"/>
      <c r="D23" s="8"/>
      <c r="E23" s="8"/>
    </row>
  </sheetData>
  <printOptions horizontalCentered="1"/>
  <pageMargins left="0.25" right="0.25" top="0.75" bottom="0.75" header="0.3" footer="0.3"/>
  <pageSetup orientation="landscape" r:id="rId1"/>
  <headerFooter>
    <oddFooter>&amp;L&amp;"Times New Roman,Regular"&amp;F
&amp;A&amp;R&amp;"Times New Roman,Regular"Page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workbookViewId="0">
      <selection sqref="A1:I1"/>
    </sheetView>
  </sheetViews>
  <sheetFormatPr defaultRowHeight="14.4" x14ac:dyDescent="0.3"/>
  <cols>
    <col min="1" max="1" width="2.5546875" style="1" bestFit="1" customWidth="1"/>
    <col min="2" max="2" width="20.44140625" style="1" bestFit="1" customWidth="1"/>
    <col min="3" max="3" width="18.21875" style="1" bestFit="1" customWidth="1"/>
    <col min="4" max="4" width="8.88671875" style="1"/>
    <col min="5" max="5" width="9" style="1" bestFit="1" customWidth="1"/>
    <col min="6" max="6" width="8.109375" style="1" bestFit="1" customWidth="1"/>
    <col min="7" max="7" width="9.6640625" style="1" bestFit="1" customWidth="1"/>
    <col min="8" max="16384" width="8.88671875" style="1"/>
  </cols>
  <sheetData>
    <row r="1" spans="1:9" x14ac:dyDescent="0.3">
      <c r="A1" s="544" t="s">
        <v>253</v>
      </c>
      <c r="B1" s="545"/>
      <c r="C1" s="545"/>
      <c r="D1" s="545"/>
      <c r="E1" s="545"/>
      <c r="F1" s="545"/>
      <c r="G1" s="545"/>
      <c r="H1" s="545"/>
      <c r="I1" s="545"/>
    </row>
    <row r="2" spans="1:9" x14ac:dyDescent="0.3">
      <c r="A2" s="544" t="s">
        <v>288</v>
      </c>
      <c r="B2" s="545"/>
      <c r="C2" s="545"/>
      <c r="D2" s="545"/>
      <c r="E2" s="545"/>
      <c r="F2" s="545"/>
      <c r="G2" s="545"/>
      <c r="H2" s="545"/>
      <c r="I2" s="545"/>
    </row>
    <row r="3" spans="1:9" x14ac:dyDescent="0.3">
      <c r="A3" s="545" t="s">
        <v>289</v>
      </c>
      <c r="B3" s="545"/>
      <c r="C3" s="545"/>
      <c r="D3" s="545"/>
      <c r="E3" s="545"/>
      <c r="F3" s="545"/>
      <c r="G3" s="545"/>
      <c r="H3" s="545"/>
      <c r="I3" s="545"/>
    </row>
    <row r="4" spans="1:9" x14ac:dyDescent="0.3">
      <c r="A4" s="545" t="s">
        <v>290</v>
      </c>
      <c r="B4" s="545"/>
      <c r="C4" s="545"/>
      <c r="D4" s="545"/>
      <c r="E4" s="545"/>
      <c r="F4" s="545"/>
      <c r="G4" s="545"/>
      <c r="H4" s="545"/>
      <c r="I4" s="545"/>
    </row>
    <row r="5" spans="1:9" ht="15" thickBot="1" x14ac:dyDescent="0.35">
      <c r="A5" s="353"/>
      <c r="B5" s="353"/>
      <c r="C5" s="353"/>
      <c r="D5" s="353"/>
      <c r="E5" s="353"/>
      <c r="F5" s="353"/>
      <c r="G5" s="353"/>
      <c r="H5" s="353"/>
      <c r="I5" s="353"/>
    </row>
    <row r="6" spans="1:9" ht="15" thickTop="1" x14ac:dyDescent="0.3">
      <c r="A6" s="354"/>
      <c r="C6" s="355"/>
      <c r="D6" s="356"/>
      <c r="E6" s="357"/>
      <c r="F6" s="357"/>
      <c r="G6" s="358" t="s">
        <v>254</v>
      </c>
    </row>
    <row r="7" spans="1:9" ht="15" thickBot="1" x14ac:dyDescent="0.35">
      <c r="A7" s="354"/>
      <c r="C7" s="359"/>
      <c r="D7" s="360"/>
      <c r="E7" s="361" t="s">
        <v>255</v>
      </c>
      <c r="F7" s="361" t="s">
        <v>256</v>
      </c>
      <c r="G7" s="362" t="s">
        <v>257</v>
      </c>
    </row>
    <row r="8" spans="1:9" x14ac:dyDescent="0.3">
      <c r="A8" s="354"/>
      <c r="C8" s="363" t="s">
        <v>258</v>
      </c>
      <c r="D8" s="95"/>
      <c r="E8" s="364"/>
      <c r="F8" s="364">
        <v>99.211315943849797</v>
      </c>
      <c r="G8" s="365"/>
    </row>
    <row r="9" spans="1:9" ht="15" thickBot="1" x14ac:dyDescent="0.35">
      <c r="A9" s="354"/>
      <c r="C9" s="366" t="s">
        <v>259</v>
      </c>
      <c r="D9" s="367"/>
      <c r="E9" s="368">
        <v>171.38482643230833</v>
      </c>
      <c r="F9" s="368">
        <v>695.27290213449953</v>
      </c>
      <c r="G9" s="369">
        <v>0.24650008062467849</v>
      </c>
    </row>
    <row r="10" spans="1:9" ht="15" thickTop="1" x14ac:dyDescent="0.3">
      <c r="A10" s="354"/>
      <c r="B10" s="354"/>
      <c r="C10" s="354"/>
      <c r="D10" s="354"/>
      <c r="G10" s="354"/>
      <c r="H10" s="354"/>
    </row>
    <row r="11" spans="1:9" x14ac:dyDescent="0.3">
      <c r="A11" s="354"/>
      <c r="B11" s="354"/>
      <c r="C11" s="354"/>
      <c r="D11" s="354"/>
      <c r="E11" s="354"/>
      <c r="F11" s="354"/>
      <c r="G11" s="354"/>
      <c r="H11" s="354"/>
    </row>
    <row r="12" spans="1:9" ht="15" thickBot="1" x14ac:dyDescent="0.35">
      <c r="B12" s="360" t="s">
        <v>260</v>
      </c>
      <c r="C12" s="370"/>
      <c r="D12" s="370"/>
      <c r="E12" s="370"/>
      <c r="F12" s="370"/>
      <c r="G12" s="370"/>
      <c r="H12" s="370"/>
    </row>
    <row r="13" spans="1:9" x14ac:dyDescent="0.3">
      <c r="B13" s="371"/>
      <c r="C13" s="95"/>
      <c r="D13" s="95"/>
      <c r="E13" s="95"/>
      <c r="F13" s="95"/>
      <c r="G13" s="95"/>
      <c r="H13" s="95"/>
    </row>
    <row r="14" spans="1:9" x14ac:dyDescent="0.3">
      <c r="B14" s="371"/>
      <c r="C14" s="95"/>
      <c r="D14" s="95"/>
      <c r="E14" s="546" t="s">
        <v>261</v>
      </c>
      <c r="F14" s="546"/>
      <c r="G14" s="95"/>
      <c r="H14" s="95"/>
    </row>
    <row r="15" spans="1:9" x14ac:dyDescent="0.3">
      <c r="C15" s="95"/>
      <c r="D15" s="95"/>
      <c r="E15" s="372" t="s">
        <v>255</v>
      </c>
      <c r="F15" s="372" t="s">
        <v>256</v>
      </c>
      <c r="G15" s="372" t="s">
        <v>262</v>
      </c>
      <c r="H15" s="95"/>
    </row>
    <row r="16" spans="1:9" x14ac:dyDescent="0.3">
      <c r="A16" s="354">
        <v>1</v>
      </c>
      <c r="B16" s="95" t="s">
        <v>263</v>
      </c>
      <c r="C16" s="95"/>
      <c r="D16" s="95"/>
      <c r="E16" s="88">
        <v>915</v>
      </c>
      <c r="F16" s="88">
        <v>1540</v>
      </c>
      <c r="G16" s="95" t="s">
        <v>264</v>
      </c>
      <c r="H16" s="95"/>
    </row>
    <row r="17" spans="1:8" x14ac:dyDescent="0.3">
      <c r="A17" s="354">
        <v>2</v>
      </c>
      <c r="B17" s="95" t="s">
        <v>265</v>
      </c>
      <c r="C17" s="95"/>
      <c r="D17" s="95"/>
      <c r="E17" s="89">
        <v>0.1079</v>
      </c>
      <c r="F17" s="89">
        <v>0.1079</v>
      </c>
      <c r="H17" s="95"/>
    </row>
    <row r="18" spans="1:8" x14ac:dyDescent="0.3">
      <c r="A18" s="354">
        <v>3</v>
      </c>
      <c r="B18" s="95" t="s">
        <v>266</v>
      </c>
      <c r="C18" s="95"/>
      <c r="D18" s="95"/>
      <c r="E18" s="90">
        <v>19.91</v>
      </c>
      <c r="F18" s="90">
        <v>65.289999999999992</v>
      </c>
      <c r="G18" s="95" t="s">
        <v>264</v>
      </c>
      <c r="H18" s="371"/>
    </row>
    <row r="19" spans="1:8" x14ac:dyDescent="0.3">
      <c r="A19" s="354">
        <v>4</v>
      </c>
      <c r="B19" s="95" t="s">
        <v>267</v>
      </c>
      <c r="C19" s="95"/>
      <c r="D19" s="95"/>
      <c r="E19" s="90">
        <v>0.67999999999999994</v>
      </c>
      <c r="F19" s="90">
        <v>0.45999999999999996</v>
      </c>
      <c r="G19" s="95" t="s">
        <v>264</v>
      </c>
      <c r="H19" s="95"/>
    </row>
    <row r="20" spans="1:8" x14ac:dyDescent="0.3">
      <c r="A20" s="354">
        <v>5</v>
      </c>
      <c r="B20" s="95" t="s">
        <v>268</v>
      </c>
      <c r="C20" s="95"/>
      <c r="D20" s="95"/>
      <c r="E20" s="91">
        <v>10231</v>
      </c>
      <c r="F20" s="91">
        <v>6822</v>
      </c>
      <c r="H20" s="95"/>
    </row>
    <row r="21" spans="1:8" x14ac:dyDescent="0.3">
      <c r="A21" s="354">
        <v>6</v>
      </c>
      <c r="B21" s="95" t="s">
        <v>269</v>
      </c>
      <c r="C21" s="95"/>
      <c r="D21" s="95"/>
      <c r="E21" s="89">
        <v>7.7700000000000005E-2</v>
      </c>
      <c r="F21" s="89">
        <v>7.7700000000000005E-2</v>
      </c>
      <c r="H21" s="95"/>
    </row>
    <row r="22" spans="1:8" x14ac:dyDescent="0.3">
      <c r="A22" s="354">
        <v>7</v>
      </c>
      <c r="B22" s="95" t="s">
        <v>270</v>
      </c>
      <c r="C22" s="95"/>
      <c r="D22" s="95"/>
      <c r="E22" s="92">
        <v>0</v>
      </c>
      <c r="F22" s="93">
        <v>0.8</v>
      </c>
      <c r="H22" s="95"/>
    </row>
    <row r="23" spans="1:8" x14ac:dyDescent="0.3">
      <c r="A23" s="354">
        <v>8</v>
      </c>
      <c r="B23" s="95" t="s">
        <v>271</v>
      </c>
      <c r="C23" s="95"/>
      <c r="D23" s="95"/>
      <c r="E23" s="93">
        <v>7.0000000000000007E-2</v>
      </c>
      <c r="F23" s="93">
        <v>7.0000000000000007E-2</v>
      </c>
      <c r="G23" s="92"/>
      <c r="H23" s="92"/>
    </row>
    <row r="24" spans="1:8" x14ac:dyDescent="0.3">
      <c r="A24" s="94" t="s">
        <v>272</v>
      </c>
      <c r="B24" s="95" t="s">
        <v>273</v>
      </c>
      <c r="C24" s="95"/>
      <c r="D24" s="95"/>
      <c r="E24" s="93">
        <v>0.13500000000000001</v>
      </c>
      <c r="F24" s="93">
        <v>0.13500000000000001</v>
      </c>
      <c r="G24" s="92"/>
      <c r="H24" s="92"/>
    </row>
    <row r="25" spans="1:8" x14ac:dyDescent="0.3">
      <c r="A25" s="94" t="s">
        <v>274</v>
      </c>
      <c r="B25" s="95" t="s">
        <v>275</v>
      </c>
      <c r="C25" s="95"/>
      <c r="D25" s="95"/>
      <c r="E25" s="93">
        <v>0.14000000000000001</v>
      </c>
      <c r="F25" s="93">
        <v>0.14000000000000001</v>
      </c>
      <c r="G25" s="92"/>
      <c r="H25" s="92"/>
    </row>
    <row r="26" spans="1:8" x14ac:dyDescent="0.3">
      <c r="A26" s="94" t="s">
        <v>276</v>
      </c>
      <c r="B26" s="95" t="s">
        <v>277</v>
      </c>
      <c r="C26" s="95"/>
      <c r="D26" s="95"/>
      <c r="E26" s="93">
        <v>0.16</v>
      </c>
      <c r="F26" s="93">
        <v>0.16</v>
      </c>
      <c r="G26" s="92"/>
      <c r="H26" s="92"/>
    </row>
    <row r="27" spans="1:8" x14ac:dyDescent="0.3">
      <c r="A27" s="354">
        <v>10</v>
      </c>
      <c r="B27" s="354" t="s">
        <v>278</v>
      </c>
      <c r="C27" s="95"/>
      <c r="D27" s="95"/>
      <c r="E27" s="96">
        <v>592.88644999999997</v>
      </c>
      <c r="F27" s="96">
        <v>395.3349</v>
      </c>
      <c r="H27" s="95"/>
    </row>
    <row r="28" spans="1:8" x14ac:dyDescent="0.3">
      <c r="A28" s="354"/>
      <c r="B28" s="354"/>
      <c r="C28" s="95"/>
      <c r="D28" s="95"/>
      <c r="E28" s="97"/>
      <c r="F28" s="97"/>
      <c r="H28" s="95"/>
    </row>
    <row r="29" spans="1:8" x14ac:dyDescent="0.3">
      <c r="B29" s="371"/>
      <c r="C29" s="95"/>
      <c r="D29" s="95"/>
      <c r="E29" s="95"/>
      <c r="F29" s="95"/>
      <c r="G29" s="95"/>
      <c r="H29" s="95"/>
    </row>
    <row r="30" spans="1:8" x14ac:dyDescent="0.3">
      <c r="E30" s="547" t="s">
        <v>269</v>
      </c>
      <c r="F30" s="547"/>
      <c r="G30" s="547"/>
    </row>
    <row r="31" spans="1:8" x14ac:dyDescent="0.3">
      <c r="E31" s="98" t="s">
        <v>279</v>
      </c>
      <c r="F31" s="98"/>
      <c r="G31" s="98" t="s">
        <v>280</v>
      </c>
    </row>
    <row r="32" spans="1:8" x14ac:dyDescent="0.3">
      <c r="E32" s="149" t="s">
        <v>281</v>
      </c>
      <c r="F32" s="149" t="s">
        <v>282</v>
      </c>
      <c r="G32" s="149" t="s">
        <v>283</v>
      </c>
    </row>
    <row r="33" spans="1:9" x14ac:dyDescent="0.3">
      <c r="A33" s="354">
        <v>11</v>
      </c>
      <c r="B33" s="99" t="s">
        <v>284</v>
      </c>
      <c r="C33" s="100"/>
      <c r="E33" s="101">
        <v>0.04</v>
      </c>
      <c r="F33" s="101">
        <v>2.6800000000000001E-2</v>
      </c>
      <c r="G33" s="101">
        <v>1.1000000000000001E-3</v>
      </c>
      <c r="I33" s="373"/>
    </row>
    <row r="34" spans="1:9" x14ac:dyDescent="0.3">
      <c r="A34" s="354">
        <v>12</v>
      </c>
      <c r="B34" s="99" t="s">
        <v>285</v>
      </c>
      <c r="C34" s="100"/>
      <c r="E34" s="101">
        <v>0.48</v>
      </c>
      <c r="F34" s="101">
        <v>6.1600000000000002E-2</v>
      </c>
      <c r="G34" s="101">
        <v>2.9600000000000001E-2</v>
      </c>
      <c r="I34" s="373"/>
    </row>
    <row r="35" spans="1:9" x14ac:dyDescent="0.3">
      <c r="A35" s="354">
        <v>13</v>
      </c>
      <c r="B35" s="100" t="s">
        <v>286</v>
      </c>
      <c r="C35" s="100"/>
      <c r="E35" s="102">
        <v>0.48</v>
      </c>
      <c r="F35" s="102">
        <v>9.8000000000000004E-2</v>
      </c>
      <c r="G35" s="103">
        <v>4.7E-2</v>
      </c>
      <c r="I35" s="373"/>
    </row>
    <row r="36" spans="1:9" x14ac:dyDescent="0.3">
      <c r="A36" s="354">
        <v>14</v>
      </c>
      <c r="B36" s="100" t="s">
        <v>287</v>
      </c>
      <c r="C36" s="100"/>
      <c r="E36" s="104">
        <v>1</v>
      </c>
      <c r="F36" s="105"/>
      <c r="G36" s="104">
        <v>7.7700000000000005E-2</v>
      </c>
      <c r="I36" s="373"/>
    </row>
    <row r="37" spans="1:9" ht="15" thickBot="1" x14ac:dyDescent="0.35">
      <c r="A37" s="354"/>
      <c r="B37" s="374"/>
      <c r="C37" s="374"/>
      <c r="D37" s="374"/>
      <c r="E37" s="374"/>
      <c r="F37" s="374"/>
      <c r="G37" s="374"/>
      <c r="H37" s="374"/>
      <c r="I37" s="353"/>
    </row>
  </sheetData>
  <mergeCells count="6">
    <mergeCell ref="A1:I1"/>
    <mergeCell ref="A2:I2"/>
    <mergeCell ref="A3:I3"/>
    <mergeCell ref="E14:F14"/>
    <mergeCell ref="E30:G30"/>
    <mergeCell ref="A4:I4"/>
  </mergeCells>
  <printOptions horizontalCentered="1"/>
  <pageMargins left="0.25" right="0.25" top="0.75" bottom="0.75" header="0.3" footer="0.3"/>
  <pageSetup scale="92" orientation="landscape" r:id="rId1"/>
  <headerFooter>
    <oddFooter>&amp;L&amp;"Times New Roman,Regular"&amp;F
&amp;A&amp;R&amp;"Times New Roman,Regular"Page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zoomScaleNormal="100" workbookViewId="0">
      <selection sqref="A1:Q1"/>
    </sheetView>
  </sheetViews>
  <sheetFormatPr defaultRowHeight="14.4" x14ac:dyDescent="0.3"/>
  <cols>
    <col min="1" max="1" width="12.109375" bestFit="1" customWidth="1"/>
    <col min="2" max="13" width="10.44140625" bestFit="1" customWidth="1"/>
    <col min="14" max="14" width="2.44140625" customWidth="1"/>
    <col min="15" max="15" width="10.44140625" bestFit="1" customWidth="1"/>
    <col min="16" max="16" width="10.88671875" bestFit="1" customWidth="1"/>
    <col min="17" max="17" width="10.44140625" bestFit="1" customWidth="1"/>
  </cols>
  <sheetData>
    <row r="1" spans="1:19" x14ac:dyDescent="0.3">
      <c r="A1" s="536" t="s">
        <v>65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6"/>
    </row>
    <row r="2" spans="1:19" x14ac:dyDescent="0.3">
      <c r="A2" s="536" t="s">
        <v>73</v>
      </c>
      <c r="B2" s="536"/>
      <c r="C2" s="536"/>
      <c r="D2" s="536"/>
      <c r="E2" s="536"/>
      <c r="F2" s="536"/>
      <c r="G2" s="536"/>
      <c r="H2" s="536"/>
      <c r="I2" s="536"/>
      <c r="J2" s="536"/>
      <c r="K2" s="536"/>
      <c r="L2" s="536"/>
      <c r="M2" s="536"/>
      <c r="N2" s="536"/>
      <c r="O2" s="536"/>
      <c r="P2" s="536"/>
      <c r="Q2" s="536"/>
    </row>
    <row r="3" spans="1:19" x14ac:dyDescent="0.3">
      <c r="A3" s="537" t="s">
        <v>48</v>
      </c>
      <c r="B3" s="536"/>
      <c r="C3" s="536"/>
      <c r="D3" s="536"/>
      <c r="E3" s="536"/>
      <c r="F3" s="536"/>
      <c r="G3" s="536"/>
      <c r="H3" s="536"/>
      <c r="I3" s="536"/>
      <c r="J3" s="536"/>
      <c r="K3" s="536"/>
      <c r="L3" s="536"/>
      <c r="M3" s="536"/>
      <c r="N3" s="536"/>
      <c r="O3" s="536"/>
      <c r="P3" s="536"/>
      <c r="Q3" s="536"/>
    </row>
    <row r="4" spans="1:19" x14ac:dyDescent="0.3">
      <c r="A4" s="536" t="s">
        <v>4</v>
      </c>
      <c r="B4" s="536"/>
      <c r="C4" s="536"/>
      <c r="D4" s="536"/>
      <c r="E4" s="536"/>
      <c r="F4" s="536"/>
      <c r="G4" s="536"/>
      <c r="H4" s="536"/>
      <c r="I4" s="536"/>
      <c r="J4" s="536"/>
      <c r="K4" s="536"/>
      <c r="L4" s="536"/>
      <c r="M4" s="536"/>
      <c r="N4" s="536"/>
      <c r="O4" s="536"/>
      <c r="P4" s="536"/>
      <c r="Q4" s="536"/>
    </row>
    <row r="5" spans="1:19" x14ac:dyDescent="0.3">
      <c r="A5" s="536" t="s">
        <v>72</v>
      </c>
      <c r="B5" s="536"/>
      <c r="C5" s="536"/>
      <c r="D5" s="536"/>
      <c r="E5" s="536"/>
      <c r="F5" s="536"/>
      <c r="G5" s="536"/>
      <c r="H5" s="536"/>
      <c r="I5" s="536"/>
      <c r="J5" s="536"/>
      <c r="K5" s="536"/>
      <c r="L5" s="536"/>
      <c r="M5" s="536"/>
      <c r="N5" s="536"/>
      <c r="O5" s="536"/>
      <c r="P5" s="536"/>
      <c r="Q5" s="536"/>
    </row>
    <row r="7" spans="1:19" ht="28.8" x14ac:dyDescent="0.3">
      <c r="A7" s="26" t="s">
        <v>3</v>
      </c>
      <c r="B7" s="26" t="s">
        <v>4</v>
      </c>
    </row>
    <row r="9" spans="1:19" ht="43.2" x14ac:dyDescent="0.3">
      <c r="A9" s="26" t="s">
        <v>5</v>
      </c>
      <c r="B9" s="26" t="s">
        <v>6</v>
      </c>
      <c r="C9" s="26" t="s">
        <v>7</v>
      </c>
      <c r="D9" s="26" t="s">
        <v>8</v>
      </c>
      <c r="E9" s="26" t="s">
        <v>9</v>
      </c>
      <c r="F9" s="26" t="s">
        <v>10</v>
      </c>
      <c r="G9" s="26" t="s">
        <v>11</v>
      </c>
      <c r="H9" s="26" t="s">
        <v>12</v>
      </c>
      <c r="I9" s="26" t="s">
        <v>13</v>
      </c>
      <c r="J9" s="26" t="s">
        <v>14</v>
      </c>
      <c r="K9" s="26" t="s">
        <v>15</v>
      </c>
      <c r="L9" s="26" t="s">
        <v>16</v>
      </c>
      <c r="M9" s="26" t="s">
        <v>17</v>
      </c>
      <c r="N9" s="25"/>
      <c r="O9" s="26" t="s">
        <v>18</v>
      </c>
      <c r="P9" s="26" t="s">
        <v>19</v>
      </c>
      <c r="Q9" s="26" t="s">
        <v>20</v>
      </c>
      <c r="S9" s="26" t="s">
        <v>19</v>
      </c>
    </row>
    <row r="10" spans="1:19" x14ac:dyDescent="0.3">
      <c r="A10" s="27">
        <v>7</v>
      </c>
      <c r="B10" s="28">
        <v>973096</v>
      </c>
      <c r="C10" s="28">
        <v>975038</v>
      </c>
      <c r="D10" s="28">
        <v>976579</v>
      </c>
      <c r="E10" s="28">
        <v>977562</v>
      </c>
      <c r="F10" s="28">
        <v>978353</v>
      </c>
      <c r="G10" s="28">
        <v>979711</v>
      </c>
      <c r="H10" s="28">
        <v>980335</v>
      </c>
      <c r="I10" s="28">
        <v>982766</v>
      </c>
      <c r="J10" s="28">
        <v>985020</v>
      </c>
      <c r="K10" s="28">
        <v>985347</v>
      </c>
      <c r="L10" s="28">
        <v>986331</v>
      </c>
      <c r="M10" s="28">
        <v>987781</v>
      </c>
      <c r="O10" s="29">
        <v>980660</v>
      </c>
      <c r="P10" s="424">
        <v>0</v>
      </c>
      <c r="Q10" s="29">
        <v>980660</v>
      </c>
      <c r="S10" s="424"/>
    </row>
    <row r="11" spans="1:19" x14ac:dyDescent="0.3">
      <c r="A11" s="27">
        <v>24</v>
      </c>
      <c r="B11" s="28">
        <v>116929</v>
      </c>
      <c r="C11" s="28">
        <v>117012</v>
      </c>
      <c r="D11" s="28">
        <v>117140</v>
      </c>
      <c r="E11" s="28">
        <v>117321</v>
      </c>
      <c r="F11" s="28">
        <v>117404</v>
      </c>
      <c r="G11" s="28">
        <v>117638</v>
      </c>
      <c r="H11" s="28">
        <v>117765</v>
      </c>
      <c r="I11" s="28">
        <v>118080</v>
      </c>
      <c r="J11" s="28">
        <v>118654</v>
      </c>
      <c r="K11" s="28">
        <v>118844</v>
      </c>
      <c r="L11" s="28">
        <v>119057</v>
      </c>
      <c r="M11" s="28">
        <v>119270</v>
      </c>
      <c r="O11" s="29">
        <v>117926</v>
      </c>
      <c r="P11" s="424">
        <v>0</v>
      </c>
      <c r="Q11" s="29">
        <v>117918</v>
      </c>
      <c r="S11" s="424">
        <v>-8</v>
      </c>
    </row>
    <row r="12" spans="1:19" x14ac:dyDescent="0.3">
      <c r="A12" s="27" t="s">
        <v>21</v>
      </c>
      <c r="B12" s="28">
        <v>4</v>
      </c>
      <c r="C12" s="28">
        <v>4</v>
      </c>
      <c r="D12" s="28">
        <v>4</v>
      </c>
      <c r="E12" s="28">
        <v>4</v>
      </c>
      <c r="F12" s="28">
        <v>4</v>
      </c>
      <c r="G12" s="28">
        <v>4</v>
      </c>
      <c r="H12" s="28">
        <v>4</v>
      </c>
      <c r="I12" s="28">
        <v>4</v>
      </c>
      <c r="J12" s="28">
        <v>4</v>
      </c>
      <c r="K12" s="28">
        <v>4</v>
      </c>
      <c r="L12" s="28">
        <v>4</v>
      </c>
      <c r="M12" s="28">
        <v>4</v>
      </c>
      <c r="O12" s="29">
        <v>4</v>
      </c>
      <c r="P12" s="424">
        <v>0</v>
      </c>
      <c r="Q12" s="29">
        <v>4</v>
      </c>
      <c r="S12" s="424"/>
    </row>
    <row r="13" spans="1:19" x14ac:dyDescent="0.3">
      <c r="A13" s="27">
        <v>25</v>
      </c>
      <c r="B13" s="28">
        <v>7076</v>
      </c>
      <c r="C13" s="28">
        <v>7076</v>
      </c>
      <c r="D13" s="28">
        <v>7061</v>
      </c>
      <c r="E13" s="28">
        <v>7066</v>
      </c>
      <c r="F13" s="28">
        <v>7073</v>
      </c>
      <c r="G13" s="28">
        <v>7062</v>
      </c>
      <c r="H13" s="28">
        <v>7062</v>
      </c>
      <c r="I13" s="28">
        <v>7063</v>
      </c>
      <c r="J13" s="28">
        <v>7061</v>
      </c>
      <c r="K13" s="28">
        <v>7037</v>
      </c>
      <c r="L13" s="28">
        <v>7011</v>
      </c>
      <c r="M13" s="28">
        <v>7003</v>
      </c>
      <c r="O13" s="29">
        <v>7054</v>
      </c>
      <c r="P13" s="424">
        <v>0</v>
      </c>
      <c r="Q13" s="29">
        <v>7043</v>
      </c>
      <c r="S13" s="424">
        <v>-11</v>
      </c>
    </row>
    <row r="14" spans="1:19" x14ac:dyDescent="0.3">
      <c r="A14" s="27">
        <v>26</v>
      </c>
      <c r="B14" s="28">
        <v>780</v>
      </c>
      <c r="C14" s="28">
        <v>782</v>
      </c>
      <c r="D14" s="28">
        <v>783</v>
      </c>
      <c r="E14" s="28">
        <v>786</v>
      </c>
      <c r="F14" s="28">
        <v>779</v>
      </c>
      <c r="G14" s="28">
        <v>784</v>
      </c>
      <c r="H14" s="28">
        <v>785</v>
      </c>
      <c r="I14" s="28">
        <v>787</v>
      </c>
      <c r="J14" s="28">
        <v>786</v>
      </c>
      <c r="K14" s="28">
        <v>786</v>
      </c>
      <c r="L14" s="28">
        <v>789</v>
      </c>
      <c r="M14" s="28">
        <v>793</v>
      </c>
      <c r="O14" s="29">
        <v>785</v>
      </c>
      <c r="P14" s="424">
        <v>0</v>
      </c>
      <c r="Q14" s="29">
        <v>778</v>
      </c>
      <c r="S14" s="424">
        <v>-7</v>
      </c>
    </row>
    <row r="15" spans="1:19" x14ac:dyDescent="0.3">
      <c r="A15" s="27">
        <v>29</v>
      </c>
      <c r="B15" s="28">
        <v>556</v>
      </c>
      <c r="C15" s="28">
        <v>518</v>
      </c>
      <c r="D15" s="28">
        <v>501</v>
      </c>
      <c r="E15" s="28">
        <v>496</v>
      </c>
      <c r="F15" s="28">
        <v>493</v>
      </c>
      <c r="G15" s="28">
        <v>500</v>
      </c>
      <c r="H15" s="28">
        <v>538</v>
      </c>
      <c r="I15" s="28">
        <v>610</v>
      </c>
      <c r="J15" s="28">
        <v>642</v>
      </c>
      <c r="K15" s="28">
        <v>658</v>
      </c>
      <c r="L15" s="28">
        <v>663</v>
      </c>
      <c r="M15" s="28">
        <v>656</v>
      </c>
      <c r="O15" s="29">
        <v>569</v>
      </c>
      <c r="P15" s="424">
        <v>0</v>
      </c>
      <c r="Q15" s="29">
        <v>569</v>
      </c>
      <c r="S15" s="424"/>
    </row>
    <row r="16" spans="1:19" x14ac:dyDescent="0.3">
      <c r="A16" s="27">
        <v>31</v>
      </c>
      <c r="B16" s="28">
        <v>474</v>
      </c>
      <c r="C16" s="28">
        <v>476</v>
      </c>
      <c r="D16" s="28">
        <v>475</v>
      </c>
      <c r="E16" s="28">
        <v>476</v>
      </c>
      <c r="F16" s="28">
        <v>475</v>
      </c>
      <c r="G16" s="28">
        <v>476</v>
      </c>
      <c r="H16" s="28">
        <v>477</v>
      </c>
      <c r="I16" s="28">
        <v>476</v>
      </c>
      <c r="J16" s="28">
        <v>477</v>
      </c>
      <c r="K16" s="28">
        <v>478</v>
      </c>
      <c r="L16" s="28">
        <v>478</v>
      </c>
      <c r="M16" s="28">
        <v>479</v>
      </c>
      <c r="O16" s="29">
        <v>476</v>
      </c>
      <c r="P16" s="424">
        <v>0</v>
      </c>
      <c r="Q16" s="29">
        <v>475</v>
      </c>
      <c r="S16" s="424">
        <v>-1</v>
      </c>
    </row>
    <row r="17" spans="1:19" x14ac:dyDescent="0.3">
      <c r="A17" s="27">
        <v>35</v>
      </c>
      <c r="B17" s="28">
        <v>1</v>
      </c>
      <c r="C17" s="28">
        <v>1</v>
      </c>
      <c r="D17" s="28">
        <v>1</v>
      </c>
      <c r="E17" s="28">
        <v>1</v>
      </c>
      <c r="F17" s="28">
        <v>1</v>
      </c>
      <c r="G17" s="28">
        <v>1</v>
      </c>
      <c r="H17" s="28">
        <v>1</v>
      </c>
      <c r="I17" s="28">
        <v>1</v>
      </c>
      <c r="J17" s="28">
        <v>1</v>
      </c>
      <c r="K17" s="28">
        <v>1</v>
      </c>
      <c r="L17" s="28">
        <v>1</v>
      </c>
      <c r="M17" s="28">
        <v>1</v>
      </c>
      <c r="O17" s="29">
        <v>1</v>
      </c>
      <c r="P17" s="424">
        <v>0</v>
      </c>
      <c r="Q17" s="29">
        <v>1</v>
      </c>
      <c r="S17" s="424"/>
    </row>
    <row r="18" spans="1:19" x14ac:dyDescent="0.3">
      <c r="A18" s="27">
        <v>40</v>
      </c>
      <c r="B18" s="28">
        <v>131</v>
      </c>
      <c r="C18" s="28">
        <v>131</v>
      </c>
      <c r="D18" s="28">
        <v>131</v>
      </c>
      <c r="E18" s="28">
        <v>131</v>
      </c>
      <c r="F18" s="28">
        <v>131</v>
      </c>
      <c r="G18" s="28">
        <v>131</v>
      </c>
      <c r="H18" s="28">
        <v>131</v>
      </c>
      <c r="I18" s="28">
        <v>131</v>
      </c>
      <c r="J18" s="28">
        <v>131</v>
      </c>
      <c r="K18" s="28">
        <v>131</v>
      </c>
      <c r="L18" s="28">
        <v>132</v>
      </c>
      <c r="M18" s="28">
        <v>131</v>
      </c>
      <c r="O18" s="29">
        <v>131</v>
      </c>
      <c r="P18" s="424">
        <v>0</v>
      </c>
      <c r="Q18" s="29">
        <v>158</v>
      </c>
      <c r="S18" s="424">
        <v>27</v>
      </c>
    </row>
    <row r="19" spans="1:19" x14ac:dyDescent="0.3">
      <c r="A19" s="27">
        <v>43</v>
      </c>
      <c r="B19" s="28">
        <v>159</v>
      </c>
      <c r="C19" s="28">
        <v>158</v>
      </c>
      <c r="D19" s="28">
        <v>158</v>
      </c>
      <c r="E19" s="28">
        <v>158</v>
      </c>
      <c r="F19" s="28">
        <v>158</v>
      </c>
      <c r="G19" s="28">
        <v>158</v>
      </c>
      <c r="H19" s="28">
        <v>158</v>
      </c>
      <c r="I19" s="28">
        <v>158</v>
      </c>
      <c r="J19" s="28">
        <v>157</v>
      </c>
      <c r="K19" s="28">
        <v>157</v>
      </c>
      <c r="L19" s="28">
        <v>157</v>
      </c>
      <c r="M19" s="28">
        <v>157</v>
      </c>
      <c r="O19" s="29">
        <v>158</v>
      </c>
      <c r="P19" s="424">
        <v>0</v>
      </c>
      <c r="Q19" s="29">
        <v>158</v>
      </c>
      <c r="S19" s="424"/>
    </row>
    <row r="20" spans="1:19" x14ac:dyDescent="0.3">
      <c r="A20" s="27">
        <v>46</v>
      </c>
      <c r="B20" s="28">
        <v>5</v>
      </c>
      <c r="C20" s="28">
        <v>5</v>
      </c>
      <c r="D20" s="28">
        <v>5</v>
      </c>
      <c r="E20" s="28">
        <v>5</v>
      </c>
      <c r="F20" s="28">
        <v>5</v>
      </c>
      <c r="G20" s="28">
        <v>5</v>
      </c>
      <c r="H20" s="28">
        <v>5</v>
      </c>
      <c r="I20" s="28">
        <v>5</v>
      </c>
      <c r="J20" s="28">
        <v>5</v>
      </c>
      <c r="K20" s="28">
        <v>5</v>
      </c>
      <c r="L20" s="28">
        <v>5</v>
      </c>
      <c r="M20" s="28">
        <v>5</v>
      </c>
      <c r="O20" s="29">
        <v>5</v>
      </c>
      <c r="P20" s="424">
        <v>0</v>
      </c>
      <c r="Q20" s="29">
        <v>5</v>
      </c>
      <c r="S20" s="424"/>
    </row>
    <row r="21" spans="1:19" x14ac:dyDescent="0.3">
      <c r="A21" s="27">
        <v>49</v>
      </c>
      <c r="B21" s="28">
        <v>20</v>
      </c>
      <c r="C21" s="28">
        <v>20</v>
      </c>
      <c r="D21" s="28">
        <v>20</v>
      </c>
      <c r="E21" s="28">
        <v>20</v>
      </c>
      <c r="F21" s="28">
        <v>20</v>
      </c>
      <c r="G21" s="28">
        <v>20</v>
      </c>
      <c r="H21" s="28">
        <v>20</v>
      </c>
      <c r="I21" s="28">
        <v>20</v>
      </c>
      <c r="J21" s="28">
        <v>20</v>
      </c>
      <c r="K21" s="28">
        <v>20</v>
      </c>
      <c r="L21" s="28">
        <v>20</v>
      </c>
      <c r="M21" s="28">
        <v>20</v>
      </c>
      <c r="O21" s="29">
        <v>20</v>
      </c>
      <c r="P21" s="424">
        <v>0</v>
      </c>
      <c r="Q21" s="29">
        <v>20</v>
      </c>
      <c r="S21" s="424"/>
    </row>
    <row r="22" spans="1:19" x14ac:dyDescent="0.3">
      <c r="A22" s="27" t="s">
        <v>22</v>
      </c>
      <c r="B22" s="28">
        <v>7187</v>
      </c>
      <c r="C22" s="28">
        <v>7172</v>
      </c>
      <c r="D22" s="28">
        <v>7159</v>
      </c>
      <c r="E22" s="28">
        <v>7169</v>
      </c>
      <c r="F22" s="28">
        <v>7192</v>
      </c>
      <c r="G22" s="28">
        <v>7204</v>
      </c>
      <c r="H22" s="28">
        <v>7235</v>
      </c>
      <c r="I22" s="28">
        <v>7284</v>
      </c>
      <c r="J22" s="28">
        <v>7284</v>
      </c>
      <c r="K22" s="28">
        <v>7263</v>
      </c>
      <c r="L22" s="28">
        <v>7279</v>
      </c>
      <c r="M22" s="28">
        <v>7290</v>
      </c>
      <c r="O22" s="29">
        <v>7227</v>
      </c>
      <c r="P22" s="424">
        <v>0</v>
      </c>
      <c r="Q22" s="29">
        <v>7227</v>
      </c>
      <c r="S22" s="424"/>
    </row>
    <row r="23" spans="1:19" x14ac:dyDescent="0.3">
      <c r="A23" s="27" t="s">
        <v>23</v>
      </c>
      <c r="B23" s="28">
        <v>8</v>
      </c>
      <c r="C23" s="28">
        <v>8</v>
      </c>
      <c r="D23" s="28">
        <v>8</v>
      </c>
      <c r="E23" s="28">
        <v>8</v>
      </c>
      <c r="F23" s="28">
        <v>8</v>
      </c>
      <c r="G23" s="28">
        <v>8</v>
      </c>
      <c r="H23" s="28">
        <v>8</v>
      </c>
      <c r="I23" s="28">
        <v>8</v>
      </c>
      <c r="J23" s="28">
        <v>8</v>
      </c>
      <c r="K23" s="28">
        <v>8</v>
      </c>
      <c r="L23" s="28">
        <v>8</v>
      </c>
      <c r="M23" s="28">
        <v>8</v>
      </c>
      <c r="O23" s="29">
        <v>8</v>
      </c>
      <c r="P23" s="424">
        <v>0</v>
      </c>
      <c r="Q23" s="29">
        <v>8</v>
      </c>
      <c r="S23" s="424"/>
    </row>
    <row r="24" spans="1:19" x14ac:dyDescent="0.3">
      <c r="A24" s="27" t="s">
        <v>24</v>
      </c>
      <c r="B24" s="28">
        <v>16</v>
      </c>
      <c r="C24" s="28">
        <v>16</v>
      </c>
      <c r="D24" s="28">
        <v>16</v>
      </c>
      <c r="E24" s="28">
        <v>16</v>
      </c>
      <c r="F24" s="28">
        <v>16</v>
      </c>
      <c r="G24" s="28">
        <v>16</v>
      </c>
      <c r="H24" s="28">
        <v>16</v>
      </c>
      <c r="I24" s="28">
        <v>16</v>
      </c>
      <c r="J24" s="28">
        <v>16</v>
      </c>
      <c r="K24" s="28">
        <v>16</v>
      </c>
      <c r="L24" s="28">
        <v>16</v>
      </c>
      <c r="M24" s="28">
        <v>16</v>
      </c>
      <c r="O24" s="29">
        <v>16</v>
      </c>
      <c r="P24" s="424">
        <v>0</v>
      </c>
      <c r="Q24" s="29">
        <v>16</v>
      </c>
      <c r="S24" s="424"/>
    </row>
    <row r="25" spans="1:19" x14ac:dyDescent="0.3">
      <c r="A25" s="30" t="s">
        <v>25</v>
      </c>
      <c r="B25" s="30">
        <v>1106442</v>
      </c>
      <c r="C25" s="30">
        <v>1108417</v>
      </c>
      <c r="D25" s="30">
        <v>1110041</v>
      </c>
      <c r="E25" s="30">
        <v>1111219</v>
      </c>
      <c r="F25" s="30">
        <v>1112112</v>
      </c>
      <c r="G25" s="30">
        <v>1113718</v>
      </c>
      <c r="H25" s="30">
        <v>1114540</v>
      </c>
      <c r="I25" s="30">
        <v>1117409</v>
      </c>
      <c r="J25" s="30">
        <v>1120266</v>
      </c>
      <c r="K25" s="30">
        <v>1120755</v>
      </c>
      <c r="L25" s="30">
        <v>1121951</v>
      </c>
      <c r="M25" s="30">
        <v>1123614</v>
      </c>
      <c r="O25" s="30">
        <v>1115040</v>
      </c>
      <c r="P25" s="30">
        <v>0</v>
      </c>
      <c r="Q25" s="30">
        <v>1115040</v>
      </c>
    </row>
  </sheetData>
  <mergeCells count="5">
    <mergeCell ref="A1:Q1"/>
    <mergeCell ref="A2:Q2"/>
    <mergeCell ref="A3:Q3"/>
    <mergeCell ref="A4:Q4"/>
    <mergeCell ref="A5:Q5"/>
  </mergeCells>
  <printOptions horizontalCentered="1"/>
  <pageMargins left="0.25" right="0.25" top="0.75" bottom="0.75" header="0.3" footer="0.3"/>
  <pageSetup scale="77" orientation="landscape" r:id="rId1"/>
  <headerFooter>
    <oddFooter>&amp;L&amp;"Times New Roman,Regular"&amp;F
&amp;A&amp;R&amp;"Times New Roman,Regular"Page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7"/>
  <sheetViews>
    <sheetView workbookViewId="0">
      <selection sqref="A1:B1"/>
    </sheetView>
  </sheetViews>
  <sheetFormatPr defaultRowHeight="14.4" x14ac:dyDescent="0.3"/>
  <cols>
    <col min="1" max="1" width="12.109375" style="1" bestFit="1" customWidth="1"/>
    <col min="2" max="2" width="13.44140625" style="1" bestFit="1" customWidth="1"/>
    <col min="3" max="16384" width="8.88671875" style="1"/>
  </cols>
  <sheetData>
    <row r="1" spans="1:2" x14ac:dyDescent="0.3">
      <c r="A1" s="536" t="s">
        <v>65</v>
      </c>
      <c r="B1" s="536"/>
    </row>
    <row r="2" spans="1:2" x14ac:dyDescent="0.3">
      <c r="A2" s="536" t="s">
        <v>399</v>
      </c>
      <c r="B2" s="536"/>
    </row>
    <row r="3" spans="1:2" x14ac:dyDescent="0.3">
      <c r="A3" s="536" t="s">
        <v>400</v>
      </c>
      <c r="B3" s="536"/>
    </row>
    <row r="4" spans="1:2" x14ac:dyDescent="0.3">
      <c r="A4" s="536" t="s">
        <v>401</v>
      </c>
      <c r="B4" s="536"/>
    </row>
    <row r="5" spans="1:2" x14ac:dyDescent="0.3">
      <c r="A5"/>
      <c r="B5"/>
    </row>
    <row r="6" spans="1:2" x14ac:dyDescent="0.3">
      <c r="A6"/>
      <c r="B6"/>
    </row>
    <row r="7" spans="1:2" x14ac:dyDescent="0.3">
      <c r="A7" s="116" t="s">
        <v>402</v>
      </c>
      <c r="B7"/>
    </row>
    <row r="8" spans="1:2" x14ac:dyDescent="0.3">
      <c r="A8" s="116" t="s">
        <v>403</v>
      </c>
      <c r="B8" t="s">
        <v>20</v>
      </c>
    </row>
    <row r="9" spans="1:2" x14ac:dyDescent="0.3">
      <c r="A9">
        <v>7</v>
      </c>
      <c r="B9" s="31">
        <v>-26452302.719999999</v>
      </c>
    </row>
    <row r="10" spans="1:2" x14ac:dyDescent="0.3">
      <c r="A10">
        <v>24</v>
      </c>
      <c r="B10" s="31">
        <v>-2326458.21</v>
      </c>
    </row>
    <row r="11" spans="1:2" x14ac:dyDescent="0.3">
      <c r="A11">
        <v>25</v>
      </c>
      <c r="B11" s="31">
        <v>-1015702.4800000001</v>
      </c>
    </row>
    <row r="12" spans="1:2" x14ac:dyDescent="0.3">
      <c r="A12">
        <v>26</v>
      </c>
      <c r="B12" s="31">
        <v>-449649.14</v>
      </c>
    </row>
    <row r="13" spans="1:2" x14ac:dyDescent="0.3">
      <c r="A13">
        <v>29</v>
      </c>
      <c r="B13" s="31">
        <v>-3080.11</v>
      </c>
    </row>
    <row r="14" spans="1:2" x14ac:dyDescent="0.3">
      <c r="A14">
        <v>31</v>
      </c>
      <c r="B14" s="31">
        <v>-37392.75</v>
      </c>
    </row>
    <row r="15" spans="1:2" x14ac:dyDescent="0.3">
      <c r="A15">
        <v>40</v>
      </c>
      <c r="B15" s="31">
        <v>-376</v>
      </c>
    </row>
    <row r="16" spans="1:2" x14ac:dyDescent="0.3">
      <c r="A16" t="s">
        <v>22</v>
      </c>
      <c r="B16" s="31">
        <v>-37687.33</v>
      </c>
    </row>
    <row r="17" spans="1:2" x14ac:dyDescent="0.3">
      <c r="A17" t="s">
        <v>25</v>
      </c>
      <c r="B17" s="31">
        <v>-30322648.739999998</v>
      </c>
    </row>
  </sheetData>
  <mergeCells count="4">
    <mergeCell ref="A1:B1"/>
    <mergeCell ref="A2:B2"/>
    <mergeCell ref="A3:B3"/>
    <mergeCell ref="A4:B4"/>
  </mergeCells>
  <printOptions horizontalCentered="1"/>
  <pageMargins left="0.25" right="0.25" top="0.75" bottom="0.75" header="0.3" footer="0.3"/>
  <pageSetup orientation="landscape" r:id="rId1"/>
  <headerFooter>
    <oddFooter>&amp;L&amp;"Times New Roman,Regular"&amp;F
&amp;A&amp;R&amp;"Times New Roman,Regular"Page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3C679FACBF767418D4D2AF9C5803E0B" ma:contentTypeVersion="76" ma:contentTypeDescription="" ma:contentTypeScope="" ma:versionID="f058cda35981f7a69f184a1697251f0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180283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85D4DD8-5354-49A7-946B-EED453BB13CD}"/>
</file>

<file path=customXml/itemProps2.xml><?xml version="1.0" encoding="utf-8"?>
<ds:datastoreItem xmlns:ds="http://schemas.openxmlformats.org/officeDocument/2006/customXml" ds:itemID="{F6521EE4-55B5-4D0B-85F8-497D9943B4DE}"/>
</file>

<file path=customXml/itemProps3.xml><?xml version="1.0" encoding="utf-8"?>
<ds:datastoreItem xmlns:ds="http://schemas.openxmlformats.org/officeDocument/2006/customXml" ds:itemID="{24BB52E8-9C06-410F-B564-BAC0F825A070}"/>
</file>

<file path=customXml/itemProps4.xml><?xml version="1.0" encoding="utf-8"?>
<ds:datastoreItem xmlns:ds="http://schemas.openxmlformats.org/officeDocument/2006/customXml" ds:itemID="{2F624230-3F2D-4B52-A253-213C75CA8E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33</vt:i4>
      </vt:variant>
    </vt:vector>
  </HeadingPairs>
  <TitlesOfParts>
    <vt:vector size="65" baseType="lpstr">
      <vt:lpstr>Table of Contents</vt:lpstr>
      <vt:lpstr>ECOS - INPUTS</vt:lpstr>
      <vt:lpstr>ECOS - CLASSIFIERS</vt:lpstr>
      <vt:lpstr>ECOS - EXTERNAL (2017)</vt:lpstr>
      <vt:lpstr>ROR</vt:lpstr>
      <vt:lpstr>Revenue Sensitive Items</vt:lpstr>
      <vt:lpstr>Peak Credit</vt:lpstr>
      <vt:lpstr>Customer Counts</vt:lpstr>
      <vt:lpstr>Customer Deposits (235)</vt:lpstr>
      <vt:lpstr>Customer Advances (252)</vt:lpstr>
      <vt:lpstr>Proforma Revenue</vt:lpstr>
      <vt:lpstr>Proposed Rev</vt:lpstr>
      <vt:lpstr>Retail Wheeling Proforma Rev</vt:lpstr>
      <vt:lpstr>Other Op Rev (450-451)</vt:lpstr>
      <vt:lpstr>Other Op Rev Equip Rental (454)</vt:lpstr>
      <vt:lpstr>Meter Reading Cost (902)</vt:lpstr>
      <vt:lpstr>Records &amp; Collec (903)</vt:lpstr>
      <vt:lpstr>Uncollectibles (904)</vt:lpstr>
      <vt:lpstr>Dist Plant (360-368)</vt:lpstr>
      <vt:lpstr>Dist Accum Depr (360-368)</vt:lpstr>
      <vt:lpstr>NCP Dist Plant (360-362)</vt:lpstr>
      <vt:lpstr>NCP Dist OH-UG Plant (364-367)</vt:lpstr>
      <vt:lpstr>Dist Transformer Plant (368)</vt:lpstr>
      <vt:lpstr>Distribution Service (369)</vt:lpstr>
      <vt:lpstr>Meter Costs (370)</vt:lpstr>
      <vt:lpstr>Load Research Data - Summary</vt:lpstr>
      <vt:lpstr>Load Research Data - Dem 4CP</vt:lpstr>
      <vt:lpstr>Load Research Data Dem 75CP</vt:lpstr>
      <vt:lpstr>Load Research Data Dem 200NCP</vt:lpstr>
      <vt:lpstr>Load Research Data -Energy</vt:lpstr>
      <vt:lpstr>Salary &amp; Wages</vt:lpstr>
      <vt:lpstr>BPA Delivered kWh</vt:lpstr>
      <vt:lpstr>'Customer Advances (252)'!Print_Area</vt:lpstr>
      <vt:lpstr>'Customer Counts'!Print_Area</vt:lpstr>
      <vt:lpstr>'Customer Deposits (235)'!Print_Area</vt:lpstr>
      <vt:lpstr>'Dist Accum Depr (360-368)'!Print_Area</vt:lpstr>
      <vt:lpstr>'Dist Plant (360-368)'!Print_Area</vt:lpstr>
      <vt:lpstr>'Dist Transformer Plant (368)'!Print_Area</vt:lpstr>
      <vt:lpstr>'Distribution Service (369)'!Print_Area</vt:lpstr>
      <vt:lpstr>'ECOS - CLASSIFIERS'!Print_Area</vt:lpstr>
      <vt:lpstr>'ECOS - EXTERNAL (2017)'!Print_Area</vt:lpstr>
      <vt:lpstr>'ECOS - INPUTS'!Print_Area</vt:lpstr>
      <vt:lpstr>'Load Research Data - Dem 4CP'!Print_Area</vt:lpstr>
      <vt:lpstr>'Load Research Data - Summary'!Print_Area</vt:lpstr>
      <vt:lpstr>'Load Research Data Dem 200NCP'!Print_Area</vt:lpstr>
      <vt:lpstr>'Load Research Data Dem 75CP'!Print_Area</vt:lpstr>
      <vt:lpstr>'Load Research Data -Energy'!Print_Area</vt:lpstr>
      <vt:lpstr>'Meter Costs (370)'!Print_Area</vt:lpstr>
      <vt:lpstr>'Meter Reading Cost (902)'!Print_Area</vt:lpstr>
      <vt:lpstr>'NCP Dist OH-UG Plant (364-367)'!Print_Area</vt:lpstr>
      <vt:lpstr>'NCP Dist Plant (360-362)'!Print_Area</vt:lpstr>
      <vt:lpstr>'Other Op Rev (450-451)'!Print_Area</vt:lpstr>
      <vt:lpstr>'Other Op Rev Equip Rental (454)'!Print_Area</vt:lpstr>
      <vt:lpstr>'Peak Credit'!Print_Area</vt:lpstr>
      <vt:lpstr>'Proforma Revenue'!Print_Area</vt:lpstr>
      <vt:lpstr>'Proposed Rev'!Print_Area</vt:lpstr>
      <vt:lpstr>'Records &amp; Collec (903)'!Print_Area</vt:lpstr>
      <vt:lpstr>'Retail Wheeling Proforma Rev'!Print_Area</vt:lpstr>
      <vt:lpstr>'Revenue Sensitive Items'!Print_Area</vt:lpstr>
      <vt:lpstr>'Salary &amp; Wages'!Print_Area</vt:lpstr>
      <vt:lpstr>'Table of Contents'!Print_Area</vt:lpstr>
      <vt:lpstr>'Uncollectibles (904)'!Print_Area</vt:lpstr>
      <vt:lpstr>'ECOS - EXTERNAL (2017)'!Print_Titles</vt:lpstr>
      <vt:lpstr>'Load Research Data Dem 200NCP'!Print_Titles</vt:lpstr>
      <vt:lpstr>'Load Research Data Dem 75CP'!Print_Titles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prasan</dc:creator>
  <cp:lastModifiedBy>kbarnard</cp:lastModifiedBy>
  <cp:lastPrinted>2017-03-29T22:13:11Z</cp:lastPrinted>
  <dcterms:created xsi:type="dcterms:W3CDTF">2016-02-06T20:26:48Z</dcterms:created>
  <dcterms:modified xsi:type="dcterms:W3CDTF">2018-04-05T15:41:29Z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0x0101006E56B4D1795A2E4DB2F0B01679ED314A00A3C679FACBF767418D4D2AF9C5803E0B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