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ient Data\Excess Disposal\Disposal Increase 1-18\"/>
    </mc:Choice>
  </mc:AlternateContent>
  <bookViews>
    <workbookView xWindow="195" yWindow="2580" windowWidth="13380" windowHeight="7350" activeTab="1"/>
  </bookViews>
  <sheets>
    <sheet name="References" sheetId="4" r:id="rId1"/>
    <sheet name="Staff Calculations" sheetId="8" r:id="rId2"/>
    <sheet name="Calculations" sheetId="7" r:id="rId3"/>
  </sheets>
  <definedNames>
    <definedName name="_xlnm.Print_Area" localSheetId="2">Calculations!$A$2:$Q$112</definedName>
    <definedName name="_xlnm.Print_Area" localSheetId="1">'Staff Calculations'!$A$2:$R$121</definedName>
    <definedName name="_xlnm.Print_Titles" localSheetId="2">Calculations!$1:$1</definedName>
    <definedName name="_xlnm.Print_Titles" localSheetId="1">'Staff Calculations'!$1:$1</definedName>
  </definedNames>
  <calcPr calcId="162913"/>
</workbook>
</file>

<file path=xl/calcChain.xml><?xml version="1.0" encoding="utf-8"?>
<calcChain xmlns="http://schemas.openxmlformats.org/spreadsheetml/2006/main">
  <c r="M45" i="8" l="1"/>
  <c r="P76" i="8"/>
  <c r="P73" i="8"/>
  <c r="P70" i="8"/>
  <c r="P67" i="8"/>
  <c r="P64" i="8"/>
  <c r="P60" i="8"/>
  <c r="P56" i="8"/>
  <c r="P52" i="8"/>
  <c r="P47" i="8"/>
  <c r="P42" i="8"/>
  <c r="P37" i="8"/>
  <c r="N62" i="8"/>
  <c r="P62" i="8" s="1"/>
  <c r="N58" i="8"/>
  <c r="P58" i="8" s="1"/>
  <c r="N54" i="8"/>
  <c r="P54" i="8" s="1"/>
  <c r="N49" i="8"/>
  <c r="P49" i="8" s="1"/>
  <c r="N44" i="8"/>
  <c r="P44" i="8" s="1"/>
  <c r="N39" i="8"/>
  <c r="P39" i="8" s="1"/>
  <c r="N34" i="8"/>
  <c r="P34" i="8" s="1"/>
  <c r="N29" i="8"/>
  <c r="P29" i="8" s="1"/>
  <c r="P32" i="8"/>
  <c r="P27" i="8"/>
  <c r="O2" i="8"/>
  <c r="G110" i="8" l="1"/>
  <c r="G109" i="8"/>
  <c r="G108" i="8"/>
  <c r="G107" i="8"/>
  <c r="G15" i="8" l="1"/>
  <c r="G7" i="8"/>
  <c r="O27" i="8"/>
  <c r="Q27" i="8" s="1"/>
  <c r="O29" i="8"/>
  <c r="Q29" i="8" s="1"/>
  <c r="O31" i="8"/>
  <c r="O32" i="8"/>
  <c r="Q32" i="8" s="1"/>
  <c r="O34" i="8"/>
  <c r="O36" i="8"/>
  <c r="O37" i="8"/>
  <c r="O39" i="8"/>
  <c r="O41" i="8"/>
  <c r="O42" i="8"/>
  <c r="O44" i="8"/>
  <c r="O46" i="8"/>
  <c r="O47" i="8"/>
  <c r="O49" i="8"/>
  <c r="O51" i="8"/>
  <c r="O52" i="8"/>
  <c r="O54" i="8"/>
  <c r="Q54" i="8" s="1"/>
  <c r="O56" i="8"/>
  <c r="O58" i="8"/>
  <c r="O60" i="8"/>
  <c r="O62" i="8"/>
  <c r="O64" i="8"/>
  <c r="O67" i="8"/>
  <c r="O70" i="8"/>
  <c r="O73" i="8"/>
  <c r="Q73" i="8" s="1"/>
  <c r="O76" i="8"/>
  <c r="G26" i="8"/>
  <c r="G20" i="8"/>
  <c r="G21" i="8"/>
  <c r="G22" i="8"/>
  <c r="G23" i="8"/>
  <c r="G24" i="8"/>
  <c r="G25" i="8"/>
  <c r="G19" i="8"/>
  <c r="Q70" i="8" l="1"/>
  <c r="Q67" i="8"/>
  <c r="Q49" i="8"/>
  <c r="Q47" i="8"/>
  <c r="Q52" i="8"/>
  <c r="Q62" i="8"/>
  <c r="Q44" i="8"/>
  <c r="Q60" i="8"/>
  <c r="Q39" i="8"/>
  <c r="Q58" i="8"/>
  <c r="Q37" i="8"/>
  <c r="Q64" i="8"/>
  <c r="Q76" i="8"/>
  <c r="Q56" i="8"/>
  <c r="Q34" i="8"/>
  <c r="G48" i="4" l="1"/>
  <c r="M25" i="8" l="1"/>
  <c r="M24" i="8"/>
  <c r="M23" i="8"/>
  <c r="M22" i="8"/>
  <c r="M21" i="8"/>
  <c r="M20" i="8"/>
  <c r="M72" i="8"/>
  <c r="M69" i="8"/>
  <c r="M66" i="8"/>
  <c r="D119" i="8"/>
  <c r="G106" i="8"/>
  <c r="G105" i="8"/>
  <c r="G104" i="8"/>
  <c r="G103" i="8"/>
  <c r="G102" i="8"/>
  <c r="G101" i="8"/>
  <c r="G100" i="8"/>
  <c r="G99" i="8"/>
  <c r="G98" i="8"/>
  <c r="G97" i="8"/>
  <c r="G96" i="8"/>
  <c r="G95" i="8"/>
  <c r="G92" i="8"/>
  <c r="G91" i="8"/>
  <c r="F91" i="8"/>
  <c r="G90" i="8"/>
  <c r="F90" i="8"/>
  <c r="G89" i="8"/>
  <c r="F89" i="8"/>
  <c r="G88" i="8"/>
  <c r="F88" i="8"/>
  <c r="G87" i="8"/>
  <c r="G86" i="8"/>
  <c r="G85" i="8"/>
  <c r="G84" i="8"/>
  <c r="D79" i="8"/>
  <c r="G75" i="8"/>
  <c r="G74" i="8"/>
  <c r="F74" i="8"/>
  <c r="G72" i="8"/>
  <c r="G71" i="8"/>
  <c r="F71" i="8"/>
  <c r="G69" i="8"/>
  <c r="G68" i="8"/>
  <c r="F68" i="8"/>
  <c r="G66" i="8"/>
  <c r="G65" i="8"/>
  <c r="F65" i="8"/>
  <c r="G63" i="8"/>
  <c r="G61" i="8"/>
  <c r="F61" i="8"/>
  <c r="G59" i="8"/>
  <c r="G57" i="8"/>
  <c r="F57" i="8"/>
  <c r="G55" i="8"/>
  <c r="G53" i="8"/>
  <c r="F53" i="8"/>
  <c r="G50" i="8"/>
  <c r="G48" i="8"/>
  <c r="F48" i="8"/>
  <c r="G45" i="8"/>
  <c r="G43" i="8"/>
  <c r="F43" i="8"/>
  <c r="G40" i="8"/>
  <c r="G38" i="8"/>
  <c r="F38" i="8"/>
  <c r="G35" i="8"/>
  <c r="G33" i="8"/>
  <c r="F33" i="8"/>
  <c r="G30" i="8"/>
  <c r="G28" i="8"/>
  <c r="F28" i="8"/>
  <c r="D18" i="8"/>
  <c r="O16" i="8"/>
  <c r="G16" i="8"/>
  <c r="O15" i="8"/>
  <c r="O14" i="8"/>
  <c r="G14" i="8"/>
  <c r="O13" i="8"/>
  <c r="G13" i="8"/>
  <c r="O12" i="8"/>
  <c r="G12" i="8"/>
  <c r="O11" i="8"/>
  <c r="G11" i="8"/>
  <c r="O10" i="8"/>
  <c r="G10" i="8"/>
  <c r="O9" i="8"/>
  <c r="G9" i="8"/>
  <c r="O8" i="8"/>
  <c r="G8" i="8"/>
  <c r="O7" i="8"/>
  <c r="O6" i="8"/>
  <c r="G6" i="8"/>
  <c r="O5" i="8"/>
  <c r="G5" i="8"/>
  <c r="C5" i="8"/>
  <c r="O4" i="8"/>
  <c r="G4" i="8"/>
  <c r="C4" i="8"/>
  <c r="O3" i="8"/>
  <c r="G3" i="8"/>
  <c r="C3" i="8"/>
  <c r="G2" i="8"/>
  <c r="C2" i="8"/>
  <c r="O28" i="8" l="1"/>
  <c r="O65" i="8"/>
  <c r="O43" i="8"/>
  <c r="O74" i="8"/>
  <c r="O57" i="8"/>
  <c r="O33" i="8"/>
  <c r="O68" i="8"/>
  <c r="O48" i="8"/>
  <c r="O61" i="8"/>
  <c r="O38" i="8"/>
  <c r="O71" i="8"/>
  <c r="O18" i="8"/>
  <c r="O53" i="8"/>
  <c r="Q42" i="8"/>
  <c r="H89" i="8"/>
  <c r="H91" i="8"/>
  <c r="H88" i="8"/>
  <c r="H48" i="8"/>
  <c r="H65" i="8"/>
  <c r="H38" i="8"/>
  <c r="D80" i="8"/>
  <c r="H68" i="8"/>
  <c r="H61" i="8"/>
  <c r="H74" i="8"/>
  <c r="H90" i="8"/>
  <c r="H57" i="8"/>
  <c r="G79" i="8"/>
  <c r="H28" i="8"/>
  <c r="H33" i="8"/>
  <c r="H43" i="8"/>
  <c r="H71" i="8"/>
  <c r="H53" i="8"/>
  <c r="B3" i="4" l="1"/>
  <c r="C3" i="4" s="1"/>
  <c r="B4" i="4"/>
  <c r="C4" i="4" s="1"/>
  <c r="B5" i="4"/>
  <c r="B6" i="4"/>
  <c r="B7" i="4"/>
  <c r="B8" i="4"/>
  <c r="G8" i="4"/>
  <c r="B9" i="4"/>
  <c r="C47" i="4"/>
  <c r="G47" i="4"/>
  <c r="C48" i="4"/>
  <c r="B49" i="4"/>
  <c r="B52" i="4" s="1"/>
  <c r="B54" i="4"/>
  <c r="D7" i="4" l="1"/>
  <c r="E21" i="8" s="1"/>
  <c r="F21" i="8" s="1"/>
  <c r="E45" i="8"/>
  <c r="F45" i="8" s="1"/>
  <c r="E40" i="8"/>
  <c r="F40" i="8" s="1"/>
  <c r="E30" i="8"/>
  <c r="F30" i="8" s="1"/>
  <c r="E50" i="8"/>
  <c r="F50" i="8" s="1"/>
  <c r="E35" i="8"/>
  <c r="F35" i="8" s="1"/>
  <c r="E19" i="8"/>
  <c r="E5" i="8"/>
  <c r="F5" i="8" s="1"/>
  <c r="H5" i="8" s="1"/>
  <c r="E6" i="8"/>
  <c r="F6" i="8" s="1"/>
  <c r="H6" i="8" s="1"/>
  <c r="E3" i="8"/>
  <c r="F3" i="8" s="1"/>
  <c r="H3" i="8" s="1"/>
  <c r="E4" i="8"/>
  <c r="F4" i="8" s="1"/>
  <c r="H4" i="8" s="1"/>
  <c r="E85" i="8"/>
  <c r="F85" i="8" s="1"/>
  <c r="H85" i="8" s="1"/>
  <c r="E2" i="8"/>
  <c r="F2" i="8" s="1"/>
  <c r="E84" i="8"/>
  <c r="F84" i="8" s="1"/>
  <c r="H84" i="8" s="1"/>
  <c r="E5" i="4"/>
  <c r="E63" i="8"/>
  <c r="F63" i="8" s="1"/>
  <c r="F9" i="4"/>
  <c r="E107" i="8"/>
  <c r="F107" i="8" s="1"/>
  <c r="H107" i="8" s="1"/>
  <c r="E109" i="8"/>
  <c r="F109" i="8" s="1"/>
  <c r="H109" i="8" s="1"/>
  <c r="E108" i="8"/>
  <c r="F108" i="8" s="1"/>
  <c r="H108" i="8" s="1"/>
  <c r="E110" i="8"/>
  <c r="F110" i="8" s="1"/>
  <c r="H110" i="8" s="1"/>
  <c r="E104" i="8"/>
  <c r="F104" i="8" s="1"/>
  <c r="H104" i="8" s="1"/>
  <c r="E100" i="8"/>
  <c r="F100" i="8" s="1"/>
  <c r="H100" i="8" s="1"/>
  <c r="E96" i="8"/>
  <c r="F96" i="8" s="1"/>
  <c r="H96" i="8" s="1"/>
  <c r="E86" i="8"/>
  <c r="F86" i="8" s="1"/>
  <c r="H86" i="8" s="1"/>
  <c r="E97" i="8"/>
  <c r="F97" i="8" s="1"/>
  <c r="H97" i="8" s="1"/>
  <c r="E77" i="8"/>
  <c r="F77" i="8" s="1"/>
  <c r="E103" i="8"/>
  <c r="F103" i="8" s="1"/>
  <c r="H103" i="8" s="1"/>
  <c r="E99" i="8"/>
  <c r="F99" i="8" s="1"/>
  <c r="H99" i="8" s="1"/>
  <c r="E95" i="8"/>
  <c r="F95" i="8" s="1"/>
  <c r="H95" i="8" s="1"/>
  <c r="E9" i="8"/>
  <c r="F9" i="8" s="1"/>
  <c r="H9" i="8" s="1"/>
  <c r="E8" i="8"/>
  <c r="F8" i="8" s="1"/>
  <c r="H8" i="8" s="1"/>
  <c r="E106" i="8"/>
  <c r="F106" i="8" s="1"/>
  <c r="H106" i="8" s="1"/>
  <c r="E102" i="8"/>
  <c r="F102" i="8" s="1"/>
  <c r="H102" i="8" s="1"/>
  <c r="E98" i="8"/>
  <c r="F98" i="8" s="1"/>
  <c r="H98" i="8" s="1"/>
  <c r="E92" i="8"/>
  <c r="F92" i="8" s="1"/>
  <c r="H92" i="8" s="1"/>
  <c r="E16" i="8"/>
  <c r="F16" i="8" s="1"/>
  <c r="H16" i="8" s="1"/>
  <c r="E105" i="8"/>
  <c r="F105" i="8" s="1"/>
  <c r="H105" i="8" s="1"/>
  <c r="E101" i="8"/>
  <c r="F101" i="8" s="1"/>
  <c r="H101" i="8" s="1"/>
  <c r="H8" i="4"/>
  <c r="E66" i="8"/>
  <c r="F66" i="8" s="1"/>
  <c r="E69" i="8"/>
  <c r="F69" i="8" s="1"/>
  <c r="E72" i="8"/>
  <c r="F72" i="8" s="1"/>
  <c r="E75" i="8"/>
  <c r="F75" i="8" s="1"/>
  <c r="E13" i="8"/>
  <c r="F13" i="8" s="1"/>
  <c r="H13" i="8" s="1"/>
  <c r="E14" i="8"/>
  <c r="F14" i="8" s="1"/>
  <c r="H14" i="8" s="1"/>
  <c r="E11" i="8"/>
  <c r="F11" i="8" s="1"/>
  <c r="H11" i="8" s="1"/>
  <c r="E12" i="8"/>
  <c r="F12" i="8" s="1"/>
  <c r="H12" i="8" s="1"/>
  <c r="E10" i="8"/>
  <c r="F10" i="8" s="1"/>
  <c r="H10" i="8" s="1"/>
  <c r="C6" i="4"/>
  <c r="E59" i="8"/>
  <c r="F59" i="8" s="1"/>
  <c r="E55" i="8"/>
  <c r="F55" i="8" s="1"/>
  <c r="F5" i="4"/>
  <c r="F6" i="4"/>
  <c r="D6" i="4"/>
  <c r="H6" i="4"/>
  <c r="E6" i="4"/>
  <c r="C49" i="4"/>
  <c r="E8" i="4"/>
  <c r="G6" i="4"/>
  <c r="H4" i="4"/>
  <c r="F3" i="4"/>
  <c r="F8" i="4"/>
  <c r="H3" i="4"/>
  <c r="G50" i="4"/>
  <c r="G52" i="4" s="1"/>
  <c r="B53" i="4" s="1"/>
  <c r="B55" i="4" s="1"/>
  <c r="C8" i="4"/>
  <c r="E15" i="8" s="1"/>
  <c r="F15" i="8" s="1"/>
  <c r="H15" i="8" s="1"/>
  <c r="G4" i="4"/>
  <c r="D3" i="4"/>
  <c r="F4" i="4"/>
  <c r="F7" i="4"/>
  <c r="E23" i="8" s="1"/>
  <c r="F23" i="8" s="1"/>
  <c r="D4" i="4"/>
  <c r="H7" i="4"/>
  <c r="E25" i="8" s="1"/>
  <c r="F25" i="8" s="1"/>
  <c r="E4" i="4"/>
  <c r="H9" i="4"/>
  <c r="D9" i="4"/>
  <c r="H5" i="4"/>
  <c r="D5" i="4"/>
  <c r="G9" i="4"/>
  <c r="C9" i="4"/>
  <c r="E87" i="8" s="1"/>
  <c r="F87" i="8" s="1"/>
  <c r="H87" i="8" s="1"/>
  <c r="E7" i="4"/>
  <c r="E22" i="8" s="1"/>
  <c r="F22" i="8" s="1"/>
  <c r="G5" i="4"/>
  <c r="C5" i="4"/>
  <c r="E3" i="4"/>
  <c r="E9" i="4"/>
  <c r="D8" i="4"/>
  <c r="G7" i="4"/>
  <c r="E24" i="8" s="1"/>
  <c r="F24" i="8" s="1"/>
  <c r="C7" i="4"/>
  <c r="G3" i="4"/>
  <c r="F19" i="8" l="1"/>
  <c r="O55" i="8"/>
  <c r="H55" i="8"/>
  <c r="O63" i="8"/>
  <c r="H63" i="8"/>
  <c r="O75" i="8"/>
  <c r="H75" i="8"/>
  <c r="H22" i="8"/>
  <c r="O22" i="8"/>
  <c r="H25" i="8"/>
  <c r="O25" i="8"/>
  <c r="O59" i="8"/>
  <c r="H59" i="8"/>
  <c r="O72" i="8"/>
  <c r="H72" i="8"/>
  <c r="O77" i="8"/>
  <c r="H77" i="8"/>
  <c r="O40" i="8"/>
  <c r="H40" i="8"/>
  <c r="O35" i="8"/>
  <c r="H35" i="8"/>
  <c r="F18" i="8"/>
  <c r="H2" i="8"/>
  <c r="H18" i="8" s="1"/>
  <c r="O30" i="8"/>
  <c r="H30" i="8"/>
  <c r="E26" i="8"/>
  <c r="F26" i="8" s="1"/>
  <c r="E20" i="8"/>
  <c r="F20" i="8" s="1"/>
  <c r="E7" i="8"/>
  <c r="F7" i="8" s="1"/>
  <c r="H7" i="8" s="1"/>
  <c r="O69" i="8"/>
  <c r="H69" i="8"/>
  <c r="O45" i="8"/>
  <c r="H45" i="8"/>
  <c r="O50" i="8"/>
  <c r="H50" i="8"/>
  <c r="H24" i="8"/>
  <c r="O24" i="8"/>
  <c r="O23" i="8"/>
  <c r="H23" i="8"/>
  <c r="O66" i="8"/>
  <c r="H66" i="8"/>
  <c r="O21" i="8"/>
  <c r="H21" i="8"/>
  <c r="O20" i="8" l="1"/>
  <c r="H20" i="8"/>
  <c r="H26" i="8"/>
  <c r="O26" i="8"/>
  <c r="F79" i="8"/>
  <c r="F80" i="8" s="1"/>
  <c r="O19" i="8"/>
  <c r="H19" i="8"/>
  <c r="E79" i="8"/>
  <c r="H79" i="8" l="1"/>
  <c r="H80" i="8" s="1"/>
  <c r="D121" i="8" s="1"/>
  <c r="I9" i="8" s="1"/>
  <c r="J9" i="8" s="1"/>
  <c r="K9" i="8" s="1"/>
  <c r="L9" i="8" s="1"/>
  <c r="O79" i="8"/>
  <c r="D120" i="8"/>
  <c r="I104" i="8" l="1"/>
  <c r="J104" i="8" s="1"/>
  <c r="K104" i="8" s="1"/>
  <c r="L104" i="8" s="1"/>
  <c r="N104" i="8" s="1"/>
  <c r="I89" i="8"/>
  <c r="J89" i="8" s="1"/>
  <c r="K89" i="8" s="1"/>
  <c r="L89" i="8" s="1"/>
  <c r="N89" i="8" s="1"/>
  <c r="I110" i="8"/>
  <c r="J110" i="8" s="1"/>
  <c r="K110" i="8" s="1"/>
  <c r="L110" i="8" s="1"/>
  <c r="N110" i="8" s="1"/>
  <c r="I84" i="8"/>
  <c r="J84" i="8" s="1"/>
  <c r="K84" i="8" s="1"/>
  <c r="L84" i="8" s="1"/>
  <c r="N84" i="8" s="1"/>
  <c r="I75" i="8"/>
  <c r="J75" i="8" s="1"/>
  <c r="K75" i="8" s="1"/>
  <c r="L75" i="8" s="1"/>
  <c r="N75" i="8" s="1"/>
  <c r="P75" i="8" s="1"/>
  <c r="Q75" i="8" s="1"/>
  <c r="I92" i="8"/>
  <c r="J92" i="8" s="1"/>
  <c r="K92" i="8" s="1"/>
  <c r="L92" i="8" s="1"/>
  <c r="N92" i="8" s="1"/>
  <c r="I19" i="8"/>
  <c r="J19" i="8" s="1"/>
  <c r="K19" i="8" s="1"/>
  <c r="L19" i="8" s="1"/>
  <c r="N19" i="8" s="1"/>
  <c r="P19" i="8" s="1"/>
  <c r="I65" i="8"/>
  <c r="J65" i="8" s="1"/>
  <c r="K65" i="8" s="1"/>
  <c r="L65" i="8" s="1"/>
  <c r="N65" i="8" s="1"/>
  <c r="P65" i="8" s="1"/>
  <c r="Q65" i="8" s="1"/>
  <c r="I69" i="8"/>
  <c r="J69" i="8" s="1"/>
  <c r="K69" i="8" s="1"/>
  <c r="L69" i="8" s="1"/>
  <c r="N69" i="8" s="1"/>
  <c r="P69" i="8" s="1"/>
  <c r="I22" i="8"/>
  <c r="J22" i="8" s="1"/>
  <c r="K22" i="8" s="1"/>
  <c r="L22" i="8" s="1"/>
  <c r="I38" i="8"/>
  <c r="J38" i="8" s="1"/>
  <c r="K38" i="8" s="1"/>
  <c r="L38" i="8" s="1"/>
  <c r="N38" i="8" s="1"/>
  <c r="P38" i="8" s="1"/>
  <c r="Q38" i="8" s="1"/>
  <c r="I26" i="8"/>
  <c r="J26" i="8" s="1"/>
  <c r="K26" i="8" s="1"/>
  <c r="L26" i="8" s="1"/>
  <c r="N26" i="8" s="1"/>
  <c r="P26" i="8" s="1"/>
  <c r="Q26" i="8" s="1"/>
  <c r="I11" i="8"/>
  <c r="J11" i="8" s="1"/>
  <c r="K11" i="8" s="1"/>
  <c r="L11" i="8" s="1"/>
  <c r="N11" i="8" s="1"/>
  <c r="P11" i="8" s="1"/>
  <c r="Q11" i="8" s="1"/>
  <c r="I10" i="8"/>
  <c r="J10" i="8" s="1"/>
  <c r="K10" i="8" s="1"/>
  <c r="L10" i="8" s="1"/>
  <c r="N10" i="8" s="1"/>
  <c r="P10" i="8" s="1"/>
  <c r="Q10" i="8" s="1"/>
  <c r="I59" i="8"/>
  <c r="J59" i="8" s="1"/>
  <c r="K59" i="8" s="1"/>
  <c r="L59" i="8" s="1"/>
  <c r="N59" i="8" s="1"/>
  <c r="P59" i="8" s="1"/>
  <c r="Q59" i="8" s="1"/>
  <c r="I21" i="8"/>
  <c r="J21" i="8" s="1"/>
  <c r="K21" i="8" s="1"/>
  <c r="L21" i="8" s="1"/>
  <c r="N21" i="8" s="1"/>
  <c r="I16" i="8"/>
  <c r="J16" i="8" s="1"/>
  <c r="K16" i="8" s="1"/>
  <c r="L16" i="8" s="1"/>
  <c r="I103" i="8"/>
  <c r="J103" i="8" s="1"/>
  <c r="K103" i="8" s="1"/>
  <c r="L103" i="8" s="1"/>
  <c r="N103" i="8" s="1"/>
  <c r="I30" i="8"/>
  <c r="J30" i="8" s="1"/>
  <c r="K30" i="8" s="1"/>
  <c r="L30" i="8" s="1"/>
  <c r="N30" i="8" s="1"/>
  <c r="P30" i="8" s="1"/>
  <c r="Q30" i="8" s="1"/>
  <c r="I98" i="8"/>
  <c r="J98" i="8" s="1"/>
  <c r="K98" i="8" s="1"/>
  <c r="L98" i="8" s="1"/>
  <c r="N98" i="8" s="1"/>
  <c r="I86" i="8"/>
  <c r="J86" i="8" s="1"/>
  <c r="K86" i="8" s="1"/>
  <c r="L86" i="8" s="1"/>
  <c r="N86" i="8" s="1"/>
  <c r="I88" i="8"/>
  <c r="J88" i="8" s="1"/>
  <c r="K88" i="8" s="1"/>
  <c r="L88" i="8" s="1"/>
  <c r="N88" i="8" s="1"/>
  <c r="I12" i="8"/>
  <c r="J12" i="8" s="1"/>
  <c r="K12" i="8" s="1"/>
  <c r="L12" i="8" s="1"/>
  <c r="N12" i="8" s="1"/>
  <c r="P12" i="8" s="1"/>
  <c r="Q12" i="8" s="1"/>
  <c r="I40" i="8"/>
  <c r="J40" i="8" s="1"/>
  <c r="K40" i="8" s="1"/>
  <c r="L40" i="8" s="1"/>
  <c r="N40" i="8" s="1"/>
  <c r="P40" i="8" s="1"/>
  <c r="Q40" i="8" s="1"/>
  <c r="I97" i="8"/>
  <c r="J97" i="8" s="1"/>
  <c r="K97" i="8" s="1"/>
  <c r="L97" i="8" s="1"/>
  <c r="N97" i="8" s="1"/>
  <c r="I14" i="8"/>
  <c r="J14" i="8" s="1"/>
  <c r="K14" i="8" s="1"/>
  <c r="L14" i="8" s="1"/>
  <c r="I77" i="8"/>
  <c r="J77" i="8" s="1"/>
  <c r="K77" i="8" s="1"/>
  <c r="L77" i="8" s="1"/>
  <c r="N77" i="8" s="1"/>
  <c r="P77" i="8" s="1"/>
  <c r="Q77" i="8" s="1"/>
  <c r="I24" i="8"/>
  <c r="J24" i="8" s="1"/>
  <c r="K24" i="8" s="1"/>
  <c r="L24" i="8" s="1"/>
  <c r="N24" i="8" s="1"/>
  <c r="I2" i="8"/>
  <c r="J2" i="8" s="1"/>
  <c r="K2" i="8" s="1"/>
  <c r="L2" i="8" s="1"/>
  <c r="N2" i="8" s="1"/>
  <c r="P2" i="8" s="1"/>
  <c r="I8" i="8"/>
  <c r="J8" i="8" s="1"/>
  <c r="K8" i="8" s="1"/>
  <c r="L8" i="8" s="1"/>
  <c r="N8" i="8" s="1"/>
  <c r="P8" i="8" s="1"/>
  <c r="Q8" i="8" s="1"/>
  <c r="I108" i="8"/>
  <c r="J108" i="8" s="1"/>
  <c r="K108" i="8" s="1"/>
  <c r="L108" i="8" s="1"/>
  <c r="N108" i="8" s="1"/>
  <c r="I95" i="8"/>
  <c r="J95" i="8" s="1"/>
  <c r="K95" i="8" s="1"/>
  <c r="L95" i="8" s="1"/>
  <c r="N95" i="8" s="1"/>
  <c r="I85" i="8"/>
  <c r="J85" i="8" s="1"/>
  <c r="K85" i="8" s="1"/>
  <c r="L85" i="8" s="1"/>
  <c r="N85" i="8" s="1"/>
  <c r="I102" i="8"/>
  <c r="J102" i="8" s="1"/>
  <c r="K102" i="8" s="1"/>
  <c r="L102" i="8" s="1"/>
  <c r="N102" i="8" s="1"/>
  <c r="I23" i="8"/>
  <c r="J23" i="8" s="1"/>
  <c r="K23" i="8" s="1"/>
  <c r="L23" i="8" s="1"/>
  <c r="I91" i="8"/>
  <c r="J91" i="8" s="1"/>
  <c r="K91" i="8" s="1"/>
  <c r="L91" i="8" s="1"/>
  <c r="N91" i="8" s="1"/>
  <c r="I28" i="8"/>
  <c r="J28" i="8" s="1"/>
  <c r="K28" i="8" s="1"/>
  <c r="L28" i="8" s="1"/>
  <c r="N28" i="8" s="1"/>
  <c r="P28" i="8" s="1"/>
  <c r="Q28" i="8" s="1"/>
  <c r="I4" i="8"/>
  <c r="J4" i="8" s="1"/>
  <c r="K4" i="8" s="1"/>
  <c r="L4" i="8" s="1"/>
  <c r="N4" i="8" s="1"/>
  <c r="P4" i="8" s="1"/>
  <c r="Q4" i="8" s="1"/>
  <c r="I57" i="8"/>
  <c r="J57" i="8" s="1"/>
  <c r="K57" i="8" s="1"/>
  <c r="L57" i="8" s="1"/>
  <c r="N57" i="8" s="1"/>
  <c r="P57" i="8" s="1"/>
  <c r="Q57" i="8" s="1"/>
  <c r="I48" i="8"/>
  <c r="J48" i="8" s="1"/>
  <c r="K48" i="8" s="1"/>
  <c r="L48" i="8" s="1"/>
  <c r="N48" i="8" s="1"/>
  <c r="P48" i="8" s="1"/>
  <c r="Q48" i="8" s="1"/>
  <c r="I7" i="8"/>
  <c r="J7" i="8" s="1"/>
  <c r="K7" i="8" s="1"/>
  <c r="L7" i="8" s="1"/>
  <c r="N7" i="8" s="1"/>
  <c r="P7" i="8" s="1"/>
  <c r="Q7" i="8" s="1"/>
  <c r="I13" i="8"/>
  <c r="J13" i="8" s="1"/>
  <c r="K13" i="8" s="1"/>
  <c r="L13" i="8" s="1"/>
  <c r="I15" i="8"/>
  <c r="J15" i="8" s="1"/>
  <c r="K15" i="8" s="1"/>
  <c r="L15" i="8" s="1"/>
  <c r="N15" i="8" s="1"/>
  <c r="P15" i="8" s="1"/>
  <c r="Q15" i="8" s="1"/>
  <c r="I55" i="8"/>
  <c r="J55" i="8" s="1"/>
  <c r="K55" i="8" s="1"/>
  <c r="L55" i="8" s="1"/>
  <c r="N55" i="8" s="1"/>
  <c r="P55" i="8" s="1"/>
  <c r="Q55" i="8" s="1"/>
  <c r="I50" i="8"/>
  <c r="J50" i="8" s="1"/>
  <c r="K50" i="8" s="1"/>
  <c r="L50" i="8" s="1"/>
  <c r="N50" i="8" s="1"/>
  <c r="P50" i="8" s="1"/>
  <c r="Q50" i="8" s="1"/>
  <c r="I74" i="8"/>
  <c r="J74" i="8" s="1"/>
  <c r="K74" i="8" s="1"/>
  <c r="L74" i="8" s="1"/>
  <c r="N74" i="8" s="1"/>
  <c r="P74" i="8" s="1"/>
  <c r="Q74" i="8" s="1"/>
  <c r="I33" i="8"/>
  <c r="J33" i="8" s="1"/>
  <c r="K33" i="8" s="1"/>
  <c r="L33" i="8" s="1"/>
  <c r="N33" i="8" s="1"/>
  <c r="P33" i="8" s="1"/>
  <c r="Q33" i="8" s="1"/>
  <c r="I43" i="8"/>
  <c r="J43" i="8" s="1"/>
  <c r="K43" i="8" s="1"/>
  <c r="L43" i="8" s="1"/>
  <c r="N43" i="8" s="1"/>
  <c r="P43" i="8" s="1"/>
  <c r="Q43" i="8" s="1"/>
  <c r="I109" i="8"/>
  <c r="J109" i="8" s="1"/>
  <c r="K109" i="8" s="1"/>
  <c r="L109" i="8" s="1"/>
  <c r="N109" i="8" s="1"/>
  <c r="I100" i="8"/>
  <c r="J100" i="8" s="1"/>
  <c r="K100" i="8" s="1"/>
  <c r="L100" i="8" s="1"/>
  <c r="N100" i="8" s="1"/>
  <c r="I53" i="8"/>
  <c r="J53" i="8" s="1"/>
  <c r="K53" i="8" s="1"/>
  <c r="L53" i="8" s="1"/>
  <c r="N53" i="8" s="1"/>
  <c r="P53" i="8" s="1"/>
  <c r="Q53" i="8" s="1"/>
  <c r="I3" i="8"/>
  <c r="J3" i="8" s="1"/>
  <c r="K3" i="8" s="1"/>
  <c r="L3" i="8" s="1"/>
  <c r="I6" i="8"/>
  <c r="J6" i="8" s="1"/>
  <c r="K6" i="8" s="1"/>
  <c r="L6" i="8" s="1"/>
  <c r="N6" i="8" s="1"/>
  <c r="P6" i="8" s="1"/>
  <c r="Q6" i="8" s="1"/>
  <c r="I25" i="8"/>
  <c r="J25" i="8" s="1"/>
  <c r="K25" i="8" s="1"/>
  <c r="L25" i="8" s="1"/>
  <c r="N25" i="8" s="1"/>
  <c r="I96" i="8"/>
  <c r="J96" i="8" s="1"/>
  <c r="K96" i="8" s="1"/>
  <c r="L96" i="8" s="1"/>
  <c r="N96" i="8" s="1"/>
  <c r="I107" i="8"/>
  <c r="J107" i="8" s="1"/>
  <c r="K107" i="8" s="1"/>
  <c r="L107" i="8" s="1"/>
  <c r="N107" i="8" s="1"/>
  <c r="I45" i="8"/>
  <c r="J45" i="8" s="1"/>
  <c r="K45" i="8" s="1"/>
  <c r="L45" i="8" s="1"/>
  <c r="N45" i="8" s="1"/>
  <c r="P45" i="8" s="1"/>
  <c r="I99" i="8"/>
  <c r="J99" i="8" s="1"/>
  <c r="K99" i="8" s="1"/>
  <c r="L99" i="8" s="1"/>
  <c r="N99" i="8" s="1"/>
  <c r="I72" i="8"/>
  <c r="J72" i="8" s="1"/>
  <c r="K72" i="8" s="1"/>
  <c r="L72" i="8" s="1"/>
  <c r="N72" i="8" s="1"/>
  <c r="P72" i="8" s="1"/>
  <c r="Q72" i="8" s="1"/>
  <c r="I106" i="8"/>
  <c r="J106" i="8" s="1"/>
  <c r="K106" i="8" s="1"/>
  <c r="L106" i="8" s="1"/>
  <c r="N106" i="8" s="1"/>
  <c r="I87" i="8"/>
  <c r="J87" i="8" s="1"/>
  <c r="K87" i="8" s="1"/>
  <c r="L87" i="8" s="1"/>
  <c r="N87" i="8" s="1"/>
  <c r="I90" i="8"/>
  <c r="J90" i="8" s="1"/>
  <c r="K90" i="8" s="1"/>
  <c r="L90" i="8" s="1"/>
  <c r="N90" i="8" s="1"/>
  <c r="I63" i="8"/>
  <c r="J63" i="8" s="1"/>
  <c r="K63" i="8" s="1"/>
  <c r="L63" i="8" s="1"/>
  <c r="N63" i="8" s="1"/>
  <c r="P63" i="8" s="1"/>
  <c r="Q63" i="8" s="1"/>
  <c r="I61" i="8"/>
  <c r="J61" i="8" s="1"/>
  <c r="K61" i="8" s="1"/>
  <c r="L61" i="8" s="1"/>
  <c r="N61" i="8" s="1"/>
  <c r="P61" i="8" s="1"/>
  <c r="Q61" i="8" s="1"/>
  <c r="I5" i="8"/>
  <c r="J5" i="8" s="1"/>
  <c r="K5" i="8" s="1"/>
  <c r="L5" i="8" s="1"/>
  <c r="N5" i="8" s="1"/>
  <c r="P5" i="8" s="1"/>
  <c r="Q5" i="8" s="1"/>
  <c r="I71" i="8"/>
  <c r="J71" i="8" s="1"/>
  <c r="K71" i="8" s="1"/>
  <c r="L71" i="8" s="1"/>
  <c r="N71" i="8" s="1"/>
  <c r="P71" i="8" s="1"/>
  <c r="Q71" i="8" s="1"/>
  <c r="I35" i="8"/>
  <c r="J35" i="8" s="1"/>
  <c r="K35" i="8" s="1"/>
  <c r="L35" i="8" s="1"/>
  <c r="N35" i="8" s="1"/>
  <c r="P35" i="8" s="1"/>
  <c r="Q35" i="8" s="1"/>
  <c r="I105" i="8"/>
  <c r="J105" i="8" s="1"/>
  <c r="K105" i="8" s="1"/>
  <c r="L105" i="8" s="1"/>
  <c r="N105" i="8" s="1"/>
  <c r="I68" i="8"/>
  <c r="J68" i="8" s="1"/>
  <c r="K68" i="8" s="1"/>
  <c r="L68" i="8" s="1"/>
  <c r="N68" i="8" s="1"/>
  <c r="P68" i="8" s="1"/>
  <c r="Q68" i="8" s="1"/>
  <c r="I66" i="8"/>
  <c r="J66" i="8" s="1"/>
  <c r="K66" i="8" s="1"/>
  <c r="L66" i="8" s="1"/>
  <c r="N66" i="8" s="1"/>
  <c r="P66" i="8" s="1"/>
  <c r="Q66" i="8" s="1"/>
  <c r="I101" i="8"/>
  <c r="J101" i="8" s="1"/>
  <c r="K101" i="8" s="1"/>
  <c r="L101" i="8" s="1"/>
  <c r="N101" i="8" s="1"/>
  <c r="I20" i="8"/>
  <c r="J20" i="8" s="1"/>
  <c r="K20" i="8" s="1"/>
  <c r="L20" i="8" s="1"/>
  <c r="N20" i="8" s="1"/>
  <c r="N14" i="8"/>
  <c r="P14" i="8" s="1"/>
  <c r="Q14" i="8" s="1"/>
  <c r="N13" i="8"/>
  <c r="P13" i="8" s="1"/>
  <c r="Q13" i="8" s="1"/>
  <c r="N16" i="8"/>
  <c r="P16" i="8" s="1"/>
  <c r="Q16" i="8" s="1"/>
  <c r="N22" i="8"/>
  <c r="N23" i="8"/>
  <c r="N3" i="8"/>
  <c r="P3" i="8" s="1"/>
  <c r="Q3" i="8" s="1"/>
  <c r="N9" i="8"/>
  <c r="P9" i="8" s="1"/>
  <c r="Q9" i="8" s="1"/>
  <c r="Q69" i="8"/>
  <c r="Q45" i="8"/>
  <c r="B60" i="4"/>
  <c r="B61" i="4" s="1"/>
  <c r="N31" i="8" l="1"/>
  <c r="P31" i="8" s="1"/>
  <c r="Q31" i="8" s="1"/>
  <c r="N36" i="8"/>
  <c r="P36" i="8" s="1"/>
  <c r="N41" i="8"/>
  <c r="P41" i="8" s="1"/>
  <c r="Q41" i="8" s="1"/>
  <c r="P20" i="8"/>
  <c r="Q20" i="8" s="1"/>
  <c r="I18" i="8"/>
  <c r="N51" i="8"/>
  <c r="P51" i="8" s="1"/>
  <c r="Q51" i="8" s="1"/>
  <c r="P23" i="8"/>
  <c r="Q23" i="8" s="1"/>
  <c r="P21" i="8"/>
  <c r="Q21" i="8" s="1"/>
  <c r="P25" i="8"/>
  <c r="Q25" i="8" s="1"/>
  <c r="I79" i="8"/>
  <c r="P22" i="8"/>
  <c r="Q22" i="8" s="1"/>
  <c r="N46" i="8"/>
  <c r="P46" i="8" s="1"/>
  <c r="Q46" i="8" s="1"/>
  <c r="P24" i="8"/>
  <c r="Q24" i="8" s="1"/>
  <c r="Q36" i="8"/>
  <c r="I80" i="8" l="1"/>
  <c r="Q19" i="8"/>
  <c r="Q79" i="8" s="1"/>
  <c r="P79" i="8"/>
  <c r="O80" i="8"/>
  <c r="Q2" i="8" l="1"/>
  <c r="Q18" i="8" s="1"/>
  <c r="Q80" i="8" s="1"/>
  <c r="B64" i="4" s="1"/>
  <c r="B65" i="4" s="1"/>
  <c r="C65" i="4" s="1"/>
  <c r="P18" i="8"/>
  <c r="P80" i="8" s="1"/>
</calcChain>
</file>

<file path=xl/sharedStrings.xml><?xml version="1.0" encoding="utf-8"?>
<sst xmlns="http://schemas.openxmlformats.org/spreadsheetml/2006/main" count="336" uniqueCount="180">
  <si>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</si>
  <si>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</si>
  <si>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</si>
  <si>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</si>
  <si>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</si>
  <si>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</si>
  <si>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</si>
  <si>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</si>
  <si>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</si>
  <si>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</si>
  <si>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</si>
  <si>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</si>
  <si>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</si>
  <si>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</si>
  <si>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</si>
  <si>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</si>
  <si>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</si>
  <si>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</si>
  <si>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</si>
  <si>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</si>
  <si>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</si>
  <si>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</si>
  <si>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</si>
  <si>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</si>
  <si>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</si>
  <si>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</si>
  <si>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</si>
  <si>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</si>
  <si>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</si>
  <si>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</si>
  <si>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</si>
  <si>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</si>
  <si>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</si>
  <si>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</si>
  <si>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</si>
  <si>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</si>
  <si>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</si>
  <si>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Monthly Customers</t>
  </si>
  <si>
    <t>Tariff Rate Increase</t>
  </si>
  <si>
    <t>Revised Revenue Increase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</si>
  <si>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</si>
  <si>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</si>
  <si>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</si>
  <si>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</si>
  <si>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</si>
  <si>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</si>
  <si>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</si>
  <si>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</si>
  <si>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</si>
  <si>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</si>
  <si>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</si>
  <si>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</si>
  <si>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</si>
  <si>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</si>
  <si>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</si>
  <si>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</si>
  <si>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</si>
  <si>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</si>
  <si>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</si>
  <si>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</si>
  <si>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</si>
  <si>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</si>
  <si>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</si>
  <si>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</si>
  <si>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</si>
  <si>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</si>
  <si>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</si>
  <si>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</si>
  <si>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</si>
  <si>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</si>
  <si>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</si>
  <si>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</si>
  <si>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</si>
  <si>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</si>
  <si>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</si>
  <si>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</si>
  <si>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</si>
  <si>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</si>
  <si>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</si>
  <si>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</si>
  <si>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</si>
  <si>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</si>
  <si>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</si>
  <si>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</si>
  <si>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</si>
  <si>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</si>
  <si>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</si>
  <si>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</si>
  <si>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</si>
  <si>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</si>
  <si>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</si>
  <si>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</si>
  <si>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* not on meeks - calculated by staff</t>
  </si>
  <si>
    <t>Transfer Station</t>
  </si>
  <si>
    <t>Comments</t>
  </si>
  <si>
    <t>Differ from Company</t>
  </si>
  <si>
    <t>Calculated Annual PUs based on freq</t>
  </si>
  <si>
    <t>na - multiple pickups not on tariff</t>
  </si>
  <si>
    <t>32 gal can week</t>
  </si>
  <si>
    <t>Res_Extra_bag/Box</t>
  </si>
  <si>
    <t>Not on Meeks, Co provided weight</t>
  </si>
  <si>
    <t>1 Can 1/MG</t>
  </si>
  <si>
    <t>1 Can 2/MG</t>
  </si>
  <si>
    <t>1-4 yards (comp load)</t>
  </si>
  <si>
    <t>Add'l yards (comp load)</t>
  </si>
  <si>
    <t>1 Yard - 1st Pickup</t>
  </si>
  <si>
    <t>1 Yard - Additional Pickup</t>
  </si>
  <si>
    <t>1 Yard - Special</t>
  </si>
  <si>
    <t>1.5 Yard - 1st Pickup</t>
  </si>
  <si>
    <t>1.5 - Additional Pickup</t>
  </si>
  <si>
    <t>1.5 - Special</t>
  </si>
  <si>
    <t>1.5 - Temporary</t>
  </si>
  <si>
    <t>2 Yard - 1st Pickup</t>
  </si>
  <si>
    <t>2 Yard - Additional Pickup</t>
  </si>
  <si>
    <t>2 Yard - Special</t>
  </si>
  <si>
    <t>2 Yard - Temporary</t>
  </si>
  <si>
    <t>4 Yard - 1st Pickup</t>
  </si>
  <si>
    <t>4 Yard - Additional Pickup</t>
  </si>
  <si>
    <t>4 Yard - Special</t>
  </si>
  <si>
    <t>6 Yard - 1st Pickup</t>
  </si>
  <si>
    <t>6 Yard - Additional Pickup</t>
  </si>
  <si>
    <t>6 Yard - Special</t>
  </si>
  <si>
    <t>Company        Calculated Rate</t>
  </si>
  <si>
    <t>Company    Current Tariff</t>
  </si>
  <si>
    <t>Company Calculated Revenue</t>
  </si>
  <si>
    <t>45 gallon Can</t>
  </si>
  <si>
    <t>Pond Oreille County</t>
  </si>
  <si>
    <t>1 - 45 gal can weekly</t>
  </si>
  <si>
    <t>2 - 45 gal can weekly</t>
  </si>
  <si>
    <t>1 Can monthly</t>
  </si>
  <si>
    <t>1 - 45 Gal can monthly</t>
  </si>
  <si>
    <t>I can every other week</t>
  </si>
  <si>
    <t>2 can every other week</t>
  </si>
  <si>
    <t>3 can every other week</t>
  </si>
  <si>
    <t>4 can every other week</t>
  </si>
  <si>
    <t>1 - 45 Gal can every other week</t>
  </si>
  <si>
    <t>2 - 45 Gal can every other week</t>
  </si>
  <si>
    <t>Extra Cans</t>
  </si>
  <si>
    <t>2 -32 gal can week</t>
  </si>
  <si>
    <t>3 -32 gal can week</t>
  </si>
  <si>
    <t>4 -32 gal can week</t>
  </si>
  <si>
    <t>5 -32 gal can week</t>
  </si>
  <si>
    <t>6 -32 gal can week</t>
  </si>
  <si>
    <t>7 -32 gal can week</t>
  </si>
  <si>
    <t>1.5 Yard - Special</t>
  </si>
  <si>
    <t>2 Yard - Additional Pickups 2y2xw</t>
  </si>
  <si>
    <t>6 Yard - Additional Pickup 3xw</t>
  </si>
  <si>
    <t>1 Yard - Additional Pickup EOW</t>
  </si>
  <si>
    <t>1.5 - Additional Pickup EOW</t>
  </si>
  <si>
    <t>2 Yard - Additional Pickup EOW</t>
  </si>
  <si>
    <t>4 Yard - Additional Pickup EOW</t>
  </si>
  <si>
    <t>5 Cans WG EOW</t>
  </si>
  <si>
    <t>6 Cans WG EOW</t>
  </si>
  <si>
    <t>Add'l yards</t>
  </si>
  <si>
    <t>1 Yard - Rent</t>
  </si>
  <si>
    <t>1.5 Yard - Rent</t>
  </si>
  <si>
    <t>2 Yard - Rent</t>
  </si>
  <si>
    <t>4 Yard - Rent</t>
  </si>
  <si>
    <t>6 Yard - Rent</t>
  </si>
  <si>
    <t>4 Can WG</t>
  </si>
  <si>
    <t>6 Cans WG</t>
  </si>
  <si>
    <t>On Call Pickup</t>
  </si>
  <si>
    <t>1Yard -Temporary</t>
  </si>
  <si>
    <t>4 Yard - Temporary</t>
  </si>
  <si>
    <t>6 Yard - Temporary</t>
  </si>
  <si>
    <t>Extra 45 Gallon Can</t>
  </si>
  <si>
    <t>Staff Calculated Revenue</t>
  </si>
  <si>
    <t>Staff Current Revenue</t>
  </si>
  <si>
    <t>20A</t>
  </si>
  <si>
    <t>2x Weekly</t>
  </si>
  <si>
    <t>EOW</t>
  </si>
  <si>
    <t>3x Weekly</t>
  </si>
  <si>
    <t>Company Calculated Rate</t>
  </si>
  <si>
    <t>32 Gal Can Special PU</t>
  </si>
  <si>
    <t>45 Gal Toter Special PU</t>
  </si>
  <si>
    <t>45 Gal Toter Temp Service PU</t>
  </si>
  <si>
    <t>32 Gal Temp Service PU</t>
  </si>
  <si>
    <t>32 Gal Min. Monthly</t>
  </si>
  <si>
    <t>45 Gal Min. Monthly</t>
  </si>
  <si>
    <t>Company Current tariff is above 4.33* Single can rate, do not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</si>
</sst>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32" fillId="26" borderId="1" applyNumberFormat="0" applyAlignment="0" applyProtection="0"/>
    <xf numFmtId="0" fontId="47" fillId="26" borderId="1" applyNumberFormat="0" applyAlignment="0" applyProtection="0"/>
    <xf numFmtId="0" fontId="16" fillId="26" borderId="1" applyNumberFormat="0" applyAlignment="0" applyProtection="0"/>
    <xf numFmtId="0" fontId="47" fillId="4" borderId="1" applyNumberFormat="0" applyAlignment="0" applyProtection="0"/>
    <xf numFmtId="0" fontId="17" fillId="28" borderId="3" applyNumberFormat="0" applyAlignment="0" applyProtection="0"/>
    <xf numFmtId="0" fontId="17" fillId="27" borderId="2" applyNumberFormat="0" applyAlignment="0" applyProtection="0"/>
    <xf numFmtId="0" fontId="2" fillId="29" borderId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30" borderId="4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>
      <alignment horizontal="right"/>
      <protection locked="0"/>
    </xf>
    <xf numFmtId="14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31" borderId="0">
      <alignment horizontal="right"/>
      <protection locked="0"/>
    </xf>
    <xf numFmtId="1" fontId="2" fillId="0" borderId="0">
      <alignment horizontal="center"/>
    </xf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5" applyNumberFormat="0" applyFill="0" applyAlignment="0" applyProtection="0"/>
    <xf numFmtId="0" fontId="37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13" borderId="1" applyNumberFormat="0" applyAlignment="0" applyProtection="0"/>
    <xf numFmtId="0" fontId="25" fillId="13" borderId="1" applyNumberFormat="0" applyAlignment="0" applyProtection="0"/>
    <xf numFmtId="3" fontId="10" fillId="32" borderId="0">
      <protection locked="0"/>
    </xf>
    <xf numFmtId="4" fontId="10" fillId="32" borderId="0">
      <protection locked="0"/>
    </xf>
    <xf numFmtId="0" fontId="42" fillId="0" borderId="16" applyNumberFormat="0" applyFill="0" applyAlignment="0" applyProtection="0"/>
    <xf numFmtId="0" fontId="52" fillId="0" borderId="15" applyNumberFormat="0" applyFill="0" applyAlignment="0" applyProtection="0"/>
    <xf numFmtId="0" fontId="26" fillId="0" borderId="17" applyNumberFormat="0" applyFill="0" applyAlignment="0" applyProtection="0"/>
    <xf numFmtId="0" fontId="43" fillId="13" borderId="0" applyNumberFormat="0" applyBorder="0" applyAlignment="0" applyProtection="0"/>
    <xf numFmtId="0" fontId="53" fillId="13" borderId="0" applyNumberFormat="0" applyBorder="0" applyAlignment="0" applyProtection="0"/>
    <xf numFmtId="0" fontId="27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9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9" borderId="18" applyNumberFormat="0" applyFont="0" applyAlignment="0" applyProtection="0"/>
    <xf numFmtId="0" fontId="8" fillId="9" borderId="18" applyNumberFormat="0" applyFont="0" applyAlignment="0" applyProtection="0"/>
    <xf numFmtId="0" fontId="28" fillId="9" borderId="18" applyNumberFormat="0" applyFont="0" applyAlignment="0" applyProtection="0"/>
    <xf numFmtId="0" fontId="48" fillId="9" borderId="18" applyNumberFormat="0" applyFont="0" applyAlignment="0" applyProtection="0"/>
    <xf numFmtId="171" fontId="44" fillId="0" borderId="0" applyNumberFormat="0"/>
    <xf numFmtId="0" fontId="24" fillId="26" borderId="20" applyNumberFormat="0" applyAlignment="0" applyProtection="0"/>
    <xf numFmtId="0" fontId="29" fillId="26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1">
      <alignment horizontal="center"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37" fontId="55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4" fillId="34" borderId="0" applyFont="0" applyFill="0" applyBorder="0" applyAlignment="0" applyProtection="0">
      <alignment wrapText="1"/>
    </xf>
  </cellStyleXfs>
  <cellXfs count="211">
    <xf numFmtId="0" fontId="0" fillId="0" borderId="0" xfId="0"/>
    <xf numFmtId="43" fontId="0" fillId="0" borderId="0" xfId="82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5" fontId="0" fillId="35" borderId="0" xfId="126" applyNumberFormat="1" applyFont="1" applyFill="1"/>
    <xf numFmtId="44" fontId="0" fillId="35" borderId="0" xfId="126" applyFont="1" applyFill="1"/>
    <xf numFmtId="44" fontId="0" fillId="35" borderId="4" xfId="126" applyFont="1" applyFill="1" applyBorder="1"/>
    <xf numFmtId="165" fontId="0" fillId="35" borderId="4" xfId="126" applyNumberFormat="1" applyFont="1" applyFill="1" applyBorder="1"/>
    <xf numFmtId="167" fontId="0" fillId="0" borderId="0" xfId="82" applyNumberFormat="1" applyFont="1"/>
    <xf numFmtId="167" fontId="0" fillId="0" borderId="4" xfId="82" applyNumberFormat="1" applyFont="1" applyBorder="1"/>
    <xf numFmtId="169" fontId="0" fillId="35" borderId="0" xfId="126" applyNumberFormat="1" applyFont="1" applyFill="1"/>
    <xf numFmtId="166" fontId="0" fillId="0" borderId="0" xfId="82" applyNumberFormat="1" applyFont="1"/>
    <xf numFmtId="166" fontId="0" fillId="0" borderId="4" xfId="82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/>
    <xf numFmtId="0" fontId="3" fillId="36" borderId="4" xfId="0" applyFont="1" applyFill="1" applyBorder="1"/>
    <xf numFmtId="43" fontId="0" fillId="0" borderId="0" xfId="82" applyFont="1" applyAlignment="1">
      <alignment horizontal="center"/>
    </xf>
    <xf numFmtId="164" fontId="0" fillId="0" borderId="0" xfId="126" applyNumberFormat="1" applyFont="1" applyBorder="1"/>
    <xf numFmtId="10" fontId="0" fillId="0" borderId="0" xfId="338" applyNumberFormat="1" applyFont="1" applyBorder="1"/>
    <xf numFmtId="43" fontId="0" fillId="0" borderId="0" xfId="82" applyFont="1" applyFill="1" applyBorder="1"/>
    <xf numFmtId="43" fontId="0" fillId="0" borderId="0" xfId="82" applyFont="1" applyBorder="1"/>
    <xf numFmtId="165" fontId="0" fillId="0" borderId="0" xfId="126" applyNumberFormat="1" applyFont="1" applyBorder="1"/>
    <xf numFmtId="44" fontId="0" fillId="0" borderId="0" xfId="126" applyFont="1" applyBorder="1" applyAlignment="1">
      <alignment horizontal="right"/>
    </xf>
    <xf numFmtId="10" fontId="0" fillId="0" borderId="0" xfId="338" applyNumberFormat="1" applyFont="1" applyBorder="1" applyAlignment="1">
      <alignment horizontal="right"/>
    </xf>
    <xf numFmtId="166" fontId="0" fillId="0" borderId="0" xfId="8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0" fillId="0" borderId="0" xfId="82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330" applyFont="1" applyFill="1" applyBorder="1" applyAlignment="1">
      <alignment horizontal="left"/>
    </xf>
    <xf numFmtId="166" fontId="11" fillId="0" borderId="0" xfId="82" applyNumberFormat="1" applyFont="1" applyFill="1" applyBorder="1" applyAlignment="1">
      <alignment horizontal="left"/>
    </xf>
    <xf numFmtId="166" fontId="0" fillId="0" borderId="0" xfId="8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vertical="center" textRotation="90"/>
    </xf>
    <xf numFmtId="0" fontId="12" fillId="36" borderId="4" xfId="330" applyFont="1" applyFill="1" applyBorder="1" applyAlignment="1">
      <alignment horizontal="left"/>
    </xf>
    <xf numFmtId="44" fontId="0" fillId="0" borderId="0" xfId="0" applyNumberFormat="1" applyFont="1" applyFill="1" applyBorder="1"/>
    <xf numFmtId="3" fontId="3" fillId="36" borderId="4" xfId="0" applyNumberFormat="1" applyFont="1" applyFill="1" applyBorder="1" applyAlignment="1">
      <alignment horizontal="right"/>
    </xf>
    <xf numFmtId="43" fontId="0" fillId="36" borderId="4" xfId="82" applyFont="1" applyFill="1" applyBorder="1"/>
    <xf numFmtId="166" fontId="3" fillId="36" borderId="4" xfId="0" applyNumberFormat="1" applyFont="1" applyFill="1" applyBorder="1"/>
    <xf numFmtId="43" fontId="0" fillId="36" borderId="4" xfId="0" applyNumberFormat="1" applyFont="1" applyFill="1" applyBorder="1"/>
    <xf numFmtId="166" fontId="3" fillId="36" borderId="4" xfId="82" applyNumberFormat="1" applyFont="1" applyFill="1" applyBorder="1"/>
    <xf numFmtId="166" fontId="3" fillId="0" borderId="4" xfId="82" applyNumberFormat="1" applyFont="1" applyBorder="1" applyAlignment="1">
      <alignment horizontal="center"/>
    </xf>
    <xf numFmtId="44" fontId="0" fillId="0" borderId="0" xfId="82" applyNumberFormat="1" applyFont="1" applyFill="1" applyBorder="1"/>
    <xf numFmtId="166" fontId="0" fillId="0" borderId="0" xfId="82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330" applyFont="1" applyFill="1" applyBorder="1" applyAlignment="1">
      <alignment horizontal="left"/>
    </xf>
    <xf numFmtId="166" fontId="3" fillId="0" borderId="0" xfId="82" applyNumberFormat="1" applyFont="1" applyBorder="1" applyAlignment="1">
      <alignment horizontal="right"/>
    </xf>
    <xf numFmtId="0" fontId="9" fillId="0" borderId="0" xfId="319" applyFont="1" applyBorder="1" applyAlignment="1">
      <alignment horizontal="left"/>
    </xf>
    <xf numFmtId="166" fontId="0" fillId="35" borderId="0" xfId="82" applyNumberFormat="1" applyFont="1" applyFill="1" applyBorder="1" applyAlignment="1">
      <alignment horizontal="right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43" fontId="0" fillId="0" borderId="0" xfId="82" applyNumberFormat="1" applyFont="1" applyFill="1" applyBorder="1"/>
    <xf numFmtId="166" fontId="0" fillId="0" borderId="26" xfId="82" applyNumberFormat="1" applyFont="1" applyFill="1" applyBorder="1"/>
    <xf numFmtId="44" fontId="0" fillId="32" borderId="0" xfId="126" applyFont="1" applyFill="1" applyBorder="1"/>
    <xf numFmtId="44" fontId="0" fillId="0" borderId="26" xfId="126" applyFont="1" applyFill="1" applyBorder="1"/>
    <xf numFmtId="44" fontId="3" fillId="36" borderId="4" xfId="126" applyFont="1" applyFill="1" applyBorder="1"/>
    <xf numFmtId="44" fontId="0" fillId="36" borderId="4" xfId="126" applyFont="1" applyFill="1" applyBorder="1"/>
    <xf numFmtId="44" fontId="3" fillId="0" borderId="0" xfId="126" applyFont="1" applyBorder="1" applyAlignment="1">
      <alignment horizontal="right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166" fontId="0" fillId="36" borderId="0" xfId="82" applyNumberFormat="1" applyFont="1" applyFill="1" applyBorder="1"/>
    <xf numFmtId="44" fontId="0" fillId="36" borderId="0" xfId="82" applyNumberFormat="1" applyFont="1" applyFill="1" applyBorder="1"/>
    <xf numFmtId="0" fontId="3" fillId="36" borderId="0" xfId="0" applyFont="1" applyFill="1" applyBorder="1"/>
    <xf numFmtId="166" fontId="0" fillId="0" borderId="4" xfId="82" applyNumberFormat="1" applyFont="1" applyFill="1" applyBorder="1"/>
    <xf numFmtId="0" fontId="3" fillId="36" borderId="4" xfId="0" applyFont="1" applyFill="1" applyBorder="1" applyAlignment="1">
      <alignment horizontal="center" wrapText="1"/>
    </xf>
    <xf numFmtId="0" fontId="3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vertical="center"/>
    </xf>
    <xf numFmtId="3" fontId="3" fillId="36" borderId="4" xfId="0" applyNumberFormat="1" applyFont="1" applyFill="1" applyBorder="1"/>
    <xf numFmtId="0" fontId="0" fillId="0" borderId="0" xfId="0" applyFont="1" applyFill="1" applyBorder="1" applyAlignment="1"/>
    <xf numFmtId="0" fontId="11" fillId="0" borderId="0" xfId="319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9" fillId="0" borderId="0" xfId="33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44" fontId="0" fillId="0" borderId="4" xfId="126" applyFont="1" applyFill="1" applyBorder="1"/>
    <xf numFmtId="44" fontId="0" fillId="0" borderId="0" xfId="126" applyFont="1" applyBorder="1"/>
    <xf numFmtId="0" fontId="3" fillId="0" borderId="27" xfId="0" applyFont="1" applyBorder="1"/>
    <xf numFmtId="0" fontId="0" fillId="36" borderId="28" xfId="0" applyFont="1" applyFill="1" applyBorder="1" applyAlignment="1">
      <alignment horizontal="center"/>
    </xf>
    <xf numFmtId="0" fontId="0" fillId="0" borderId="29" xfId="0" applyFont="1" applyBorder="1"/>
    <xf numFmtId="44" fontId="0" fillId="0" borderId="30" xfId="126" applyFont="1" applyBorder="1"/>
    <xf numFmtId="0" fontId="0" fillId="0" borderId="30" xfId="0" applyFont="1" applyBorder="1"/>
    <xf numFmtId="0" fontId="3" fillId="0" borderId="29" xfId="0" applyFont="1" applyBorder="1"/>
    <xf numFmtId="0" fontId="0" fillId="36" borderId="31" xfId="0" applyFont="1" applyFill="1" applyBorder="1" applyAlignment="1">
      <alignment horizontal="center"/>
    </xf>
    <xf numFmtId="44" fontId="1" fillId="0" borderId="30" xfId="126" applyFont="1" applyBorder="1"/>
    <xf numFmtId="0" fontId="0" fillId="0" borderId="32" xfId="0" applyFont="1" applyBorder="1" applyAlignment="1">
      <alignment horizontal="left"/>
    </xf>
    <xf numFmtId="44" fontId="0" fillId="0" borderId="33" xfId="126" applyFont="1" applyBorder="1"/>
    <xf numFmtId="164" fontId="0" fillId="0" borderId="0" xfId="0" applyNumberFormat="1" applyFont="1" applyFill="1" applyBorder="1"/>
    <xf numFmtId="43" fontId="3" fillId="0" borderId="0" xfId="82" applyNumberFormat="1" applyFont="1" applyBorder="1" applyAlignment="1">
      <alignment horizontal="right"/>
    </xf>
    <xf numFmtId="43" fontId="0" fillId="0" borderId="4" xfId="82" applyNumberFormat="1" applyFont="1" applyFill="1" applyBorder="1"/>
    <xf numFmtId="166" fontId="0" fillId="0" borderId="4" xfId="82" applyNumberFormat="1" applyFont="1" applyFill="1" applyBorder="1" applyAlignment="1">
      <alignment horizontal="center" wrapText="1"/>
    </xf>
    <xf numFmtId="0" fontId="11" fillId="0" borderId="0" xfId="329" applyFont="1" applyBorder="1"/>
    <xf numFmtId="0" fontId="0" fillId="0" borderId="4" xfId="0" applyFont="1" applyFill="1" applyBorder="1" applyAlignment="1">
      <alignment horizontal="center" vertical="center"/>
    </xf>
    <xf numFmtId="166" fontId="11" fillId="0" borderId="0" xfId="82" applyNumberFormat="1" applyFont="1" applyFill="1" applyBorder="1"/>
    <xf numFmtId="0" fontId="11" fillId="0" borderId="4" xfId="329" applyFont="1" applyBorder="1"/>
    <xf numFmtId="0" fontId="3" fillId="36" borderId="4" xfId="0" applyFont="1" applyFill="1" applyBorder="1" applyAlignment="1">
      <alignment wrapText="1"/>
    </xf>
    <xf numFmtId="166" fontId="0" fillId="0" borderId="26" xfId="82" applyNumberFormat="1" applyFont="1" applyFill="1" applyBorder="1" applyAlignment="1">
      <alignment horizontal="center" wrapText="1"/>
    </xf>
    <xf numFmtId="166" fontId="3" fillId="36" borderId="4" xfId="82" applyNumberFormat="1" applyFont="1" applyFill="1" applyBorder="1" applyAlignment="1">
      <alignment horizontal="center" wrapText="1"/>
    </xf>
    <xf numFmtId="0" fontId="56" fillId="0" borderId="0" xfId="82" applyNumberFormat="1" applyFont="1" applyBorder="1" applyAlignment="1">
      <alignment horizontal="left"/>
    </xf>
    <xf numFmtId="0" fontId="0" fillId="0" borderId="0" xfId="82" applyNumberFormat="1" applyFont="1" applyBorder="1"/>
    <xf numFmtId="0" fontId="0" fillId="0" borderId="4" xfId="0" applyFont="1" applyFill="1" applyBorder="1" applyAlignment="1">
      <alignment vertical="center" textRotation="90"/>
    </xf>
    <xf numFmtId="43" fontId="9" fillId="0" borderId="0" xfId="82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0" fontId="0" fillId="0" borderId="0" xfId="0" applyFont="1" applyFill="1" applyAlignment="1">
      <alignment horizontal="right"/>
    </xf>
    <xf numFmtId="43" fontId="11" fillId="0" borderId="0" xfId="83" applyFont="1"/>
    <xf numFmtId="44" fontId="11" fillId="0" borderId="0" xfId="129" applyFont="1"/>
    <xf numFmtId="3" fontId="11" fillId="0" borderId="0" xfId="200" applyNumberFormat="1" applyFont="1" applyBorder="1"/>
    <xf numFmtId="166" fontId="11" fillId="0" borderId="0" xfId="322" applyNumberFormat="1" applyFont="1" applyBorder="1"/>
    <xf numFmtId="3" fontId="11" fillId="0" borderId="0" xfId="200" applyNumberFormat="1" applyFont="1"/>
    <xf numFmtId="166" fontId="11" fillId="0" borderId="0" xfId="82" applyNumberFormat="1" applyFont="1"/>
    <xf numFmtId="166" fontId="11" fillId="0" borderId="0" xfId="82" applyNumberFormat="1" applyFont="1" applyFill="1"/>
    <xf numFmtId="0" fontId="11" fillId="0" borderId="0" xfId="329" applyFont="1" applyBorder="1" applyAlignment="1">
      <alignment horizontal="left" indent="1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43" fontId="0" fillId="0" borderId="34" xfId="82" applyNumberFormat="1" applyFont="1" applyFill="1" applyBorder="1"/>
    <xf numFmtId="166" fontId="0" fillId="0" borderId="34" xfId="82" applyNumberFormat="1" applyFont="1" applyFill="1" applyBorder="1"/>
    <xf numFmtId="166" fontId="0" fillId="0" borderId="34" xfId="82" applyNumberFormat="1" applyFont="1" applyFill="1" applyBorder="1" applyAlignment="1">
      <alignment horizontal="center" wrapText="1"/>
    </xf>
    <xf numFmtId="44" fontId="0" fillId="0" borderId="34" xfId="126" applyFont="1" applyFill="1" applyBorder="1"/>
    <xf numFmtId="44" fontId="0" fillId="0" borderId="34" xfId="126" applyFont="1" applyBorder="1"/>
    <xf numFmtId="0" fontId="0" fillId="0" borderId="0" xfId="0" applyFont="1" applyFill="1" applyBorder="1" applyAlignment="1">
      <alignment horizontal="center" vertical="center" textRotation="90"/>
    </xf>
    <xf numFmtId="44" fontId="11" fillId="0" borderId="0" xfId="126" applyFont="1" applyFill="1" applyBorder="1"/>
    <xf numFmtId="44" fontId="3" fillId="36" borderId="4" xfId="126" applyFont="1" applyFill="1" applyBorder="1" applyAlignment="1">
      <alignment horizontal="right"/>
    </xf>
    <xf numFmtId="0" fontId="0" fillId="0" borderId="0" xfId="0" applyFont="1" applyFill="1"/>
    <xf numFmtId="166" fontId="11" fillId="0" borderId="0" xfId="83" applyNumberFormat="1" applyFont="1"/>
    <xf numFmtId="166" fontId="9" fillId="0" borderId="0" xfId="83" applyNumberFormat="1" applyFont="1"/>
    <xf numFmtId="166" fontId="11" fillId="0" borderId="0" xfId="83" applyNumberFormat="1" applyFont="1" applyFill="1"/>
    <xf numFmtId="166" fontId="3" fillId="36" borderId="4" xfId="0" applyNumberFormat="1" applyFont="1" applyFill="1" applyBorder="1" applyAlignment="1">
      <alignment horizontal="right"/>
    </xf>
    <xf numFmtId="166" fontId="0" fillId="0" borderId="0" xfId="0" applyNumberFormat="1" applyFont="1" applyBorder="1"/>
    <xf numFmtId="166" fontId="0" fillId="36" borderId="0" xfId="0" applyNumberFormat="1" applyFont="1" applyFill="1" applyBorder="1"/>
    <xf numFmtId="3" fontId="11" fillId="0" borderId="0" xfId="200" applyNumberFormat="1" applyFont="1" applyFill="1"/>
    <xf numFmtId="0" fontId="11" fillId="0" borderId="0" xfId="329" applyFont="1" applyBorder="1" applyAlignment="1">
      <alignment horizontal="left"/>
    </xf>
    <xf numFmtId="44" fontId="0" fillId="38" borderId="26" xfId="126" applyFont="1" applyFill="1" applyBorder="1"/>
    <xf numFmtId="44" fontId="0" fillId="38" borderId="0" xfId="126" applyFont="1" applyFill="1" applyBorder="1"/>
    <xf numFmtId="44" fontId="11" fillId="0" borderId="0" xfId="126" applyFont="1" applyBorder="1"/>
    <xf numFmtId="0" fontId="0" fillId="0" borderId="0" xfId="0" applyAlignment="1">
      <alignment horizontal="left" indent="1"/>
    </xf>
    <xf numFmtId="44" fontId="0" fillId="38" borderId="0" xfId="126" applyFont="1" applyFill="1" applyBorder="1"/>
    <xf numFmtId="166" fontId="0" fillId="0" borderId="0" xfId="82" applyNumberFormat="1" applyFont="1" applyFill="1" applyBorder="1"/>
    <xf numFmtId="166" fontId="0" fillId="0" borderId="0" xfId="82" applyNumberFormat="1" applyFont="1" applyFill="1" applyBorder="1" applyAlignment="1">
      <alignment horizontal="center" wrapText="1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166" fontId="0" fillId="0" borderId="0" xfId="82" applyNumberFormat="1" applyFont="1" applyFill="1" applyBorder="1" applyAlignment="1">
      <alignment horizontal="center" wrapText="1"/>
    </xf>
    <xf numFmtId="44" fontId="0" fillId="0" borderId="0" xfId="126" applyFont="1" applyFill="1" applyBorder="1"/>
    <xf numFmtId="44" fontId="0" fillId="38" borderId="0" xfId="126" applyFont="1" applyFill="1" applyBorder="1"/>
    <xf numFmtId="12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Border="1"/>
    <xf numFmtId="3" fontId="0" fillId="0" borderId="0" xfId="82" applyNumberFormat="1" applyFont="1" applyBorder="1"/>
    <xf numFmtId="3" fontId="3" fillId="0" borderId="0" xfId="82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3" fontId="0" fillId="0" borderId="0" xfId="82" applyNumberFormat="1" applyFont="1" applyFill="1" applyBorder="1"/>
    <xf numFmtId="3" fontId="0" fillId="0" borderId="34" xfId="82" applyNumberFormat="1" applyFont="1" applyBorder="1"/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3" fontId="0" fillId="39" borderId="0" xfId="82" applyNumberFormat="1" applyFont="1" applyFill="1" applyBorder="1"/>
    <xf numFmtId="44" fontId="11" fillId="39" borderId="0" xfId="126" applyFont="1" applyFill="1" applyBorder="1"/>
    <xf numFmtId="44" fontId="0" fillId="39" borderId="0" xfId="126" applyFont="1" applyFill="1" applyBorder="1"/>
    <xf numFmtId="0" fontId="0" fillId="0" borderId="0" xfId="0" applyFont="1" applyFill="1" applyAlignment="1">
      <alignment horizontal="center"/>
    </xf>
    <xf numFmtId="167" fontId="0" fillId="39" borderId="0" xfId="82" applyNumberFormat="1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44" fontId="11" fillId="0" borderId="0" xfId="129" applyFont="1" applyFill="1"/>
    <xf numFmtId="0" fontId="0" fillId="36" borderId="0" xfId="0" applyFont="1" applyFill="1" applyAlignment="1">
      <alignment horizontal="center"/>
    </xf>
    <xf numFmtId="0" fontId="3" fillId="3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6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166" fontId="3" fillId="0" borderId="4" xfId="82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11" fillId="0" borderId="0" xfId="329" applyFont="1" applyFill="1" applyBorder="1" applyAlignment="1">
      <alignment horizontal="left" indent="1"/>
    </xf>
    <xf numFmtId="0" fontId="12" fillId="0" borderId="4" xfId="33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43" fontId="0" fillId="0" borderId="4" xfId="82" applyFont="1" applyFill="1" applyBorder="1"/>
    <xf numFmtId="166" fontId="3" fillId="0" borderId="4" xfId="0" applyNumberFormat="1" applyFont="1" applyFill="1" applyBorder="1"/>
    <xf numFmtId="43" fontId="0" fillId="0" borderId="4" xfId="0" applyNumberFormat="1" applyFont="1" applyFill="1" applyBorder="1"/>
    <xf numFmtId="3" fontId="3" fillId="0" borderId="4" xfId="0" applyNumberFormat="1" applyFont="1" applyFill="1" applyBorder="1"/>
    <xf numFmtId="166" fontId="3" fillId="0" borderId="4" xfId="82" applyNumberFormat="1" applyFont="1" applyFill="1" applyBorder="1"/>
    <xf numFmtId="44" fontId="3" fillId="0" borderId="4" xfId="126" applyFont="1" applyFill="1" applyBorder="1"/>
    <xf numFmtId="166" fontId="11" fillId="0" borderId="4" xfId="322" applyNumberFormat="1" applyFont="1" applyBorder="1"/>
    <xf numFmtId="43" fontId="9" fillId="0" borderId="4" xfId="82" applyNumberFormat="1" applyFont="1" applyFill="1" applyBorder="1"/>
    <xf numFmtId="43" fontId="11" fillId="0" borderId="4" xfId="83" applyFont="1" applyBorder="1"/>
    <xf numFmtId="44" fontId="11" fillId="0" borderId="4" xfId="129" applyFont="1" applyBorder="1"/>
    <xf numFmtId="44" fontId="3" fillId="0" borderId="4" xfId="126" applyFont="1" applyFill="1" applyBorder="1" applyAlignment="1">
      <alignment horizontal="right"/>
    </xf>
    <xf numFmtId="44" fontId="3" fillId="0" borderId="0" xfId="126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</cellXfs>
  <cellStyles count="390">
    <cellStyle name="20% - Accent1 2" xfId="1"/>
    <cellStyle name="20% - Accent1 2 2" xfId="2"/>
    <cellStyle name="20% - Accent1 3" xfId="3"/>
    <cellStyle name="20% - Accent1 3 2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2 2" xfId="10"/>
    <cellStyle name="20% - Accent4 3" xfId="11"/>
    <cellStyle name="20% - Accent4 3 2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1 3 2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4 3 2" xfId="26"/>
    <cellStyle name="40% - Accent5 2" xfId="27"/>
    <cellStyle name="40% - Accent5 3" xfId="28"/>
    <cellStyle name="40% - Accent6 2" xfId="29"/>
    <cellStyle name="40% - Accent6 3" xfId="30"/>
    <cellStyle name="40% - Accent6 3 2" xfId="31"/>
    <cellStyle name="60% - Accent1 2" xfId="32"/>
    <cellStyle name="60% - Accent1 2 2" xfId="33"/>
    <cellStyle name="60% - Accent1 3" xfId="34"/>
    <cellStyle name="60% - Accent1 3 2" xfId="35"/>
    <cellStyle name="60% - Accent2 2" xfId="36"/>
    <cellStyle name="60% - Accent2 3" xfId="37"/>
    <cellStyle name="60% - Accent3 2" xfId="38"/>
    <cellStyle name="60% - Accent3 3" xfId="39"/>
    <cellStyle name="60% - Accent3 3 2" xfId="40"/>
    <cellStyle name="60% - Accent4 2" xfId="41"/>
    <cellStyle name="60% - Accent4 3" xfId="42"/>
    <cellStyle name="60% - Accent4 3 2" xfId="43"/>
    <cellStyle name="60% - Accent5 2" xfId="44"/>
    <cellStyle name="60% - Accent5 2 2" xfId="45"/>
    <cellStyle name="60% - Accent5 3" xfId="46"/>
    <cellStyle name="60% - Accent6 2" xfId="47"/>
    <cellStyle name="60% - Accent6 3" xfId="48"/>
    <cellStyle name="Accent1 2" xfId="49"/>
    <cellStyle name="Accent1 2 2" xfId="50"/>
    <cellStyle name="Accent1 3" xfId="51"/>
    <cellStyle name="Accent1 3 2" xfId="52"/>
    <cellStyle name="Accent2 2" xfId="53"/>
    <cellStyle name="Accent2 3" xfId="54"/>
    <cellStyle name="Accent3 2" xfId="55"/>
    <cellStyle name="Accent3 2 2" xfId="56"/>
    <cellStyle name="Accent3 3" xfId="57"/>
    <cellStyle name="Accent4 2" xfId="58"/>
    <cellStyle name="Accent4 3" xfId="59"/>
    <cellStyle name="Accent5 2" xfId="60"/>
    <cellStyle name="Accent5 3" xfId="61"/>
    <cellStyle name="Accent6 2" xfId="62"/>
    <cellStyle name="Accent6 2 2" xfId="63"/>
    <cellStyle name="Accent6 3" xfId="64"/>
    <cellStyle name="Accounting" xfId="65"/>
    <cellStyle name="Accounting 2" xfId="66"/>
    <cellStyle name="Accounting 3" xfId="67"/>
    <cellStyle name="Accounting_2011-11" xfId="68"/>
    <cellStyle name="Bad 2" xfId="69"/>
    <cellStyle name="Bad 3" xfId="70"/>
    <cellStyle name="Budget" xfId="71"/>
    <cellStyle name="Budget 2" xfId="72"/>
    <cellStyle name="Budget 3" xfId="73"/>
    <cellStyle name="Budget_2011-11" xfId="74"/>
    <cellStyle name="Calculation 2" xfId="75"/>
    <cellStyle name="Calculation 2 2" xfId="76"/>
    <cellStyle name="Calculation 3" xfId="77"/>
    <cellStyle name="Calculation 3 2" xfId="78"/>
    <cellStyle name="Check Cell 2" xfId="79"/>
    <cellStyle name="Check Cell 3" xfId="80"/>
    <cellStyle name="combo" xfId="81"/>
    <cellStyle name="Comma" xfId="82" builtinId="3"/>
    <cellStyle name="Comma 10" xfId="83"/>
    <cellStyle name="Comma 11" xfId="84"/>
    <cellStyle name="Comma 12" xfId="85"/>
    <cellStyle name="Comma 12 2" xfId="86"/>
    <cellStyle name="Comma 12 3" xfId="87"/>
    <cellStyle name="Comma 13" xfId="88"/>
    <cellStyle name="Comma 14" xfId="89"/>
    <cellStyle name="Comma 15" xfId="90"/>
    <cellStyle name="Comma 16" xfId="91"/>
    <cellStyle name="Comma 17" xfId="92"/>
    <cellStyle name="Comma 18" xfId="93"/>
    <cellStyle name="Comma 19" xfId="94"/>
    <cellStyle name="Comma 2" xfId="95"/>
    <cellStyle name="Comma 2 2" xfId="96"/>
    <cellStyle name="Comma 2 2 2" xfId="97"/>
    <cellStyle name="Comma 2 3" xfId="98"/>
    <cellStyle name="Comma 2 4" xfId="99"/>
    <cellStyle name="Comma 2 6" xfId="100"/>
    <cellStyle name="Comma 2 6 2" xfId="101"/>
    <cellStyle name="Comma 20" xfId="102"/>
    <cellStyle name="Comma 3" xfId="103"/>
    <cellStyle name="Comma 3 2" xfId="104"/>
    <cellStyle name="Comma 3 2 2" xfId="105"/>
    <cellStyle name="Comma 3 3" xfId="106"/>
    <cellStyle name="Comma 3 4" xfId="107"/>
    <cellStyle name="Comma 4" xfId="108"/>
    <cellStyle name="Comma 4 2" xfId="109"/>
    <cellStyle name="Comma 4 2 2" xfId="110"/>
    <cellStyle name="Comma 4 3" xfId="111"/>
    <cellStyle name="Comma 4 3 2" xfId="112"/>
    <cellStyle name="Comma 4 4" xfId="113"/>
    <cellStyle name="Comma 4 5" xfId="114"/>
    <cellStyle name="Comma 4 6" xfId="115"/>
    <cellStyle name="Comma 5" xfId="116"/>
    <cellStyle name="Comma 6" xfId="117"/>
    <cellStyle name="Comma 6 2" xfId="118"/>
    <cellStyle name="Comma 7" xfId="119"/>
    <cellStyle name="Comma 8" xfId="120"/>
    <cellStyle name="Comma 9" xfId="121"/>
    <cellStyle name="Comma(2)" xfId="122"/>
    <cellStyle name="Comma0 - Style2" xfId="123"/>
    <cellStyle name="Comma1 - Style1" xfId="124"/>
    <cellStyle name="Comments" xfId="125"/>
    <cellStyle name="Currency" xfId="126" builtinId="4"/>
    <cellStyle name="Currency 10" xfId="127"/>
    <cellStyle name="Currency 11" xfId="128"/>
    <cellStyle name="Currency 2" xfId="129"/>
    <cellStyle name="Currency 2 2" xfId="130"/>
    <cellStyle name="Currency 2 2 2" xfId="131"/>
    <cellStyle name="Currency 2 3" xfId="132"/>
    <cellStyle name="Currency 2 3 2" xfId="133"/>
    <cellStyle name="Currency 2 6" xfId="134"/>
    <cellStyle name="Currency 2 6 2" xfId="135"/>
    <cellStyle name="Currency 3" xfId="136"/>
    <cellStyle name="Currency 3 2" xfId="137"/>
    <cellStyle name="Currency 3 3" xfId="138"/>
    <cellStyle name="Currency 3 4" xfId="139"/>
    <cellStyle name="Currency 4" xfId="140"/>
    <cellStyle name="Currency 4 2" xfId="141"/>
    <cellStyle name="Currency 5" xfId="142"/>
    <cellStyle name="Currency 5 2" xfId="143"/>
    <cellStyle name="Currency 5 3" xfId="144"/>
    <cellStyle name="Currency 6" xfId="145"/>
    <cellStyle name="Currency 7" xfId="146"/>
    <cellStyle name="Currency 8" xfId="147"/>
    <cellStyle name="Currency 9" xfId="148"/>
    <cellStyle name="Data Enter" xfId="149"/>
    <cellStyle name="date" xfId="150"/>
    <cellStyle name="Explanatory Text 2" xfId="151"/>
    <cellStyle name="Explanatory Text 3" xfId="152"/>
    <cellStyle name="FactSheet" xfId="153"/>
    <cellStyle name="fish" xfId="154"/>
    <cellStyle name="Good 2" xfId="155"/>
    <cellStyle name="Good 3" xfId="156"/>
    <cellStyle name="Heading 1 2" xfId="157"/>
    <cellStyle name="Heading 1 2 2" xfId="158"/>
    <cellStyle name="Heading 1 3" xfId="159"/>
    <cellStyle name="Heading 1 3 2" xfId="160"/>
    <cellStyle name="Heading 2 2" xfId="161"/>
    <cellStyle name="Heading 2 2 2" xfId="162"/>
    <cellStyle name="Heading 2 3" xfId="163"/>
    <cellStyle name="Heading 2 3 2" xfId="164"/>
    <cellStyle name="Heading 3 2" xfId="165"/>
    <cellStyle name="Heading 3 2 2" xfId="166"/>
    <cellStyle name="Heading 3 3" xfId="167"/>
    <cellStyle name="Heading 3 3 2" xfId="168"/>
    <cellStyle name="Heading 4 2" xfId="169"/>
    <cellStyle name="Heading 4 3" xfId="170"/>
    <cellStyle name="Hyperlink 2" xfId="171"/>
    <cellStyle name="Hyperlink 3" xfId="172"/>
    <cellStyle name="Hyperlink 3 2" xfId="173"/>
    <cellStyle name="Input 2" xfId="174"/>
    <cellStyle name="Input 3" xfId="175"/>
    <cellStyle name="input(0)" xfId="176"/>
    <cellStyle name="Input(2)" xfId="177"/>
    <cellStyle name="Linked Cell 2" xfId="178"/>
    <cellStyle name="Linked Cell 2 2" xfId="179"/>
    <cellStyle name="Linked Cell 3" xfId="180"/>
    <cellStyle name="Neutral 2" xfId="181"/>
    <cellStyle name="Neutral 2 2" xfId="182"/>
    <cellStyle name="Neutral 3" xfId="183"/>
    <cellStyle name="New_normal" xfId="184"/>
    <cellStyle name="Normal" xfId="0" builtinId="0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10" xfId="190"/>
    <cellStyle name="Normal 10 2" xfId="191"/>
    <cellStyle name="Normal 10 2 2" xfId="192"/>
    <cellStyle name="Normal 10 2 3" xfId="193"/>
    <cellStyle name="Normal 10_2112 DF Schedule" xfId="194"/>
    <cellStyle name="Normal 100" xfId="195"/>
    <cellStyle name="Normal 101" xfId="196"/>
    <cellStyle name="Normal 102" xfId="197"/>
    <cellStyle name="Normal 103" xfId="198"/>
    <cellStyle name="Normal 104" xfId="199"/>
    <cellStyle name="Normal 105" xfId="200"/>
    <cellStyle name="Normal 106" xfId="201"/>
    <cellStyle name="Normal 107" xfId="202"/>
    <cellStyle name="Normal 108" xfId="203"/>
    <cellStyle name="Normal 11" xfId="204"/>
    <cellStyle name="Normal 12" xfId="205"/>
    <cellStyle name="Normal 12 2" xfId="206"/>
    <cellStyle name="Normal 13" xfId="207"/>
    <cellStyle name="Normal 13 2" xfId="208"/>
    <cellStyle name="Normal 14" xfId="209"/>
    <cellStyle name="Normal 14 2" xfId="210"/>
    <cellStyle name="Normal 15" xfId="211"/>
    <cellStyle name="Normal 15 2" xfId="212"/>
    <cellStyle name="Normal 16" xfId="213"/>
    <cellStyle name="Normal 16 2" xfId="214"/>
    <cellStyle name="Normal 17" xfId="215"/>
    <cellStyle name="Normal 17 2" xfId="216"/>
    <cellStyle name="Normal 18" xfId="217"/>
    <cellStyle name="Normal 18 2" xfId="218"/>
    <cellStyle name="Normal 19" xfId="219"/>
    <cellStyle name="Normal 19 2" xfId="220"/>
    <cellStyle name="Normal 2" xfId="221"/>
    <cellStyle name="Normal 2 2" xfId="222"/>
    <cellStyle name="Normal 2 2 2" xfId="223"/>
    <cellStyle name="Normal 2 2 3" xfId="224"/>
    <cellStyle name="Normal 2 2_Actual_Fuel" xfId="225"/>
    <cellStyle name="Normal 2 3" xfId="226"/>
    <cellStyle name="Normal 2 3 2" xfId="227"/>
    <cellStyle name="Normal 2 3 3" xfId="228"/>
    <cellStyle name="Normal 2 4" xfId="229"/>
    <cellStyle name="Normal 2 5" xfId="230"/>
    <cellStyle name="Normal 2_2012-10" xfId="231"/>
    <cellStyle name="Normal 20" xfId="232"/>
    <cellStyle name="Normal 21" xfId="233"/>
    <cellStyle name="Normal 22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 3" xfId="244"/>
    <cellStyle name="Normal 3 4" xfId="245"/>
    <cellStyle name="Normal 3_2012 PR" xfId="246"/>
    <cellStyle name="Normal 30" xfId="247"/>
    <cellStyle name="Normal 31" xfId="248"/>
    <cellStyle name="Normal 32" xfId="249"/>
    <cellStyle name="Normal 33" xfId="250"/>
    <cellStyle name="Normal 34" xfId="251"/>
    <cellStyle name="Normal 35" xfId="252"/>
    <cellStyle name="Normal 36" xfId="253"/>
    <cellStyle name="Normal 37" xfId="254"/>
    <cellStyle name="Normal 38" xfId="255"/>
    <cellStyle name="Normal 39" xfId="256"/>
    <cellStyle name="Normal 4" xfId="257"/>
    <cellStyle name="Normal 4 2" xfId="258"/>
    <cellStyle name="Normal 40" xfId="259"/>
    <cellStyle name="Normal 41" xfId="260"/>
    <cellStyle name="Normal 42" xfId="261"/>
    <cellStyle name="Normal 43" xfId="262"/>
    <cellStyle name="Normal 44" xfId="263"/>
    <cellStyle name="Normal 45" xfId="264"/>
    <cellStyle name="Normal 46" xfId="265"/>
    <cellStyle name="Normal 47" xfId="266"/>
    <cellStyle name="Normal 48" xfId="267"/>
    <cellStyle name="Normal 49" xfId="268"/>
    <cellStyle name="Normal 5" xfId="269"/>
    <cellStyle name="Normal 5 2" xfId="270"/>
    <cellStyle name="Normal 5_2112 DF Schedule" xfId="271"/>
    <cellStyle name="Normal 50" xfId="272"/>
    <cellStyle name="Normal 51" xfId="273"/>
    <cellStyle name="Normal 52" xfId="274"/>
    <cellStyle name="Normal 53" xfId="275"/>
    <cellStyle name="Normal 54" xfId="276"/>
    <cellStyle name="Normal 55" xfId="277"/>
    <cellStyle name="Normal 56" xfId="278"/>
    <cellStyle name="Normal 57" xfId="279"/>
    <cellStyle name="Normal 58" xfId="280"/>
    <cellStyle name="Normal 59" xfId="281"/>
    <cellStyle name="Normal 6" xfId="282"/>
    <cellStyle name="Normal 6 2" xfId="283"/>
    <cellStyle name="Normal 60" xfId="284"/>
    <cellStyle name="Normal 61" xfId="285"/>
    <cellStyle name="Normal 62" xfId="286"/>
    <cellStyle name="Normal 63" xfId="287"/>
    <cellStyle name="Normal 64" xfId="288"/>
    <cellStyle name="Normal 65" xfId="289"/>
    <cellStyle name="Normal 66" xfId="290"/>
    <cellStyle name="Normal 67" xfId="291"/>
    <cellStyle name="Normal 68" xfId="292"/>
    <cellStyle name="Normal 69" xfId="293"/>
    <cellStyle name="Normal 7" xfId="294"/>
    <cellStyle name="Normal 70" xfId="295"/>
    <cellStyle name="Normal 71" xfId="296"/>
    <cellStyle name="Normal 72" xfId="297"/>
    <cellStyle name="Normal 73" xfId="298"/>
    <cellStyle name="Normal 74" xfId="299"/>
    <cellStyle name="Normal 75" xfId="300"/>
    <cellStyle name="Normal 76" xfId="301"/>
    <cellStyle name="Normal 77" xfId="302"/>
    <cellStyle name="Normal 78" xfId="303"/>
    <cellStyle name="Normal 79" xfId="304"/>
    <cellStyle name="Normal 8" xfId="305"/>
    <cellStyle name="Normal 80" xfId="306"/>
    <cellStyle name="Normal 81" xfId="307"/>
    <cellStyle name="Normal 82" xfId="308"/>
    <cellStyle name="Normal 83" xfId="309"/>
    <cellStyle name="Normal 84" xfId="310"/>
    <cellStyle name="Normal 84 2" xfId="311"/>
    <cellStyle name="Normal 84 3" xfId="312"/>
    <cellStyle name="Normal 85" xfId="313"/>
    <cellStyle name="Normal 86" xfId="314"/>
    <cellStyle name="Normal 87" xfId="315"/>
    <cellStyle name="Normal 88" xfId="316"/>
    <cellStyle name="Normal 89" xfId="317"/>
    <cellStyle name="Normal 9" xfId="318"/>
    <cellStyle name="Normal 90" xfId="319"/>
    <cellStyle name="Normal 91" xfId="320"/>
    <cellStyle name="Normal 92" xfId="321"/>
    <cellStyle name="Normal 93" xfId="322"/>
    <cellStyle name="Normal 94" xfId="323"/>
    <cellStyle name="Normal 95" xfId="324"/>
    <cellStyle name="Normal 96" xfId="325"/>
    <cellStyle name="Normal 97" xfId="326"/>
    <cellStyle name="Normal 98" xfId="327"/>
    <cellStyle name="Normal 99" xfId="328"/>
    <cellStyle name="Normal_Murrey's Jan-Dec 2012" xfId="329"/>
    <cellStyle name="Normal_Price out" xfId="330"/>
    <cellStyle name="Note 2" xfId="331"/>
    <cellStyle name="Note 2 2" xfId="332"/>
    <cellStyle name="Note 3" xfId="333"/>
    <cellStyle name="Note 3 2" xfId="334"/>
    <cellStyle name="Notes" xfId="335"/>
    <cellStyle name="Output 2" xfId="336"/>
    <cellStyle name="Output 3" xfId="337"/>
    <cellStyle name="Percent" xfId="338" builtinId="5"/>
    <cellStyle name="Percent 2" xfId="339"/>
    <cellStyle name="Percent 2 2" xfId="340"/>
    <cellStyle name="Percent 2 2 2" xfId="341"/>
    <cellStyle name="Percent 2 3" xfId="342"/>
    <cellStyle name="Percent 2 6" xfId="343"/>
    <cellStyle name="Percent 3" xfId="344"/>
    <cellStyle name="Percent 3 2" xfId="345"/>
    <cellStyle name="Percent 4" xfId="346"/>
    <cellStyle name="Percent 4 2" xfId="347"/>
    <cellStyle name="Percent 4 3" xfId="348"/>
    <cellStyle name="Percent 5" xfId="349"/>
    <cellStyle name="Percent 6" xfId="350"/>
    <cellStyle name="Percent 7" xfId="351"/>
    <cellStyle name="Percent 7 2" xfId="352"/>
    <cellStyle name="Percent 7 3" xfId="353"/>
    <cellStyle name="Percent 8" xfId="354"/>
    <cellStyle name="Percent 9" xfId="355"/>
    <cellStyle name="Percent(1)" xfId="356"/>
    <cellStyle name="Percent(2)" xfId="357"/>
    <cellStyle name="PRM" xfId="358"/>
    <cellStyle name="PRM 2" xfId="359"/>
    <cellStyle name="PRM 3" xfId="360"/>
    <cellStyle name="PRM_2011-11" xfId="361"/>
    <cellStyle name="PS_Comma" xfId="362"/>
    <cellStyle name="PSChar" xfId="363"/>
    <cellStyle name="PSDate" xfId="364"/>
    <cellStyle name="PSDec" xfId="365"/>
    <cellStyle name="PSHeading" xfId="366"/>
    <cellStyle name="PSInt" xfId="367"/>
    <cellStyle name="PSSpacer" xfId="368"/>
    <cellStyle name="STYL0 - Style1" xfId="369"/>
    <cellStyle name="STYL1 - Style2" xfId="370"/>
    <cellStyle name="STYL2 - Style3" xfId="371"/>
    <cellStyle name="STYL3 - Style4" xfId="372"/>
    <cellStyle name="STYL4 - Style5" xfId="373"/>
    <cellStyle name="STYL5 - Style6" xfId="374"/>
    <cellStyle name="STYL6 - Style7" xfId="375"/>
    <cellStyle name="STYL7 - Style8" xfId="376"/>
    <cellStyle name="Style 1" xfId="377"/>
    <cellStyle name="Style 1 2" xfId="378"/>
    <cellStyle name="STYLE1" xfId="379"/>
    <cellStyle name="sub heading" xfId="380"/>
    <cellStyle name="Title 2" xfId="381"/>
    <cellStyle name="Title 3" xfId="382"/>
    <cellStyle name="Total 2" xfId="383"/>
    <cellStyle name="Total 2 2" xfId="384"/>
    <cellStyle name="Total 3" xfId="385"/>
    <cellStyle name="Total 3 2" xfId="386"/>
    <cellStyle name="Warning Text 2" xfId="387"/>
    <cellStyle name="Warning Text 3" xfId="388"/>
    <cellStyle name="WM_STANDARD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opLeftCell="A34" workbookViewId="0">
      <selection activeCell="B49" sqref="B49"/>
    </sheetView>
  </sheetViews>
  <sheetFormatPr defaultRowHeight="15"/>
  <cols>
    <col min="1" max="1" width="36.28515625" style="3" bestFit="1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183" t="s">
        <v>18</v>
      </c>
      <c r="B1" s="183"/>
      <c r="C1" s="183"/>
      <c r="D1" s="183"/>
      <c r="E1" s="183"/>
      <c r="F1" s="183"/>
      <c r="G1" s="183"/>
      <c r="H1" s="183"/>
    </row>
    <row r="2" spans="1:8">
      <c r="A2" s="3" t="s">
        <v>54</v>
      </c>
      <c r="B2" s="16" t="s">
        <v>40</v>
      </c>
      <c r="C2" s="16" t="s">
        <v>41</v>
      </c>
      <c r="D2" s="16" t="s">
        <v>42</v>
      </c>
      <c r="E2" s="17" t="s">
        <v>45</v>
      </c>
      <c r="F2" s="17" t="s">
        <v>46</v>
      </c>
      <c r="G2" s="17" t="s">
        <v>47</v>
      </c>
      <c r="H2" s="16" t="s">
        <v>50</v>
      </c>
    </row>
    <row r="3" spans="1:8">
      <c r="A3" s="3" t="s">
        <v>51</v>
      </c>
      <c r="B3" s="1">
        <f>52*5/12</f>
        <v>21.666666666666668</v>
      </c>
      <c r="C3" s="18">
        <f>$B$3*2</f>
        <v>43.333333333333336</v>
      </c>
      <c r="D3" s="18">
        <f>$B$3*3</f>
        <v>65</v>
      </c>
      <c r="E3" s="18">
        <f>$B$3*4</f>
        <v>86.666666666666671</v>
      </c>
      <c r="F3" s="18">
        <f>$B$3*5</f>
        <v>108.33333333333334</v>
      </c>
      <c r="G3" s="18">
        <f>$B$3*6</f>
        <v>130</v>
      </c>
      <c r="H3" s="18">
        <f>$B$3*7</f>
        <v>151.66666666666669</v>
      </c>
    </row>
    <row r="4" spans="1:8">
      <c r="A4" s="3" t="s">
        <v>87</v>
      </c>
      <c r="B4" s="1">
        <f>52*4/12</f>
        <v>17.333333333333332</v>
      </c>
      <c r="C4" s="18">
        <f>$B$4*2</f>
        <v>34.666666666666664</v>
      </c>
      <c r="D4" s="18">
        <f>$B$4*3</f>
        <v>52</v>
      </c>
      <c r="E4" s="18">
        <f>$B$4*4</f>
        <v>69.333333333333329</v>
      </c>
      <c r="F4" s="18">
        <f>$B$4*5</f>
        <v>86.666666666666657</v>
      </c>
      <c r="G4" s="18">
        <f>$B$4*6</f>
        <v>104</v>
      </c>
      <c r="H4" s="18">
        <f>$B$4*7</f>
        <v>121.33333333333333</v>
      </c>
    </row>
    <row r="5" spans="1:8">
      <c r="A5" s="3" t="s">
        <v>52</v>
      </c>
      <c r="B5" s="1">
        <f>52*3/12</f>
        <v>13</v>
      </c>
      <c r="C5" s="18">
        <f>$B$5*2</f>
        <v>26</v>
      </c>
      <c r="D5" s="18">
        <f>$B$5*3</f>
        <v>39</v>
      </c>
      <c r="E5" s="18">
        <f>$B$5*4</f>
        <v>52</v>
      </c>
      <c r="F5" s="18">
        <f>$B$5*5</f>
        <v>65</v>
      </c>
      <c r="G5" s="18">
        <f>$B$5*6</f>
        <v>78</v>
      </c>
      <c r="H5" s="18">
        <f>$B$5*7</f>
        <v>91</v>
      </c>
    </row>
    <row r="6" spans="1:8">
      <c r="A6" s="3" t="s">
        <v>53</v>
      </c>
      <c r="B6" s="1">
        <f>52*2/12</f>
        <v>8.6666666666666661</v>
      </c>
      <c r="C6" s="19">
        <f>$B$6*2</f>
        <v>17.333333333333332</v>
      </c>
      <c r="D6" s="19">
        <f>$B$6*3</f>
        <v>26</v>
      </c>
      <c r="E6" s="19">
        <f>$B$6*4</f>
        <v>34.666666666666664</v>
      </c>
      <c r="F6" s="19">
        <f>$B$6*5</f>
        <v>43.333333333333329</v>
      </c>
      <c r="G6" s="19">
        <f>$B$6*6</f>
        <v>52</v>
      </c>
      <c r="H6" s="19">
        <f>$B$6*7</f>
        <v>60.666666666666664</v>
      </c>
    </row>
    <row r="7" spans="1:8">
      <c r="A7" s="3" t="s">
        <v>21</v>
      </c>
      <c r="B7" s="1">
        <f>52/12</f>
        <v>4.333333333333333</v>
      </c>
      <c r="C7" s="19">
        <f>$B$7*2</f>
        <v>8.6666666666666661</v>
      </c>
      <c r="D7" s="19">
        <f>$B$7*3</f>
        <v>13</v>
      </c>
      <c r="E7" s="19">
        <f>$B$7*4</f>
        <v>17.333333333333332</v>
      </c>
      <c r="F7" s="19">
        <f>$B$7*5</f>
        <v>21.666666666666664</v>
      </c>
      <c r="G7" s="19">
        <f>$B$7*6</f>
        <v>26</v>
      </c>
      <c r="H7" s="19">
        <f>$B$7*7</f>
        <v>30.333333333333332</v>
      </c>
    </row>
    <row r="8" spans="1:8">
      <c r="A8" s="3" t="s">
        <v>23</v>
      </c>
      <c r="B8" s="1">
        <f>26/12</f>
        <v>2.1666666666666665</v>
      </c>
      <c r="C8" s="19">
        <f>$B$8*2</f>
        <v>4.333333333333333</v>
      </c>
      <c r="D8" s="19">
        <f>$B$8*3</f>
        <v>6.5</v>
      </c>
      <c r="E8" s="19">
        <f>$B$8*4</f>
        <v>8.6666666666666661</v>
      </c>
      <c r="F8" s="19">
        <f>$B$8*5</f>
        <v>10.833333333333332</v>
      </c>
      <c r="G8" s="19">
        <f>$B$8*6</f>
        <v>13</v>
      </c>
      <c r="H8" s="19">
        <f>$B$8*7</f>
        <v>15.166666666666666</v>
      </c>
    </row>
    <row r="9" spans="1:8">
      <c r="A9" s="3" t="s">
        <v>22</v>
      </c>
      <c r="B9" s="1">
        <f>12/12</f>
        <v>1</v>
      </c>
      <c r="C9" s="19">
        <f>$B$9*2</f>
        <v>2</v>
      </c>
      <c r="D9" s="19">
        <f>$B$9*3</f>
        <v>3</v>
      </c>
      <c r="E9" s="19">
        <f>$B$9*4</f>
        <v>4</v>
      </c>
      <c r="F9" s="19">
        <f>$B$9*5</f>
        <v>5</v>
      </c>
      <c r="G9" s="19">
        <f>$B$9*6</f>
        <v>6</v>
      </c>
      <c r="H9" s="19">
        <f>$B$9*7</f>
        <v>7</v>
      </c>
    </row>
    <row r="10" spans="1:8">
      <c r="B10" s="1"/>
      <c r="C10" s="19"/>
      <c r="D10" s="19"/>
      <c r="E10" s="19"/>
      <c r="F10" s="19"/>
      <c r="G10" s="19"/>
      <c r="H10" s="19"/>
    </row>
    <row r="11" spans="1:8">
      <c r="A11" s="183" t="s">
        <v>10</v>
      </c>
      <c r="B11" s="183"/>
      <c r="C11" s="19"/>
      <c r="D11" s="19"/>
      <c r="E11" s="19"/>
      <c r="F11" s="19"/>
      <c r="G11" s="19"/>
      <c r="H11" s="19"/>
    </row>
    <row r="12" spans="1:8">
      <c r="A12" s="2" t="s">
        <v>49</v>
      </c>
      <c r="B12" s="29" t="s">
        <v>79</v>
      </c>
      <c r="C12" s="19"/>
      <c r="D12" s="19"/>
      <c r="E12" s="19"/>
      <c r="F12" s="19"/>
      <c r="G12" s="19"/>
      <c r="H12" s="19"/>
    </row>
    <row r="13" spans="1:8">
      <c r="A13" s="20" t="s">
        <v>80</v>
      </c>
      <c r="B13" s="12">
        <v>20</v>
      </c>
      <c r="C13" s="19"/>
      <c r="D13" s="19"/>
      <c r="E13" s="19"/>
      <c r="F13" s="19"/>
      <c r="G13" s="19"/>
      <c r="H13" s="19"/>
    </row>
    <row r="14" spans="1:8">
      <c r="A14" s="20" t="s">
        <v>55</v>
      </c>
      <c r="B14" s="12">
        <v>34</v>
      </c>
      <c r="C14" s="19"/>
      <c r="D14" s="19"/>
      <c r="E14" s="19"/>
      <c r="F14" s="19"/>
      <c r="G14" s="19"/>
      <c r="H14" s="19"/>
    </row>
    <row r="15" spans="1:8">
      <c r="A15" s="20" t="s">
        <v>56</v>
      </c>
      <c r="B15" s="12">
        <v>51</v>
      </c>
      <c r="C15" s="19"/>
      <c r="D15" s="19"/>
      <c r="E15" s="19"/>
      <c r="F15" s="19"/>
      <c r="G15" s="19"/>
      <c r="H15" s="19"/>
    </row>
    <row r="16" spans="1:8">
      <c r="A16" s="20" t="s">
        <v>57</v>
      </c>
      <c r="B16" s="12">
        <v>77</v>
      </c>
      <c r="C16" s="19"/>
      <c r="D16" s="19"/>
      <c r="E16" s="19"/>
      <c r="F16" s="3" t="s">
        <v>19</v>
      </c>
      <c r="G16" s="12">
        <v>2000</v>
      </c>
      <c r="H16" s="19"/>
    </row>
    <row r="17" spans="1:8">
      <c r="A17" s="20" t="s">
        <v>58</v>
      </c>
      <c r="B17" s="12">
        <v>97</v>
      </c>
      <c r="C17" s="19"/>
      <c r="D17" s="19"/>
      <c r="E17" s="19"/>
      <c r="F17" s="3" t="s">
        <v>20</v>
      </c>
      <c r="G17" s="21" t="s">
        <v>43</v>
      </c>
      <c r="H17" s="19"/>
    </row>
    <row r="18" spans="1:8">
      <c r="A18" s="20" t="s">
        <v>59</v>
      </c>
      <c r="B18" s="12">
        <v>117</v>
      </c>
      <c r="C18" s="19"/>
      <c r="D18" s="19"/>
      <c r="E18" s="19"/>
      <c r="H18" s="19"/>
    </row>
    <row r="19" spans="1:8">
      <c r="A19" s="20" t="s">
        <v>60</v>
      </c>
      <c r="B19" s="12">
        <v>157</v>
      </c>
      <c r="C19" s="19"/>
      <c r="D19" s="19"/>
      <c r="E19" s="19"/>
      <c r="F19" s="14"/>
      <c r="G19" s="15"/>
      <c r="H19" s="19"/>
    </row>
    <row r="20" spans="1:8">
      <c r="A20" s="154" t="s">
        <v>125</v>
      </c>
      <c r="B20" s="12">
        <v>40</v>
      </c>
      <c r="C20" s="19" t="s">
        <v>81</v>
      </c>
      <c r="D20" s="19"/>
      <c r="E20" s="19"/>
      <c r="F20" s="14"/>
      <c r="G20" s="15"/>
      <c r="H20" s="19"/>
    </row>
    <row r="21" spans="1:8">
      <c r="A21" s="20" t="s">
        <v>61</v>
      </c>
      <c r="B21" s="12">
        <v>47</v>
      </c>
      <c r="C21" s="19"/>
      <c r="D21" s="19"/>
      <c r="E21" s="19"/>
      <c r="F21" s="19"/>
      <c r="G21" s="19"/>
      <c r="H21" s="19"/>
    </row>
    <row r="22" spans="1:8">
      <c r="A22" s="20" t="s">
        <v>62</v>
      </c>
      <c r="B22" s="12">
        <v>68</v>
      </c>
      <c r="C22" s="19"/>
      <c r="D22" s="19"/>
      <c r="E22" s="19"/>
      <c r="F22" s="19"/>
      <c r="G22" s="19"/>
      <c r="H22" s="19"/>
    </row>
    <row r="23" spans="1:8">
      <c r="A23" s="20" t="s">
        <v>63</v>
      </c>
      <c r="B23" s="12">
        <v>34</v>
      </c>
      <c r="C23" s="19"/>
      <c r="D23" s="19"/>
      <c r="E23" s="19"/>
      <c r="F23" s="19"/>
      <c r="G23" s="19"/>
      <c r="H23" s="19"/>
    </row>
    <row r="24" spans="1:8">
      <c r="A24" s="20" t="s">
        <v>31</v>
      </c>
      <c r="B24" s="12">
        <v>34</v>
      </c>
      <c r="C24" s="19"/>
      <c r="D24" s="19"/>
      <c r="E24" s="19"/>
      <c r="F24" s="19"/>
      <c r="G24" s="19"/>
      <c r="H24" s="19"/>
    </row>
    <row r="25" spans="1:8">
      <c r="A25" s="2" t="s">
        <v>64</v>
      </c>
      <c r="B25" s="12"/>
      <c r="C25" s="19"/>
      <c r="D25" s="19"/>
      <c r="E25" s="19"/>
      <c r="F25" s="19"/>
      <c r="G25" s="19"/>
      <c r="H25" s="19"/>
    </row>
    <row r="26" spans="1:8">
      <c r="A26" s="20" t="s">
        <v>65</v>
      </c>
      <c r="B26" s="12">
        <v>29</v>
      </c>
      <c r="C26" s="19"/>
      <c r="D26" s="19"/>
      <c r="E26" s="19"/>
      <c r="F26" s="19"/>
      <c r="G26" s="19"/>
      <c r="H26" s="19"/>
    </row>
    <row r="27" spans="1:8">
      <c r="A27" s="20" t="s">
        <v>66</v>
      </c>
      <c r="B27" s="12">
        <v>175</v>
      </c>
      <c r="C27" s="19"/>
      <c r="D27" s="19"/>
      <c r="E27" s="19"/>
      <c r="F27" s="19"/>
      <c r="G27" s="19"/>
      <c r="H27" s="19"/>
    </row>
    <row r="28" spans="1:8">
      <c r="A28" s="20" t="s">
        <v>67</v>
      </c>
      <c r="B28" s="12">
        <v>250</v>
      </c>
      <c r="C28" s="19"/>
      <c r="D28" s="19"/>
      <c r="E28" s="19"/>
      <c r="F28" s="19"/>
      <c r="G28" s="19"/>
      <c r="H28" s="19"/>
    </row>
    <row r="29" spans="1:8">
      <c r="A29" s="20" t="s">
        <v>68</v>
      </c>
      <c r="B29" s="12">
        <v>324</v>
      </c>
      <c r="C29" s="19"/>
      <c r="D29" s="19"/>
      <c r="E29" s="19"/>
      <c r="F29" s="19"/>
      <c r="G29" s="19"/>
      <c r="H29" s="19"/>
    </row>
    <row r="30" spans="1:8">
      <c r="A30" s="20" t="s">
        <v>69</v>
      </c>
      <c r="B30" s="12">
        <v>473</v>
      </c>
      <c r="C30" s="19"/>
      <c r="D30" s="19"/>
      <c r="E30" s="19"/>
      <c r="F30" s="19"/>
      <c r="G30" s="19"/>
      <c r="H30" s="19"/>
    </row>
    <row r="31" spans="1:8">
      <c r="A31" s="20" t="s">
        <v>70</v>
      </c>
      <c r="B31" s="12">
        <v>613</v>
      </c>
      <c r="C31" s="19"/>
      <c r="D31" s="19"/>
      <c r="E31" s="19"/>
      <c r="F31" s="19"/>
      <c r="G31" s="19"/>
      <c r="H31" s="19"/>
    </row>
    <row r="32" spans="1:8">
      <c r="A32" s="20" t="s">
        <v>71</v>
      </c>
      <c r="B32" s="12">
        <v>840</v>
      </c>
      <c r="C32" s="19"/>
      <c r="D32" s="19"/>
      <c r="E32" s="19"/>
      <c r="F32" s="19"/>
      <c r="G32" s="19"/>
      <c r="H32" s="19"/>
    </row>
    <row r="33" spans="1:8">
      <c r="A33" s="20" t="s">
        <v>72</v>
      </c>
      <c r="B33" s="12">
        <v>980</v>
      </c>
      <c r="C33" s="19"/>
      <c r="D33" s="19"/>
      <c r="E33" s="19"/>
      <c r="F33" s="19"/>
      <c r="G33" s="19"/>
      <c r="H33" s="19"/>
    </row>
    <row r="34" spans="1:8">
      <c r="A34" s="20" t="s">
        <v>88</v>
      </c>
      <c r="B34" s="12">
        <v>482</v>
      </c>
      <c r="C34" s="19" t="s">
        <v>81</v>
      </c>
      <c r="D34" s="19"/>
      <c r="E34" s="19"/>
      <c r="F34" s="19"/>
      <c r="G34" s="19"/>
      <c r="H34" s="19"/>
    </row>
    <row r="35" spans="1:8">
      <c r="A35" s="20" t="s">
        <v>89</v>
      </c>
      <c r="B35" s="12">
        <v>689</v>
      </c>
      <c r="C35" s="19" t="s">
        <v>81</v>
      </c>
      <c r="D35" s="19"/>
      <c r="E35" s="19"/>
      <c r="F35" s="19"/>
      <c r="G35" s="19"/>
      <c r="H35" s="19"/>
    </row>
    <row r="36" spans="1:8">
      <c r="A36" s="20" t="s">
        <v>74</v>
      </c>
      <c r="B36" s="12">
        <v>892</v>
      </c>
      <c r="C36" s="19" t="s">
        <v>81</v>
      </c>
      <c r="D36" s="19"/>
      <c r="E36" s="19"/>
      <c r="F36" s="19"/>
      <c r="G36" s="19"/>
      <c r="H36" s="19"/>
    </row>
    <row r="37" spans="1:8">
      <c r="A37" s="20" t="s">
        <v>73</v>
      </c>
      <c r="B37" s="12">
        <v>1301</v>
      </c>
      <c r="C37" s="19"/>
      <c r="D37" s="19"/>
      <c r="E37" s="19"/>
      <c r="F37" s="19"/>
      <c r="G37" s="19"/>
      <c r="H37" s="19"/>
    </row>
    <row r="38" spans="1:8">
      <c r="A38" s="20" t="s">
        <v>75</v>
      </c>
      <c r="B38" s="12">
        <v>1686</v>
      </c>
      <c r="C38" s="19"/>
      <c r="D38" s="19"/>
      <c r="E38" s="19"/>
      <c r="F38" s="19"/>
      <c r="G38" s="19"/>
      <c r="H38" s="19"/>
    </row>
    <row r="39" spans="1:8">
      <c r="A39" s="20" t="s">
        <v>76</v>
      </c>
      <c r="B39" s="12">
        <v>2046</v>
      </c>
      <c r="C39" s="19"/>
      <c r="D39" s="19"/>
      <c r="E39" s="19"/>
      <c r="F39" s="19"/>
      <c r="G39" s="19"/>
      <c r="H39" s="19"/>
    </row>
    <row r="40" spans="1:8">
      <c r="A40" s="20" t="s">
        <v>77</v>
      </c>
      <c r="B40" s="12">
        <v>2310</v>
      </c>
      <c r="C40" s="19"/>
      <c r="D40" s="19"/>
      <c r="E40" s="19"/>
      <c r="F40" s="19"/>
      <c r="G40" s="19"/>
      <c r="H40" s="19"/>
    </row>
    <row r="41" spans="1:8">
      <c r="A41" s="20" t="s">
        <v>90</v>
      </c>
      <c r="B41" s="12">
        <v>2800</v>
      </c>
      <c r="C41" s="19" t="s">
        <v>81</v>
      </c>
      <c r="D41" s="19"/>
      <c r="E41" s="19"/>
      <c r="F41" s="19"/>
      <c r="G41" s="19"/>
      <c r="H41" s="19"/>
    </row>
    <row r="42" spans="1:8">
      <c r="A42" s="20" t="s">
        <v>78</v>
      </c>
      <c r="B42" s="12">
        <v>125</v>
      </c>
      <c r="C42" s="19"/>
      <c r="D42" s="19"/>
      <c r="E42" s="19"/>
      <c r="F42" s="19"/>
      <c r="G42" s="19"/>
      <c r="H42" s="19"/>
    </row>
    <row r="43" spans="1:8">
      <c r="B43" s="185" t="s">
        <v>92</v>
      </c>
      <c r="C43" s="185"/>
    </row>
    <row r="46" spans="1:8">
      <c r="A46" s="28" t="s">
        <v>126</v>
      </c>
      <c r="B46" s="26" t="s">
        <v>5</v>
      </c>
      <c r="C46" s="26" t="s">
        <v>6</v>
      </c>
      <c r="F46" s="184" t="s">
        <v>26</v>
      </c>
      <c r="G46" s="184"/>
    </row>
    <row r="47" spans="1:8">
      <c r="A47" s="22" t="s">
        <v>7</v>
      </c>
      <c r="B47" s="6">
        <v>143</v>
      </c>
      <c r="C47" s="5">
        <f>B47/2000</f>
        <v>7.1499999999999994E-2</v>
      </c>
      <c r="F47" s="3" t="s">
        <v>27</v>
      </c>
      <c r="G47" s="9">
        <f>0.015</f>
        <v>1.4999999999999999E-2</v>
      </c>
    </row>
    <row r="48" spans="1:8">
      <c r="A48" s="22" t="s">
        <v>8</v>
      </c>
      <c r="B48" s="7">
        <v>149</v>
      </c>
      <c r="C48" s="8">
        <f>B48/2000</f>
        <v>7.4499999999999997E-2</v>
      </c>
      <c r="F48" s="3" t="s">
        <v>28</v>
      </c>
      <c r="G48" s="180">
        <f>0.004275</f>
        <v>4.2750000000000002E-3</v>
      </c>
    </row>
    <row r="49" spans="1:7">
      <c r="A49" s="20" t="s">
        <v>9</v>
      </c>
      <c r="B49" s="6">
        <f>B48-B47</f>
        <v>6</v>
      </c>
      <c r="C49" s="11">
        <f>C48-C47</f>
        <v>3.0000000000000027E-3</v>
      </c>
      <c r="F49" s="3" t="s">
        <v>48</v>
      </c>
      <c r="G49" s="10"/>
    </row>
    <row r="50" spans="1:7">
      <c r="F50" s="3" t="s">
        <v>16</v>
      </c>
      <c r="G50" s="23">
        <f>SUM(G47:G49)</f>
        <v>1.9275E-2</v>
      </c>
    </row>
    <row r="51" spans="1:7">
      <c r="B51" s="27" t="s">
        <v>93</v>
      </c>
    </row>
    <row r="52" spans="1:7">
      <c r="A52" s="3" t="s">
        <v>3</v>
      </c>
      <c r="B52" s="24">
        <f>B49</f>
        <v>6</v>
      </c>
      <c r="F52" s="3" t="s">
        <v>29</v>
      </c>
      <c r="G52" s="25">
        <f>1-G50</f>
        <v>0.98072499999999996</v>
      </c>
    </row>
    <row r="53" spans="1:7">
      <c r="A53" s="3" t="s">
        <v>25</v>
      </c>
      <c r="B53" s="24">
        <f>B52/$G$52</f>
        <v>6.1179229651533307</v>
      </c>
    </row>
    <row r="54" spans="1:7">
      <c r="A54" s="3" t="s">
        <v>24</v>
      </c>
      <c r="B54" s="13">
        <f>Calculations!D118</f>
        <v>1446.45</v>
      </c>
    </row>
    <row r="55" spans="1:7">
      <c r="A55" s="2" t="s">
        <v>30</v>
      </c>
      <c r="B55" s="4">
        <f>B53*B54</f>
        <v>8849.2696729460349</v>
      </c>
    </row>
    <row r="58" spans="1:7" ht="15.75" thickBot="1"/>
    <row r="59" spans="1:7">
      <c r="A59" s="96" t="s">
        <v>84</v>
      </c>
      <c r="B59" s="97" t="s">
        <v>82</v>
      </c>
      <c r="D59" s="24"/>
    </row>
    <row r="60" spans="1:7">
      <c r="A60" s="98" t="s">
        <v>83</v>
      </c>
      <c r="B60" s="99">
        <f>Calculations!Q84</f>
        <v>7501.2570485915239</v>
      </c>
    </row>
    <row r="61" spans="1:7">
      <c r="A61" s="98" t="s">
        <v>12</v>
      </c>
      <c r="B61" s="99">
        <f>B60-B55</f>
        <v>-1348.012624354511</v>
      </c>
    </row>
    <row r="62" spans="1:7">
      <c r="A62" s="98"/>
      <c r="B62" s="100"/>
    </row>
    <row r="63" spans="1:7">
      <c r="A63" s="101" t="s">
        <v>85</v>
      </c>
      <c r="B63" s="102" t="s">
        <v>82</v>
      </c>
    </row>
    <row r="64" spans="1:7">
      <c r="A64" s="98" t="s">
        <v>44</v>
      </c>
      <c r="B64" s="103">
        <f>'Staff Calculations'!Q80</f>
        <v>8849.2696729460185</v>
      </c>
    </row>
    <row r="65" spans="1:3" ht="15.75" thickBot="1">
      <c r="A65" s="104" t="s">
        <v>12</v>
      </c>
      <c r="B65" s="105">
        <f>B64-B55</f>
        <v>-1.6370904631912708E-11</v>
      </c>
      <c r="C65" s="24">
        <f>B61-B65</f>
        <v>-1348.0126243544946</v>
      </c>
    </row>
  </sheetData>
  <mergeCells count="4">
    <mergeCell ref="A1:H1"/>
    <mergeCell ref="F46:G46"/>
    <mergeCell ref="A11:B11"/>
    <mergeCell ref="B43:C43"/>
  </mergeCells>
  <phoneticPr fontId="0" type="noConversion"/>
  <pageMargins left="0.28000000000000003" right="0.52" top="0.75" bottom="0.75" header="0.3" footer="0.3"/>
  <pageSetup scale="72" orientation="portrait" r:id="rId1"/>
  <headerFooter>
    <oddHeader>&amp;C&amp;"-,Bold"&amp;12Basin Disposal of Walla Walla 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9"/>
  <sheetViews>
    <sheetView tabSelected="1" zoomScale="90" zoomScaleNormal="90" workbookViewId="0">
      <pane xSplit="3" ySplit="1" topLeftCell="D95" activePane="bottomRight" state="frozen"/>
      <selection pane="topRight" activeCell="D1" sqref="D1"/>
      <selection pane="bottomLeft" activeCell="A2" sqref="A2"/>
      <selection pane="bottomRight" activeCell="C115" sqref="C115"/>
    </sheetView>
  </sheetViews>
  <sheetFormatPr defaultColWidth="8.85546875" defaultRowHeight="15"/>
  <cols>
    <col min="1" max="1" width="4.5703125" style="60" customWidth="1"/>
    <col min="2" max="2" width="10.85546875" style="64" bestFit="1" customWidth="1"/>
    <col min="3" max="3" width="35.5703125" style="60" bestFit="1" customWidth="1"/>
    <col min="4" max="4" width="19" style="61" bestFit="1" customWidth="1"/>
    <col min="5" max="5" width="10.5703125" style="60" bestFit="1" customWidth="1"/>
    <col min="6" max="6" width="14.140625" style="60" bestFit="1" customWidth="1"/>
    <col min="7" max="7" width="15.140625" style="60" customWidth="1"/>
    <col min="8" max="8" width="21.42578125" style="60" customWidth="1"/>
    <col min="9" max="9" width="16.28515625" style="59" customWidth="1"/>
    <col min="10" max="11" width="12.28515625" style="60" customWidth="1"/>
    <col min="12" max="12" width="10.7109375" style="60" customWidth="1"/>
    <col min="13" max="14" width="16.5703125" style="60" customWidth="1"/>
    <col min="15" max="15" width="18.28515625" style="60" bestFit="1" customWidth="1"/>
    <col min="16" max="16" width="17.85546875" style="60" bestFit="1" customWidth="1"/>
    <col min="17" max="17" width="16" style="60" customWidth="1"/>
    <col min="18" max="16384" width="8.85546875" style="60"/>
  </cols>
  <sheetData>
    <row r="1" spans="1:17" ht="45">
      <c r="A1" s="190"/>
      <c r="B1" s="191" t="s">
        <v>15</v>
      </c>
      <c r="C1" s="192" t="s">
        <v>17</v>
      </c>
      <c r="D1" s="191" t="s">
        <v>37</v>
      </c>
      <c r="E1" s="191" t="s">
        <v>0</v>
      </c>
      <c r="F1" s="190" t="s">
        <v>1</v>
      </c>
      <c r="G1" s="191" t="s">
        <v>10</v>
      </c>
      <c r="H1" s="191" t="s">
        <v>34</v>
      </c>
      <c r="I1" s="193" t="s">
        <v>35</v>
      </c>
      <c r="J1" s="194" t="s">
        <v>9</v>
      </c>
      <c r="K1" s="191" t="s">
        <v>2</v>
      </c>
      <c r="L1" s="191" t="s">
        <v>38</v>
      </c>
      <c r="M1" s="191" t="s">
        <v>123</v>
      </c>
      <c r="N1" s="191" t="s">
        <v>172</v>
      </c>
      <c r="O1" s="191" t="s">
        <v>167</v>
      </c>
      <c r="P1" s="191" t="s">
        <v>166</v>
      </c>
      <c r="Q1" s="191" t="s">
        <v>39</v>
      </c>
    </row>
    <row r="2" spans="1:17" s="62" customFormat="1" ht="15" customHeight="1">
      <c r="A2" s="186" t="s">
        <v>13</v>
      </c>
      <c r="B2" s="48">
        <v>20</v>
      </c>
      <c r="C2" s="45" t="str">
        <f>+References!A14</f>
        <v>1 can</v>
      </c>
      <c r="D2" s="122">
        <v>352</v>
      </c>
      <c r="E2" s="72">
        <f>References!$B$7</f>
        <v>4.333333333333333</v>
      </c>
      <c r="F2" s="159">
        <f t="shared" ref="F2:F16" si="0">D2*E2*12</f>
        <v>18304</v>
      </c>
      <c r="G2" s="143">
        <f>+References!B14</f>
        <v>34</v>
      </c>
      <c r="H2" s="73">
        <f t="shared" ref="H2:H16" si="1">F2*G2</f>
        <v>622336</v>
      </c>
      <c r="I2" s="115">
        <f>$D$121*H2</f>
        <v>423265.95512480824</v>
      </c>
      <c r="J2" s="75">
        <f>(References!$C$49*I2)</f>
        <v>1269.7978653744258</v>
      </c>
      <c r="K2" s="75">
        <f>J2/References!$G$52</f>
        <v>1294.7542536128128</v>
      </c>
      <c r="L2" s="161">
        <f t="shared" ref="L2:L16" si="2">K2/F2*E2</f>
        <v>0.30652326079848785</v>
      </c>
      <c r="M2" s="182">
        <v>22.78</v>
      </c>
      <c r="N2" s="182">
        <f>+L2+M2</f>
        <v>23.08652326079849</v>
      </c>
      <c r="O2" s="161">
        <f>+D2*M2*12</f>
        <v>96222.720000000001</v>
      </c>
      <c r="P2" s="161">
        <f>+D2*N2*12</f>
        <v>97517.474253612818</v>
      </c>
      <c r="Q2" s="161">
        <f t="shared" ref="Q2:Q16" si="3">+P2-O2</f>
        <v>1294.7542536128167</v>
      </c>
    </row>
    <row r="3" spans="1:17" s="62" customFormat="1">
      <c r="A3" s="187"/>
      <c r="B3" s="48">
        <v>20</v>
      </c>
      <c r="C3" s="45" t="str">
        <f>+References!A15</f>
        <v>2 cans</v>
      </c>
      <c r="D3" s="122">
        <v>159</v>
      </c>
      <c r="E3" s="72">
        <f>References!$B$7</f>
        <v>4.333333333333333</v>
      </c>
      <c r="F3" s="159">
        <f t="shared" si="0"/>
        <v>8268</v>
      </c>
      <c r="G3" s="143">
        <f>+References!B15</f>
        <v>51</v>
      </c>
      <c r="H3" s="159">
        <f t="shared" si="1"/>
        <v>421668</v>
      </c>
      <c r="I3" s="160">
        <f>$D$121*H3</f>
        <v>286786.7337990533</v>
      </c>
      <c r="J3" s="161">
        <f>(References!$C$49*I3)</f>
        <v>860.36020139716061</v>
      </c>
      <c r="K3" s="161">
        <f>J3/References!$G$52</f>
        <v>877.26957240527224</v>
      </c>
      <c r="L3" s="161">
        <f t="shared" si="2"/>
        <v>0.45978489119773175</v>
      </c>
      <c r="M3" s="182">
        <v>37.67</v>
      </c>
      <c r="N3" s="182">
        <f t="shared" ref="N3:N16" si="4">+L3+M3</f>
        <v>38.129784891197737</v>
      </c>
      <c r="O3" s="161">
        <f>D3*M3*12</f>
        <v>71874.360000000015</v>
      </c>
      <c r="P3" s="161">
        <f t="shared" ref="P3:P16" si="5">+D3*N3*12</f>
        <v>72751.629572405276</v>
      </c>
      <c r="Q3" s="161">
        <f t="shared" si="3"/>
        <v>877.26957240526099</v>
      </c>
    </row>
    <row r="4" spans="1:17" s="62" customFormat="1">
      <c r="A4" s="187"/>
      <c r="B4" s="48">
        <v>20</v>
      </c>
      <c r="C4" s="45" t="str">
        <f>+References!A16</f>
        <v>3 cans</v>
      </c>
      <c r="D4" s="122">
        <v>14</v>
      </c>
      <c r="E4" s="72">
        <f>References!$B$7</f>
        <v>4.333333333333333</v>
      </c>
      <c r="F4" s="159">
        <f t="shared" si="0"/>
        <v>728</v>
      </c>
      <c r="G4" s="143">
        <f>+References!B16</f>
        <v>77</v>
      </c>
      <c r="H4" s="159">
        <f t="shared" si="1"/>
        <v>56056</v>
      </c>
      <c r="I4" s="160">
        <f>$D$121*H4</f>
        <v>38125.05845793309</v>
      </c>
      <c r="J4" s="161">
        <f>(References!$C$49*I4)</f>
        <v>114.37517537379937</v>
      </c>
      <c r="K4" s="161">
        <f>J4/References!$G$52</f>
        <v>116.62308534380114</v>
      </c>
      <c r="L4" s="161">
        <f t="shared" si="2"/>
        <v>0.69418503180834001</v>
      </c>
      <c r="M4" s="182">
        <v>44.02</v>
      </c>
      <c r="N4" s="182">
        <f t="shared" si="4"/>
        <v>44.714185031808341</v>
      </c>
      <c r="O4" s="161">
        <f>D4*M4*12</f>
        <v>7395.3600000000006</v>
      </c>
      <c r="P4" s="161">
        <f t="shared" si="5"/>
        <v>7511.9830853438007</v>
      </c>
      <c r="Q4" s="161">
        <f t="shared" si="3"/>
        <v>116.62308534380008</v>
      </c>
    </row>
    <row r="5" spans="1:17" s="62" customFormat="1">
      <c r="A5" s="187"/>
      <c r="B5" s="48">
        <v>20</v>
      </c>
      <c r="C5" s="45" t="str">
        <f>+References!A18</f>
        <v>5 cans</v>
      </c>
      <c r="D5" s="122">
        <v>1</v>
      </c>
      <c r="E5" s="72">
        <f>References!$B$7</f>
        <v>4.333333333333333</v>
      </c>
      <c r="F5" s="159">
        <f t="shared" si="0"/>
        <v>52</v>
      </c>
      <c r="G5" s="143">
        <f>+References!B18</f>
        <v>117</v>
      </c>
      <c r="H5" s="159">
        <f t="shared" si="1"/>
        <v>6084</v>
      </c>
      <c r="I5" s="160">
        <f>$D$121*H5</f>
        <v>4137.8774022060961</v>
      </c>
      <c r="J5" s="161">
        <f>(References!$C$49*I5)</f>
        <v>12.413632206618299</v>
      </c>
      <c r="K5" s="161">
        <f>J5/References!$G$52</f>
        <v>12.657607592972852</v>
      </c>
      <c r="L5" s="161">
        <f t="shared" si="2"/>
        <v>1.0548006327477375</v>
      </c>
      <c r="M5" s="182">
        <v>61.12</v>
      </c>
      <c r="N5" s="182">
        <f t="shared" si="4"/>
        <v>62.174800632747733</v>
      </c>
      <c r="O5" s="161">
        <f>D5*M5*12</f>
        <v>733.43999999999994</v>
      </c>
      <c r="P5" s="161">
        <f t="shared" si="5"/>
        <v>746.09760759297274</v>
      </c>
      <c r="Q5" s="161">
        <f t="shared" si="3"/>
        <v>12.657607592972795</v>
      </c>
    </row>
    <row r="6" spans="1:17" s="62" customFormat="1">
      <c r="A6" s="187"/>
      <c r="B6" s="48">
        <v>20</v>
      </c>
      <c r="C6" s="45" t="s">
        <v>127</v>
      </c>
      <c r="D6" s="122">
        <v>13</v>
      </c>
      <c r="E6" s="72">
        <f>References!$B$7</f>
        <v>4.333333333333333</v>
      </c>
      <c r="F6" s="159">
        <f t="shared" si="0"/>
        <v>676</v>
      </c>
      <c r="G6" s="145">
        <f>+References!B20</f>
        <v>40</v>
      </c>
      <c r="H6" s="159">
        <f t="shared" si="1"/>
        <v>27040</v>
      </c>
      <c r="I6" s="160">
        <f>$D$121*H6</f>
        <v>18390.566232027097</v>
      </c>
      <c r="J6" s="161">
        <f>(References!$C$49*I6)</f>
        <v>55.171698696081336</v>
      </c>
      <c r="K6" s="161">
        <f>J6/References!$G$52</f>
        <v>56.256033746546009</v>
      </c>
      <c r="L6" s="161">
        <f t="shared" si="2"/>
        <v>0.36061560093939743</v>
      </c>
      <c r="M6" s="182">
        <v>34.090000000000003</v>
      </c>
      <c r="N6" s="182">
        <f t="shared" si="4"/>
        <v>34.4506156009394</v>
      </c>
      <c r="O6" s="161">
        <f>D6*M6*12</f>
        <v>5318.0400000000009</v>
      </c>
      <c r="P6" s="161">
        <f t="shared" si="5"/>
        <v>5374.2960337465465</v>
      </c>
      <c r="Q6" s="161">
        <f t="shared" si="3"/>
        <v>56.256033746545654</v>
      </c>
    </row>
    <row r="7" spans="1:17" s="62" customFormat="1">
      <c r="A7" s="187"/>
      <c r="B7" s="48">
        <v>20</v>
      </c>
      <c r="C7" s="45" t="s">
        <v>128</v>
      </c>
      <c r="D7" s="122">
        <v>2</v>
      </c>
      <c r="E7" s="72">
        <f>References!C7</f>
        <v>8.6666666666666661</v>
      </c>
      <c r="F7" s="159">
        <f t="shared" si="0"/>
        <v>208</v>
      </c>
      <c r="G7" s="145">
        <f>40</f>
        <v>40</v>
      </c>
      <c r="H7" s="159">
        <f t="shared" si="1"/>
        <v>8320</v>
      </c>
      <c r="I7" s="160">
        <f>$D$121*H7</f>
        <v>5658.6357637006449</v>
      </c>
      <c r="J7" s="161">
        <f>(References!$C$49*I7)</f>
        <v>16.975907291101951</v>
      </c>
      <c r="K7" s="161">
        <f>J7/References!$G$52</f>
        <v>17.309548845091083</v>
      </c>
      <c r="L7" s="161">
        <f t="shared" si="2"/>
        <v>0.72123120187879508</v>
      </c>
      <c r="M7" s="182">
        <v>54.18</v>
      </c>
      <c r="N7" s="182">
        <f t="shared" si="4"/>
        <v>54.901231201878794</v>
      </c>
      <c r="O7" s="161">
        <f>D7*M7*12</f>
        <v>1300.32</v>
      </c>
      <c r="P7" s="161">
        <f t="shared" si="5"/>
        <v>1317.629548845091</v>
      </c>
      <c r="Q7" s="161">
        <f t="shared" si="3"/>
        <v>17.309548845091058</v>
      </c>
    </row>
    <row r="8" spans="1:17" s="62" customFormat="1">
      <c r="A8" s="187"/>
      <c r="B8" s="48">
        <v>20</v>
      </c>
      <c r="C8" s="45" t="s">
        <v>129</v>
      </c>
      <c r="D8" s="122">
        <v>5</v>
      </c>
      <c r="E8" s="72">
        <f>+References!B9</f>
        <v>1</v>
      </c>
      <c r="F8" s="159">
        <f t="shared" si="0"/>
        <v>60</v>
      </c>
      <c r="G8" s="143">
        <f>+References!B23</f>
        <v>34</v>
      </c>
      <c r="H8" s="159">
        <f t="shared" si="1"/>
        <v>2040</v>
      </c>
      <c r="I8" s="160">
        <f>$D$121*H8</f>
        <v>1387.453961291985</v>
      </c>
      <c r="J8" s="161">
        <f>(References!$C$49*I8)</f>
        <v>4.1623618838759588</v>
      </c>
      <c r="K8" s="161">
        <f>J8/References!$G$52</f>
        <v>4.2441682264406015</v>
      </c>
      <c r="L8" s="161">
        <f t="shared" si="2"/>
        <v>7.0736137107343361E-2</v>
      </c>
      <c r="M8" s="182">
        <v>8.58</v>
      </c>
      <c r="N8" s="182">
        <f t="shared" si="4"/>
        <v>8.6507361371073426</v>
      </c>
      <c r="O8" s="161">
        <f>D8*M8*12</f>
        <v>514.79999999999995</v>
      </c>
      <c r="P8" s="161">
        <f t="shared" si="5"/>
        <v>519.04416822644055</v>
      </c>
      <c r="Q8" s="161">
        <f t="shared" si="3"/>
        <v>4.2441682264405927</v>
      </c>
    </row>
    <row r="9" spans="1:17" s="62" customFormat="1">
      <c r="A9" s="187"/>
      <c r="B9" s="48">
        <v>20</v>
      </c>
      <c r="C9" s="45" t="s">
        <v>130</v>
      </c>
      <c r="D9" s="122">
        <v>1</v>
      </c>
      <c r="E9" s="72">
        <f>+References!B9</f>
        <v>1</v>
      </c>
      <c r="F9" s="159">
        <f t="shared" si="0"/>
        <v>12</v>
      </c>
      <c r="G9" s="143">
        <f>+References!B20</f>
        <v>40</v>
      </c>
      <c r="H9" s="159">
        <f t="shared" si="1"/>
        <v>480</v>
      </c>
      <c r="I9" s="160">
        <f>$D$121*H9</f>
        <v>326.4597555981141</v>
      </c>
      <c r="J9" s="161">
        <f>(References!$C$49*I9)</f>
        <v>0.97937926679434317</v>
      </c>
      <c r="K9" s="161">
        <f>J9/References!$G$52</f>
        <v>0.99862781798602385</v>
      </c>
      <c r="L9" s="161">
        <f t="shared" si="2"/>
        <v>8.3218984832168649E-2</v>
      </c>
      <c r="M9" s="182">
        <v>17.420000000000002</v>
      </c>
      <c r="N9" s="182">
        <f t="shared" si="4"/>
        <v>17.50321898483217</v>
      </c>
      <c r="O9" s="161">
        <f>D9*M9*12</f>
        <v>209.04000000000002</v>
      </c>
      <c r="P9" s="161">
        <f t="shared" si="5"/>
        <v>210.03862781798603</v>
      </c>
      <c r="Q9" s="161">
        <f t="shared" si="3"/>
        <v>0.99862781798600508</v>
      </c>
    </row>
    <row r="10" spans="1:17" s="62" customFormat="1">
      <c r="A10" s="187"/>
      <c r="B10" s="48" t="s">
        <v>168</v>
      </c>
      <c r="C10" s="45" t="s">
        <v>131</v>
      </c>
      <c r="D10" s="122">
        <v>13</v>
      </c>
      <c r="E10" s="72">
        <f>+References!$B$8</f>
        <v>2.1666666666666665</v>
      </c>
      <c r="F10" s="159">
        <f t="shared" si="0"/>
        <v>338</v>
      </c>
      <c r="G10" s="143">
        <f>+References!B24</f>
        <v>34</v>
      </c>
      <c r="H10" s="159">
        <f t="shared" si="1"/>
        <v>11492</v>
      </c>
      <c r="I10" s="160">
        <f>$D$121*H10</f>
        <v>7815.9906486115151</v>
      </c>
      <c r="J10" s="161">
        <f>(References!$C$49*I10)</f>
        <v>23.447971945834567</v>
      </c>
      <c r="K10" s="161">
        <f>J10/References!$G$52</f>
        <v>23.908814342282053</v>
      </c>
      <c r="L10" s="161">
        <f t="shared" si="2"/>
        <v>0.1532616303992439</v>
      </c>
      <c r="M10" s="182">
        <v>17.89</v>
      </c>
      <c r="N10" s="182">
        <f t="shared" si="4"/>
        <v>18.043261630399243</v>
      </c>
      <c r="O10" s="161">
        <f>D10*M10*12</f>
        <v>2790.84</v>
      </c>
      <c r="P10" s="161">
        <f t="shared" si="5"/>
        <v>2814.7488143422815</v>
      </c>
      <c r="Q10" s="161">
        <f t="shared" si="3"/>
        <v>23.908814342281403</v>
      </c>
    </row>
    <row r="11" spans="1:17" s="62" customFormat="1">
      <c r="A11" s="187"/>
      <c r="B11" s="48" t="s">
        <v>168</v>
      </c>
      <c r="C11" s="45" t="s">
        <v>132</v>
      </c>
      <c r="D11" s="122">
        <v>42</v>
      </c>
      <c r="E11" s="72">
        <f>+References!$B$8</f>
        <v>2.1666666666666665</v>
      </c>
      <c r="F11" s="159">
        <f t="shared" si="0"/>
        <v>1092</v>
      </c>
      <c r="G11" s="143">
        <f>+References!B15</f>
        <v>51</v>
      </c>
      <c r="H11" s="159">
        <f t="shared" si="1"/>
        <v>55692</v>
      </c>
      <c r="I11" s="160">
        <f>$D$121*H11</f>
        <v>37877.493143271189</v>
      </c>
      <c r="J11" s="161">
        <f>(References!$C$49*I11)</f>
        <v>113.63247942981367</v>
      </c>
      <c r="K11" s="161">
        <f>J11/References!$G$52</f>
        <v>115.86579258182842</v>
      </c>
      <c r="L11" s="161">
        <f t="shared" si="2"/>
        <v>0.22989244559886587</v>
      </c>
      <c r="M11" s="182">
        <v>22.33</v>
      </c>
      <c r="N11" s="182">
        <f t="shared" si="4"/>
        <v>22.559892445598866</v>
      </c>
      <c r="O11" s="161">
        <f>D11*M11*12</f>
        <v>11254.32</v>
      </c>
      <c r="P11" s="161">
        <f t="shared" si="5"/>
        <v>11370.185792581829</v>
      </c>
      <c r="Q11" s="161">
        <f t="shared" si="3"/>
        <v>115.86579258182974</v>
      </c>
    </row>
    <row r="12" spans="1:17" s="62" customFormat="1">
      <c r="A12" s="187"/>
      <c r="B12" s="48" t="s">
        <v>168</v>
      </c>
      <c r="C12" s="45" t="s">
        <v>133</v>
      </c>
      <c r="D12" s="122">
        <v>6</v>
      </c>
      <c r="E12" s="72">
        <f>+References!$B$8</f>
        <v>2.1666666666666665</v>
      </c>
      <c r="F12" s="159">
        <f t="shared" si="0"/>
        <v>156</v>
      </c>
      <c r="G12" s="143">
        <f>+References!B16</f>
        <v>77</v>
      </c>
      <c r="H12" s="159">
        <f t="shared" si="1"/>
        <v>12012</v>
      </c>
      <c r="I12" s="160">
        <f>$D$121*H12</f>
        <v>8169.6553838428053</v>
      </c>
      <c r="J12" s="161">
        <f>(References!$C$49*I12)</f>
        <v>24.508966151528437</v>
      </c>
      <c r="K12" s="161">
        <f>J12/References!$G$52</f>
        <v>24.990661145100244</v>
      </c>
      <c r="L12" s="161">
        <f t="shared" si="2"/>
        <v>0.34709251590417001</v>
      </c>
      <c r="M12" s="182">
        <v>37.002000000000002</v>
      </c>
      <c r="N12" s="182">
        <f t="shared" si="4"/>
        <v>37.349092515904175</v>
      </c>
      <c r="O12" s="161">
        <f>D12*M12*12</f>
        <v>2664.1440000000002</v>
      </c>
      <c r="P12" s="161">
        <f t="shared" si="5"/>
        <v>2689.1346611451008</v>
      </c>
      <c r="Q12" s="161">
        <f t="shared" si="3"/>
        <v>24.990661145100603</v>
      </c>
    </row>
    <row r="13" spans="1:17" s="62" customFormat="1">
      <c r="A13" s="187"/>
      <c r="B13" s="48" t="s">
        <v>168</v>
      </c>
      <c r="C13" s="45" t="s">
        <v>134</v>
      </c>
      <c r="D13" s="122">
        <v>2</v>
      </c>
      <c r="E13" s="72">
        <f>+References!$B$8</f>
        <v>2.1666666666666665</v>
      </c>
      <c r="F13" s="159">
        <f t="shared" si="0"/>
        <v>52</v>
      </c>
      <c r="G13" s="143">
        <f>+References!B17</f>
        <v>97</v>
      </c>
      <c r="H13" s="159">
        <f t="shared" si="1"/>
        <v>5044</v>
      </c>
      <c r="I13" s="160">
        <f>$D$121*H13</f>
        <v>3430.5479317435156</v>
      </c>
      <c r="J13" s="161">
        <f>(References!$C$49*I13)</f>
        <v>10.291643795230556</v>
      </c>
      <c r="K13" s="161">
        <f>J13/References!$G$52</f>
        <v>10.493913987336466</v>
      </c>
      <c r="L13" s="161">
        <f t="shared" si="2"/>
        <v>0.43724641613901938</v>
      </c>
      <c r="M13" s="182">
        <v>42.54</v>
      </c>
      <c r="N13" s="182">
        <f t="shared" si="4"/>
        <v>42.977246416139018</v>
      </c>
      <c r="O13" s="161">
        <f>D13*M13*12</f>
        <v>1020.96</v>
      </c>
      <c r="P13" s="161">
        <f t="shared" si="5"/>
        <v>1031.4539139873364</v>
      </c>
      <c r="Q13" s="161">
        <f t="shared" si="3"/>
        <v>10.493913987336327</v>
      </c>
    </row>
    <row r="14" spans="1:17" s="62" customFormat="1">
      <c r="A14" s="187"/>
      <c r="B14" s="48" t="s">
        <v>168</v>
      </c>
      <c r="C14" s="45" t="s">
        <v>135</v>
      </c>
      <c r="D14" s="122">
        <v>2</v>
      </c>
      <c r="E14" s="72">
        <f>+References!$B$8</f>
        <v>2.1666666666666665</v>
      </c>
      <c r="F14" s="159">
        <f t="shared" si="0"/>
        <v>52</v>
      </c>
      <c r="G14" s="145">
        <f>+References!B20</f>
        <v>40</v>
      </c>
      <c r="H14" s="159">
        <f t="shared" si="1"/>
        <v>2080</v>
      </c>
      <c r="I14" s="160">
        <f>$D$121*H14</f>
        <v>1414.6589409251612</v>
      </c>
      <c r="J14" s="161">
        <f>(References!$C$49*I14)</f>
        <v>4.2439768227754877</v>
      </c>
      <c r="K14" s="161">
        <f>J14/References!$G$52</f>
        <v>4.3273872112727707</v>
      </c>
      <c r="L14" s="161">
        <f t="shared" si="2"/>
        <v>0.18030780046969877</v>
      </c>
      <c r="M14" s="182">
        <v>22.05</v>
      </c>
      <c r="N14" s="182">
        <f t="shared" si="4"/>
        <v>22.230307800469699</v>
      </c>
      <c r="O14" s="161">
        <f>D14*M14*12</f>
        <v>529.20000000000005</v>
      </c>
      <c r="P14" s="161">
        <f t="shared" si="5"/>
        <v>533.52738721127275</v>
      </c>
      <c r="Q14" s="161">
        <f t="shared" si="3"/>
        <v>4.3273872112727076</v>
      </c>
    </row>
    <row r="15" spans="1:17" s="62" customFormat="1">
      <c r="A15" s="187"/>
      <c r="B15" s="48" t="s">
        <v>168</v>
      </c>
      <c r="C15" s="45" t="s">
        <v>136</v>
      </c>
      <c r="D15" s="122">
        <v>1</v>
      </c>
      <c r="E15" s="72">
        <f>References!C8</f>
        <v>4.333333333333333</v>
      </c>
      <c r="F15" s="159">
        <f t="shared" si="0"/>
        <v>52</v>
      </c>
      <c r="G15" s="145">
        <f>40</f>
        <v>40</v>
      </c>
      <c r="H15" s="159">
        <f t="shared" si="1"/>
        <v>2080</v>
      </c>
      <c r="I15" s="160">
        <f>$D$121*H15</f>
        <v>1414.6589409251612</v>
      </c>
      <c r="J15" s="161">
        <f>(References!$C$49*I15)</f>
        <v>4.2439768227754877</v>
      </c>
      <c r="K15" s="161">
        <f>J15/References!$G$52</f>
        <v>4.3273872112727707</v>
      </c>
      <c r="L15" s="161">
        <f t="shared" si="2"/>
        <v>0.36061560093939754</v>
      </c>
      <c r="M15" s="182">
        <v>34.090000000000003</v>
      </c>
      <c r="N15" s="182">
        <f t="shared" si="4"/>
        <v>34.4506156009394</v>
      </c>
      <c r="O15" s="161">
        <f>D15*M15*12</f>
        <v>409.08000000000004</v>
      </c>
      <c r="P15" s="161">
        <f t="shared" si="5"/>
        <v>413.40738721127281</v>
      </c>
      <c r="Q15" s="161">
        <f t="shared" si="3"/>
        <v>4.3273872112727645</v>
      </c>
    </row>
    <row r="16" spans="1:17" s="62" customFormat="1">
      <c r="A16" s="187"/>
      <c r="B16" s="179">
        <v>21</v>
      </c>
      <c r="C16" s="45" t="s">
        <v>137</v>
      </c>
      <c r="D16" s="122">
        <v>94</v>
      </c>
      <c r="E16" s="72">
        <f>References!$B$9</f>
        <v>1</v>
      </c>
      <c r="F16" s="159">
        <f t="shared" si="0"/>
        <v>1128</v>
      </c>
      <c r="G16" s="143">
        <f>References!B14</f>
        <v>34</v>
      </c>
      <c r="H16" s="159">
        <f t="shared" si="1"/>
        <v>38352</v>
      </c>
      <c r="I16" s="160">
        <f>$D$121*H16</f>
        <v>26084.134472289319</v>
      </c>
      <c r="J16" s="161">
        <f>(References!$C$49*I16)</f>
        <v>78.25240341686802</v>
      </c>
      <c r="K16" s="161">
        <f>J16/References!$G$52</f>
        <v>79.790362657083307</v>
      </c>
      <c r="L16" s="161">
        <f t="shared" si="2"/>
        <v>7.0736137107343361E-2</v>
      </c>
      <c r="M16" s="182">
        <v>5.41</v>
      </c>
      <c r="N16" s="182">
        <f t="shared" si="4"/>
        <v>5.4807361371073435</v>
      </c>
      <c r="O16" s="161">
        <f>D16*M16*12</f>
        <v>6102.4800000000005</v>
      </c>
      <c r="P16" s="161">
        <f t="shared" si="5"/>
        <v>6182.2703626570828</v>
      </c>
      <c r="Q16" s="161">
        <f t="shared" si="3"/>
        <v>79.790362657082369</v>
      </c>
    </row>
    <row r="17" spans="1:17" s="62" customFormat="1">
      <c r="A17" s="187"/>
      <c r="B17" s="48"/>
      <c r="C17" s="126"/>
      <c r="D17" s="204"/>
      <c r="E17" s="205"/>
      <c r="F17" s="84"/>
      <c r="G17" s="206"/>
      <c r="H17" s="84"/>
      <c r="I17" s="109"/>
      <c r="J17" s="94"/>
      <c r="K17" s="94"/>
      <c r="L17" s="94"/>
      <c r="M17" s="207"/>
      <c r="N17" s="207"/>
      <c r="O17" s="94"/>
      <c r="P17" s="94"/>
      <c r="Q17" s="94"/>
    </row>
    <row r="18" spans="1:17" s="62" customFormat="1">
      <c r="A18" s="119"/>
      <c r="B18" s="111"/>
      <c r="C18" s="196" t="s">
        <v>16</v>
      </c>
      <c r="D18" s="197">
        <f>SUM(D2:D17)</f>
        <v>707</v>
      </c>
      <c r="E18" s="198"/>
      <c r="F18" s="199">
        <f>SUM(F2:F17)</f>
        <v>31178</v>
      </c>
      <c r="G18" s="200"/>
      <c r="H18" s="201">
        <f>SUM(H2:H17)</f>
        <v>1270776</v>
      </c>
      <c r="I18" s="202">
        <f>SUM(I2:I17)</f>
        <v>864285.87995822739</v>
      </c>
      <c r="J18" s="94"/>
      <c r="K18" s="94"/>
      <c r="L18" s="94"/>
      <c r="M18" s="94"/>
      <c r="N18" s="94"/>
      <c r="O18" s="203">
        <f>SUM(O2:O16)</f>
        <v>208339.10400000002</v>
      </c>
      <c r="P18" s="203">
        <f>SUM(P2:P17)</f>
        <v>210982.92121672709</v>
      </c>
      <c r="Q18" s="203">
        <f>SUM(Q2:Q17)</f>
        <v>2643.81721672709</v>
      </c>
    </row>
    <row r="19" spans="1:17" s="62" customFormat="1" ht="15" customHeight="1">
      <c r="A19" s="186" t="s">
        <v>14</v>
      </c>
      <c r="B19" s="48"/>
      <c r="C19" s="128" t="s">
        <v>98</v>
      </c>
      <c r="D19" s="59">
        <v>13</v>
      </c>
      <c r="E19" s="72">
        <f>+References!$B$7</f>
        <v>4.333333333333333</v>
      </c>
      <c r="F19" s="159">
        <f t="shared" ref="F19:F26" si="6">D19*E19*12</f>
        <v>676</v>
      </c>
      <c r="G19" s="143">
        <f>References!$B$26</f>
        <v>29</v>
      </c>
      <c r="H19" s="159">
        <f t="shared" ref="H19:H26" si="7">F19*G19</f>
        <v>19604</v>
      </c>
      <c r="I19" s="160">
        <f>$D$121*H19</f>
        <v>13333.160518219644</v>
      </c>
      <c r="J19" s="161">
        <f>(References!$C$49*I19)</f>
        <v>39.999481554658963</v>
      </c>
      <c r="K19" s="161">
        <f>J19/References!$G$52</f>
        <v>40.785624466245856</v>
      </c>
      <c r="L19" s="161">
        <f t="shared" ref="L19:L25" si="8">K19/F19</f>
        <v>6.0333764003322271E-2</v>
      </c>
      <c r="M19" s="161">
        <v>3.85</v>
      </c>
      <c r="N19" s="182">
        <f t="shared" ref="N19:N26" si="9">+L19+M19</f>
        <v>3.9103337640033224</v>
      </c>
      <c r="O19" s="161">
        <f>F19*M19</f>
        <v>2602.6</v>
      </c>
      <c r="P19" s="161">
        <f>+F19*N19</f>
        <v>2643.3856244662461</v>
      </c>
      <c r="Q19" s="161">
        <f t="shared" ref="Q19:Q77" si="10">+P19-O19</f>
        <v>40.78562446624619</v>
      </c>
    </row>
    <row r="20" spans="1:17" s="62" customFormat="1" ht="15" customHeight="1">
      <c r="A20" s="188"/>
      <c r="B20" s="48"/>
      <c r="C20" s="128" t="s">
        <v>138</v>
      </c>
      <c r="D20" s="59">
        <v>7</v>
      </c>
      <c r="E20" s="72">
        <f>References!C7</f>
        <v>8.6666666666666661</v>
      </c>
      <c r="F20" s="159">
        <f t="shared" si="6"/>
        <v>728</v>
      </c>
      <c r="G20" s="143">
        <f>References!$B$26</f>
        <v>29</v>
      </c>
      <c r="H20" s="159">
        <f t="shared" si="7"/>
        <v>21112</v>
      </c>
      <c r="I20" s="160">
        <f>$D$121*H20</f>
        <v>14358.788250390386</v>
      </c>
      <c r="J20" s="161">
        <f>(References!$C$49*I20)</f>
        <v>43.076364751171198</v>
      </c>
      <c r="K20" s="161">
        <f>J20/References!$G$52</f>
        <v>43.922980194418621</v>
      </c>
      <c r="L20" s="161">
        <f t="shared" si="8"/>
        <v>6.0333764003322278E-2</v>
      </c>
      <c r="M20" s="161">
        <f>M19</f>
        <v>3.85</v>
      </c>
      <c r="N20" s="182">
        <f t="shared" si="9"/>
        <v>3.9103337640033224</v>
      </c>
      <c r="O20" s="161">
        <f>F20*M20</f>
        <v>2802.8</v>
      </c>
      <c r="P20" s="161">
        <f t="shared" ref="P20:P26" si="11">+F20*N20</f>
        <v>2846.7229801944186</v>
      </c>
      <c r="Q20" s="161">
        <f t="shared" si="10"/>
        <v>43.922980194418415</v>
      </c>
    </row>
    <row r="21" spans="1:17" s="62" customFormat="1" ht="15" customHeight="1">
      <c r="A21" s="188"/>
      <c r="B21" s="48"/>
      <c r="C21" s="128" t="s">
        <v>139</v>
      </c>
      <c r="D21" s="59">
        <v>6</v>
      </c>
      <c r="E21" s="72">
        <f>References!D7</f>
        <v>13</v>
      </c>
      <c r="F21" s="159">
        <f t="shared" si="6"/>
        <v>936</v>
      </c>
      <c r="G21" s="143">
        <f>References!$B$26</f>
        <v>29</v>
      </c>
      <c r="H21" s="159">
        <f t="shared" si="7"/>
        <v>27144</v>
      </c>
      <c r="I21" s="160">
        <f>$D$121*H21</f>
        <v>18461.299179073354</v>
      </c>
      <c r="J21" s="161">
        <f>(References!$C$49*I21)</f>
        <v>55.383897537220115</v>
      </c>
      <c r="K21" s="161">
        <f>J21/References!$G$52</f>
        <v>56.472403107109656</v>
      </c>
      <c r="L21" s="161">
        <f t="shared" si="8"/>
        <v>6.0333764003322285E-2</v>
      </c>
      <c r="M21" s="161">
        <f>M19</f>
        <v>3.85</v>
      </c>
      <c r="N21" s="182">
        <f t="shared" si="9"/>
        <v>3.9103337640033224</v>
      </c>
      <c r="O21" s="161">
        <f>F21*M21</f>
        <v>3603.6</v>
      </c>
      <c r="P21" s="161">
        <f t="shared" si="11"/>
        <v>3660.0724031071099</v>
      </c>
      <c r="Q21" s="161">
        <f t="shared" si="10"/>
        <v>56.47240310711004</v>
      </c>
    </row>
    <row r="22" spans="1:17" s="62" customFormat="1" ht="15" customHeight="1">
      <c r="A22" s="188"/>
      <c r="B22" s="48"/>
      <c r="C22" s="128" t="s">
        <v>140</v>
      </c>
      <c r="D22" s="59">
        <v>6</v>
      </c>
      <c r="E22" s="72">
        <f>References!E7</f>
        <v>17.333333333333332</v>
      </c>
      <c r="F22" s="159">
        <f t="shared" si="6"/>
        <v>1248</v>
      </c>
      <c r="G22" s="143">
        <f>References!$B$26</f>
        <v>29</v>
      </c>
      <c r="H22" s="159">
        <f t="shared" si="7"/>
        <v>36192</v>
      </c>
      <c r="I22" s="160">
        <f>$D$121*H22</f>
        <v>24615.065572097803</v>
      </c>
      <c r="J22" s="161">
        <f>(References!$C$49*I22)</f>
        <v>73.845196716293472</v>
      </c>
      <c r="K22" s="161">
        <f>J22/References!$G$52</f>
        <v>75.296537476146199</v>
      </c>
      <c r="L22" s="161">
        <f t="shared" si="8"/>
        <v>6.0333764003322278E-2</v>
      </c>
      <c r="M22" s="161">
        <f>M19</f>
        <v>3.85</v>
      </c>
      <c r="N22" s="182">
        <f t="shared" si="9"/>
        <v>3.9103337640033224</v>
      </c>
      <c r="O22" s="161">
        <f>F22*M22</f>
        <v>4804.8</v>
      </c>
      <c r="P22" s="161">
        <f t="shared" si="11"/>
        <v>4880.0965374761463</v>
      </c>
      <c r="Q22" s="161">
        <f t="shared" si="10"/>
        <v>75.296537476146113</v>
      </c>
    </row>
    <row r="23" spans="1:17" s="62" customFormat="1" ht="15" customHeight="1">
      <c r="A23" s="188"/>
      <c r="B23" s="48"/>
      <c r="C23" s="128" t="s">
        <v>141</v>
      </c>
      <c r="D23" s="59">
        <v>2</v>
      </c>
      <c r="E23" s="72">
        <f>References!F7</f>
        <v>21.666666666666664</v>
      </c>
      <c r="F23" s="159">
        <f t="shared" si="6"/>
        <v>520</v>
      </c>
      <c r="G23" s="143">
        <f>References!$B$26</f>
        <v>29</v>
      </c>
      <c r="H23" s="159">
        <f t="shared" si="7"/>
        <v>15080</v>
      </c>
      <c r="I23" s="160">
        <f>$D$121*H23</f>
        <v>10256.277321707419</v>
      </c>
      <c r="J23" s="161">
        <f>(References!$C$49*I23)</f>
        <v>30.768831965122285</v>
      </c>
      <c r="K23" s="161">
        <f>J23/References!$G$52</f>
        <v>31.373557281727585</v>
      </c>
      <c r="L23" s="161">
        <f t="shared" si="8"/>
        <v>6.0333764003322278E-2</v>
      </c>
      <c r="M23" s="161">
        <f>M19</f>
        <v>3.85</v>
      </c>
      <c r="N23" s="182">
        <f t="shared" si="9"/>
        <v>3.9103337640033224</v>
      </c>
      <c r="O23" s="161">
        <f>F23*M23</f>
        <v>2002</v>
      </c>
      <c r="P23" s="161">
        <f t="shared" si="11"/>
        <v>2033.3735572817277</v>
      </c>
      <c r="Q23" s="161">
        <f t="shared" si="10"/>
        <v>31.373557281727699</v>
      </c>
    </row>
    <row r="24" spans="1:17" s="62" customFormat="1" ht="15" customHeight="1">
      <c r="A24" s="188"/>
      <c r="B24" s="48"/>
      <c r="C24" s="128" t="s">
        <v>142</v>
      </c>
      <c r="D24" s="59">
        <v>4</v>
      </c>
      <c r="E24" s="72">
        <f>References!G7</f>
        <v>26</v>
      </c>
      <c r="F24" s="159">
        <f t="shared" si="6"/>
        <v>1248</v>
      </c>
      <c r="G24" s="143">
        <f>References!$B$26</f>
        <v>29</v>
      </c>
      <c r="H24" s="159">
        <f t="shared" si="7"/>
        <v>36192</v>
      </c>
      <c r="I24" s="160">
        <f>$D$121*H24</f>
        <v>24615.065572097803</v>
      </c>
      <c r="J24" s="161">
        <f>(References!$C$49*I24)</f>
        <v>73.845196716293472</v>
      </c>
      <c r="K24" s="161">
        <f>J24/References!$G$52</f>
        <v>75.296537476146199</v>
      </c>
      <c r="L24" s="161">
        <f t="shared" si="8"/>
        <v>6.0333764003322278E-2</v>
      </c>
      <c r="M24" s="161">
        <f>M19</f>
        <v>3.85</v>
      </c>
      <c r="N24" s="182">
        <f t="shared" si="9"/>
        <v>3.9103337640033224</v>
      </c>
      <c r="O24" s="161">
        <f>F24*M24</f>
        <v>4804.8</v>
      </c>
      <c r="P24" s="161">
        <f t="shared" si="11"/>
        <v>4880.0965374761463</v>
      </c>
      <c r="Q24" s="161">
        <f t="shared" si="10"/>
        <v>75.296537476146113</v>
      </c>
    </row>
    <row r="25" spans="1:17" s="62" customFormat="1" ht="15" customHeight="1">
      <c r="A25" s="188"/>
      <c r="B25" s="48"/>
      <c r="C25" s="128" t="s">
        <v>143</v>
      </c>
      <c r="D25" s="59">
        <v>1</v>
      </c>
      <c r="E25" s="72">
        <f>References!H7</f>
        <v>30.333333333333332</v>
      </c>
      <c r="F25" s="159">
        <f t="shared" si="6"/>
        <v>364</v>
      </c>
      <c r="G25" s="143">
        <f>References!$B$26</f>
        <v>29</v>
      </c>
      <c r="H25" s="159">
        <f t="shared" si="7"/>
        <v>10556</v>
      </c>
      <c r="I25" s="160">
        <f>$D$121*H25</f>
        <v>7179.3941251951928</v>
      </c>
      <c r="J25" s="161">
        <f>(References!$C$49*I25)</f>
        <v>21.538182375585599</v>
      </c>
      <c r="K25" s="161">
        <f>J25/References!$G$52</f>
        <v>21.96149009720931</v>
      </c>
      <c r="L25" s="161">
        <f t="shared" si="8"/>
        <v>6.0333764003322278E-2</v>
      </c>
      <c r="M25" s="161">
        <f>M19</f>
        <v>3.85</v>
      </c>
      <c r="N25" s="182">
        <f t="shared" si="9"/>
        <v>3.9103337640033224</v>
      </c>
      <c r="O25" s="161">
        <f>F25*M25</f>
        <v>1401.4</v>
      </c>
      <c r="P25" s="161">
        <f t="shared" si="11"/>
        <v>1423.3614900972093</v>
      </c>
      <c r="Q25" s="161">
        <f t="shared" si="10"/>
        <v>21.961490097209207</v>
      </c>
    </row>
    <row r="26" spans="1:17" s="62" customFormat="1" ht="15" customHeight="1">
      <c r="A26" s="188"/>
      <c r="B26" s="48"/>
      <c r="C26" s="45" t="s">
        <v>128</v>
      </c>
      <c r="D26" s="122">
        <v>2</v>
      </c>
      <c r="E26" s="72">
        <f>References!C7</f>
        <v>8.6666666666666661</v>
      </c>
      <c r="F26" s="159">
        <f t="shared" si="6"/>
        <v>208</v>
      </c>
      <c r="G26" s="143">
        <f>+References!B20</f>
        <v>40</v>
      </c>
      <c r="H26" s="159">
        <f t="shared" si="7"/>
        <v>8320</v>
      </c>
      <c r="I26" s="160">
        <f>$D$121*H26</f>
        <v>5658.6357637006449</v>
      </c>
      <c r="J26" s="161">
        <f>(References!$C$49*I26)</f>
        <v>16.975907291101951</v>
      </c>
      <c r="K26" s="161">
        <f>J26/References!$G$52</f>
        <v>17.309548845091083</v>
      </c>
      <c r="L26" s="161">
        <f>K26/F26</f>
        <v>8.3218984832168663E-2</v>
      </c>
      <c r="M26" s="182">
        <v>8.56</v>
      </c>
      <c r="N26" s="182">
        <f t="shared" si="9"/>
        <v>8.6432189848321688</v>
      </c>
      <c r="O26" s="161">
        <f>F26*M26</f>
        <v>1780.48</v>
      </c>
      <c r="P26" s="161">
        <f t="shared" si="11"/>
        <v>1797.7895488450911</v>
      </c>
      <c r="Q26" s="161">
        <f t="shared" si="10"/>
        <v>17.309548845091058</v>
      </c>
    </row>
    <row r="27" spans="1:17" s="62" customFormat="1">
      <c r="A27" s="188"/>
      <c r="B27" s="48"/>
      <c r="C27" s="149"/>
      <c r="D27" s="164"/>
      <c r="E27" s="72"/>
      <c r="F27" s="130"/>
      <c r="G27" s="145"/>
      <c r="H27" s="159"/>
      <c r="I27" s="160"/>
      <c r="J27" s="161"/>
      <c r="K27" s="161"/>
      <c r="L27" s="161"/>
      <c r="M27" s="140"/>
      <c r="N27" s="140"/>
      <c r="O27" s="161">
        <f>F27*M27</f>
        <v>0</v>
      </c>
      <c r="P27" s="161">
        <f t="shared" ref="P27:P32" si="12">+D27*N27*12</f>
        <v>0</v>
      </c>
      <c r="Q27" s="161">
        <f t="shared" si="10"/>
        <v>0</v>
      </c>
    </row>
    <row r="28" spans="1:17" s="62" customFormat="1">
      <c r="A28" s="188"/>
      <c r="B28" s="48"/>
      <c r="C28" s="149" t="s">
        <v>105</v>
      </c>
      <c r="D28" s="122">
        <v>36</v>
      </c>
      <c r="E28" s="72">
        <v>1</v>
      </c>
      <c r="F28" s="159">
        <f>D28*E28*12</f>
        <v>432</v>
      </c>
      <c r="G28" s="145">
        <f>References!B27</f>
        <v>175</v>
      </c>
      <c r="H28" s="159">
        <f>F28*G28</f>
        <v>75600</v>
      </c>
      <c r="I28" s="160">
        <f>$D$121*H28</f>
        <v>51417.411506702971</v>
      </c>
      <c r="J28" s="161">
        <f>(References!$C$49*I28)</f>
        <v>154.25223452010906</v>
      </c>
      <c r="K28" s="161">
        <f>J28/References!$G$52</f>
        <v>157.28388133279876</v>
      </c>
      <c r="L28" s="161">
        <f>K28/F28</f>
        <v>0.36408305864073787</v>
      </c>
      <c r="M28" s="140">
        <v>21.01</v>
      </c>
      <c r="N28" s="182">
        <f t="shared" ref="N28:N30" si="13">+L28+M28</f>
        <v>21.374083058640739</v>
      </c>
      <c r="O28" s="161">
        <f>F28*M28</f>
        <v>9076.3200000000015</v>
      </c>
      <c r="P28" s="161">
        <f t="shared" ref="P28:P30" si="14">+F28*N28</f>
        <v>9233.6038813327996</v>
      </c>
      <c r="Q28" s="161">
        <f t="shared" si="10"/>
        <v>157.28388133279805</v>
      </c>
    </row>
    <row r="29" spans="1:17" s="62" customFormat="1">
      <c r="A29" s="188"/>
      <c r="B29" s="48"/>
      <c r="C29" s="149" t="s">
        <v>154</v>
      </c>
      <c r="D29" s="122"/>
      <c r="E29" s="72"/>
      <c r="F29" s="159"/>
      <c r="G29" s="145"/>
      <c r="H29" s="159"/>
      <c r="I29" s="160"/>
      <c r="J29" s="161"/>
      <c r="K29" s="161"/>
      <c r="L29" s="161"/>
      <c r="M29" s="140">
        <v>11.1</v>
      </c>
      <c r="N29" s="182">
        <f t="shared" si="13"/>
        <v>11.1</v>
      </c>
      <c r="O29" s="161">
        <f>F29*M29</f>
        <v>0</v>
      </c>
      <c r="P29" s="161">
        <f t="shared" si="14"/>
        <v>0</v>
      </c>
      <c r="Q29" s="161">
        <f t="shared" si="10"/>
        <v>0</v>
      </c>
    </row>
    <row r="30" spans="1:17" s="62" customFormat="1">
      <c r="A30" s="188"/>
      <c r="B30" s="48"/>
      <c r="C30" s="128" t="s">
        <v>106</v>
      </c>
      <c r="D30" s="165">
        <v>36</v>
      </c>
      <c r="E30" s="72">
        <f>References!B7-1</f>
        <v>3.333333333333333</v>
      </c>
      <c r="F30" s="159">
        <f>D30*E30*12</f>
        <v>1439.9999999999998</v>
      </c>
      <c r="G30" s="145">
        <f>References!B27</f>
        <v>175</v>
      </c>
      <c r="H30" s="159">
        <f>F30*G30</f>
        <v>251999.99999999997</v>
      </c>
      <c r="I30" s="160">
        <f>$D$121*H30</f>
        <v>171391.37168900989</v>
      </c>
      <c r="J30" s="161">
        <f>(References!$C$49*I30)</f>
        <v>514.17411506703013</v>
      </c>
      <c r="K30" s="161">
        <f>J30/References!$G$52</f>
        <v>524.2796044426625</v>
      </c>
      <c r="L30" s="161">
        <f>K30/F30</f>
        <v>0.36408305864073792</v>
      </c>
      <c r="M30" s="153">
        <v>21.01</v>
      </c>
      <c r="N30" s="182">
        <f t="shared" si="13"/>
        <v>21.374083058640739</v>
      </c>
      <c r="O30" s="161">
        <f>F30*M30</f>
        <v>30254.399999999998</v>
      </c>
      <c r="P30" s="161">
        <f t="shared" si="14"/>
        <v>30778.679604442659</v>
      </c>
      <c r="Q30" s="161">
        <f t="shared" si="10"/>
        <v>524.27960444266137</v>
      </c>
    </row>
    <row r="31" spans="1:17" s="62" customFormat="1">
      <c r="A31" s="188"/>
      <c r="B31" s="48"/>
      <c r="C31" s="128" t="s">
        <v>107</v>
      </c>
      <c r="D31" s="166"/>
      <c r="E31" s="72"/>
      <c r="F31" s="130"/>
      <c r="G31" s="145"/>
      <c r="H31" s="159"/>
      <c r="I31" s="160"/>
      <c r="J31" s="161"/>
      <c r="K31" s="161"/>
      <c r="L31" s="161"/>
      <c r="M31" s="140"/>
      <c r="N31" s="140">
        <f>+N30</f>
        <v>21.374083058640739</v>
      </c>
      <c r="O31" s="161">
        <f>F31*M31</f>
        <v>0</v>
      </c>
      <c r="P31" s="161">
        <f t="shared" si="12"/>
        <v>0</v>
      </c>
      <c r="Q31" s="161">
        <f t="shared" si="10"/>
        <v>0</v>
      </c>
    </row>
    <row r="32" spans="1:17" s="62" customFormat="1">
      <c r="A32" s="188"/>
      <c r="B32" s="48"/>
      <c r="C32" s="149"/>
      <c r="D32" s="170"/>
      <c r="E32" s="72"/>
      <c r="F32" s="130"/>
      <c r="G32" s="145"/>
      <c r="H32" s="159"/>
      <c r="I32" s="160"/>
      <c r="J32" s="161"/>
      <c r="K32" s="161"/>
      <c r="L32" s="161"/>
      <c r="M32" s="140"/>
      <c r="N32" s="140"/>
      <c r="O32" s="161">
        <f>F32*M32</f>
        <v>0</v>
      </c>
      <c r="P32" s="161">
        <f t="shared" si="12"/>
        <v>0</v>
      </c>
      <c r="Q32" s="161">
        <f t="shared" si="10"/>
        <v>0</v>
      </c>
    </row>
    <row r="33" spans="1:17" s="62" customFormat="1">
      <c r="A33" s="188"/>
      <c r="B33" s="48"/>
      <c r="C33" s="149" t="s">
        <v>108</v>
      </c>
      <c r="D33" s="170">
        <v>3</v>
      </c>
      <c r="E33" s="72">
        <v>1</v>
      </c>
      <c r="F33" s="159">
        <f t="shared" ref="F33:F45" si="15">D33*E33*12</f>
        <v>36</v>
      </c>
      <c r="G33" s="145">
        <f>References!$B$28</f>
        <v>250</v>
      </c>
      <c r="H33" s="159">
        <f>F33*G33</f>
        <v>9000</v>
      </c>
      <c r="I33" s="160">
        <f>$D$121*H33</f>
        <v>6121.12041746464</v>
      </c>
      <c r="J33" s="161">
        <f>(References!$C$49*I33)</f>
        <v>18.363361252393936</v>
      </c>
      <c r="K33" s="161">
        <f>J33/References!$G$52</f>
        <v>18.724271587237947</v>
      </c>
      <c r="L33" s="161">
        <f t="shared" ref="L33:L45" si="16">K33/F33</f>
        <v>0.52011865520105405</v>
      </c>
      <c r="M33" s="140">
        <v>29.27</v>
      </c>
      <c r="N33" s="182">
        <f t="shared" ref="N33:N35" si="17">+L33+M33</f>
        <v>29.790118655201052</v>
      </c>
      <c r="O33" s="161">
        <f>F33*M33</f>
        <v>1053.72</v>
      </c>
      <c r="P33" s="161">
        <f t="shared" ref="P33:P77" si="18">+F33*N33</f>
        <v>1072.4442715872378</v>
      </c>
      <c r="Q33" s="161">
        <f t="shared" si="10"/>
        <v>18.724271587237808</v>
      </c>
    </row>
    <row r="34" spans="1:17" s="62" customFormat="1">
      <c r="A34" s="188"/>
      <c r="B34" s="48"/>
      <c r="C34" s="149" t="s">
        <v>155</v>
      </c>
      <c r="D34" s="170"/>
      <c r="E34" s="72"/>
      <c r="F34" s="159"/>
      <c r="G34" s="145"/>
      <c r="H34" s="159"/>
      <c r="I34" s="160"/>
      <c r="J34" s="161"/>
      <c r="K34" s="161"/>
      <c r="L34" s="161"/>
      <c r="M34" s="140">
        <v>11.25</v>
      </c>
      <c r="N34" s="182">
        <f t="shared" si="17"/>
        <v>11.25</v>
      </c>
      <c r="O34" s="161">
        <f>F34*M34</f>
        <v>0</v>
      </c>
      <c r="P34" s="161">
        <f t="shared" si="18"/>
        <v>0</v>
      </c>
      <c r="Q34" s="161">
        <f t="shared" si="10"/>
        <v>0</v>
      </c>
    </row>
    <row r="35" spans="1:17" s="62" customFormat="1">
      <c r="A35" s="188"/>
      <c r="B35" s="48"/>
      <c r="C35" s="128" t="s">
        <v>109</v>
      </c>
      <c r="D35" s="166">
        <v>3</v>
      </c>
      <c r="E35" s="72">
        <f>References!B7-1</f>
        <v>3.333333333333333</v>
      </c>
      <c r="F35" s="159">
        <f t="shared" si="15"/>
        <v>120</v>
      </c>
      <c r="G35" s="143">
        <f>References!$B$28</f>
        <v>250</v>
      </c>
      <c r="H35" s="159">
        <f>F35*G35</f>
        <v>30000</v>
      </c>
      <c r="I35" s="160">
        <f>$D$121*H35</f>
        <v>20403.734724882132</v>
      </c>
      <c r="J35" s="161">
        <f>(References!$C$49*I35)</f>
        <v>61.211204174646447</v>
      </c>
      <c r="K35" s="161">
        <f>J35/References!$G$52</f>
        <v>62.41423862412649</v>
      </c>
      <c r="L35" s="161">
        <f t="shared" si="16"/>
        <v>0.52011865520105405</v>
      </c>
      <c r="M35" s="140">
        <v>29.27</v>
      </c>
      <c r="N35" s="182">
        <f t="shared" si="17"/>
        <v>29.790118655201052</v>
      </c>
      <c r="O35" s="161">
        <f>F35*M35</f>
        <v>3512.4</v>
      </c>
      <c r="P35" s="161">
        <f t="shared" si="18"/>
        <v>3574.8142386241261</v>
      </c>
      <c r="Q35" s="161">
        <f t="shared" si="10"/>
        <v>62.414238624126028</v>
      </c>
    </row>
    <row r="36" spans="1:17" s="62" customFormat="1">
      <c r="A36" s="188"/>
      <c r="B36" s="48"/>
      <c r="C36" s="128" t="s">
        <v>144</v>
      </c>
      <c r="D36" s="166"/>
      <c r="E36" s="72"/>
      <c r="F36" s="130"/>
      <c r="G36" s="143"/>
      <c r="H36" s="159"/>
      <c r="I36" s="160"/>
      <c r="J36" s="161"/>
      <c r="K36" s="161"/>
      <c r="L36" s="161"/>
      <c r="M36" s="140">
        <v>29.27</v>
      </c>
      <c r="N36" s="140">
        <f>+N33</f>
        <v>29.790118655201052</v>
      </c>
      <c r="O36" s="161">
        <f>F36*M36</f>
        <v>0</v>
      </c>
      <c r="P36" s="161">
        <f t="shared" si="18"/>
        <v>0</v>
      </c>
      <c r="Q36" s="161">
        <f t="shared" si="10"/>
        <v>0</v>
      </c>
    </row>
    <row r="37" spans="1:17" s="62" customFormat="1">
      <c r="A37" s="188"/>
      <c r="B37" s="48"/>
      <c r="C37" s="149"/>
      <c r="D37" s="170"/>
      <c r="E37" s="72"/>
      <c r="F37" s="130"/>
      <c r="G37" s="145"/>
      <c r="H37" s="159"/>
      <c r="I37" s="160"/>
      <c r="J37" s="161"/>
      <c r="K37" s="161"/>
      <c r="L37" s="161"/>
      <c r="M37" s="140"/>
      <c r="N37" s="140"/>
      <c r="O37" s="161">
        <f>F37*M37</f>
        <v>0</v>
      </c>
      <c r="P37" s="161">
        <f t="shared" si="18"/>
        <v>0</v>
      </c>
      <c r="Q37" s="161">
        <f t="shared" si="10"/>
        <v>0</v>
      </c>
    </row>
    <row r="38" spans="1:17" s="62" customFormat="1">
      <c r="A38" s="188"/>
      <c r="B38" s="48"/>
      <c r="C38" s="149" t="s">
        <v>112</v>
      </c>
      <c r="D38" s="170">
        <v>25</v>
      </c>
      <c r="E38" s="72">
        <v>1</v>
      </c>
      <c r="F38" s="159">
        <f t="shared" si="15"/>
        <v>300</v>
      </c>
      <c r="G38" s="145">
        <f>References!$B$29</f>
        <v>324</v>
      </c>
      <c r="H38" s="159">
        <f>F38*G38</f>
        <v>97200</v>
      </c>
      <c r="I38" s="160">
        <f>$D$121*H38</f>
        <v>66108.10050861811</v>
      </c>
      <c r="J38" s="161">
        <f>(References!$C$49*I38)</f>
        <v>198.32430152585451</v>
      </c>
      <c r="K38" s="161">
        <f>J38/References!$G$52</f>
        <v>202.22213314216984</v>
      </c>
      <c r="L38" s="161">
        <f t="shared" si="16"/>
        <v>0.67407377714056615</v>
      </c>
      <c r="M38" s="140">
        <v>35.409999999999997</v>
      </c>
      <c r="N38" s="182">
        <f t="shared" ref="N38:N40" si="19">+L38+M38</f>
        <v>36.08407377714056</v>
      </c>
      <c r="O38" s="161">
        <f>F38*M38</f>
        <v>10622.999999999998</v>
      </c>
      <c r="P38" s="161">
        <f t="shared" si="18"/>
        <v>10825.222133142168</v>
      </c>
      <c r="Q38" s="161">
        <f t="shared" si="10"/>
        <v>202.2221331421697</v>
      </c>
    </row>
    <row r="39" spans="1:17" s="62" customFormat="1">
      <c r="A39" s="188"/>
      <c r="B39" s="48"/>
      <c r="C39" s="149" t="s">
        <v>156</v>
      </c>
      <c r="D39" s="170"/>
      <c r="E39" s="72"/>
      <c r="F39" s="159"/>
      <c r="G39" s="145"/>
      <c r="H39" s="159"/>
      <c r="I39" s="160"/>
      <c r="J39" s="161"/>
      <c r="K39" s="161"/>
      <c r="L39" s="161"/>
      <c r="M39" s="140">
        <v>13.5</v>
      </c>
      <c r="N39" s="182">
        <f t="shared" si="19"/>
        <v>13.5</v>
      </c>
      <c r="O39" s="161">
        <f>F39*M39</f>
        <v>0</v>
      </c>
      <c r="P39" s="161">
        <f t="shared" si="18"/>
        <v>0</v>
      </c>
      <c r="Q39" s="161">
        <f t="shared" si="10"/>
        <v>0</v>
      </c>
    </row>
    <row r="40" spans="1:17" s="62" customFormat="1">
      <c r="A40" s="188"/>
      <c r="B40" s="48"/>
      <c r="C40" s="149" t="s">
        <v>113</v>
      </c>
      <c r="D40" s="170">
        <v>25</v>
      </c>
      <c r="E40" s="72">
        <f>References!B7-1</f>
        <v>3.333333333333333</v>
      </c>
      <c r="F40" s="159">
        <f t="shared" si="15"/>
        <v>1000</v>
      </c>
      <c r="G40" s="145">
        <f>References!$B$29</f>
        <v>324</v>
      </c>
      <c r="H40" s="159">
        <f>F40*G40</f>
        <v>324000</v>
      </c>
      <c r="I40" s="160">
        <f>$D$121*H40</f>
        <v>220360.33502872702</v>
      </c>
      <c r="J40" s="161">
        <f>(References!$C$49*I40)</f>
        <v>661.08100508618168</v>
      </c>
      <c r="K40" s="161">
        <f>J40/References!$G$52</f>
        <v>674.07377714056611</v>
      </c>
      <c r="L40" s="161">
        <f t="shared" si="16"/>
        <v>0.67407377714056615</v>
      </c>
      <c r="M40" s="140">
        <v>35.409999999999997</v>
      </c>
      <c r="N40" s="182">
        <f t="shared" si="19"/>
        <v>36.08407377714056</v>
      </c>
      <c r="O40" s="161">
        <f>F40*M40</f>
        <v>35410</v>
      </c>
      <c r="P40" s="161">
        <f t="shared" si="18"/>
        <v>36084.073777140562</v>
      </c>
      <c r="Q40" s="161">
        <f t="shared" si="10"/>
        <v>674.07377714056202</v>
      </c>
    </row>
    <row r="41" spans="1:17" s="62" customFormat="1">
      <c r="A41" s="188"/>
      <c r="B41" s="48"/>
      <c r="C41" s="149" t="s">
        <v>114</v>
      </c>
      <c r="D41" s="170"/>
      <c r="E41" s="72"/>
      <c r="F41" s="159"/>
      <c r="G41" s="145"/>
      <c r="H41" s="159"/>
      <c r="I41" s="160"/>
      <c r="J41" s="161"/>
      <c r="K41" s="161"/>
      <c r="L41" s="161"/>
      <c r="M41" s="140">
        <v>35.409999999999997</v>
      </c>
      <c r="N41" s="140">
        <f>+N38</f>
        <v>36.08407377714056</v>
      </c>
      <c r="O41" s="161">
        <f>F41*M41</f>
        <v>0</v>
      </c>
      <c r="P41" s="161">
        <f t="shared" si="18"/>
        <v>0</v>
      </c>
      <c r="Q41" s="161">
        <f t="shared" si="10"/>
        <v>0</v>
      </c>
    </row>
    <row r="42" spans="1:17" s="62" customFormat="1">
      <c r="A42" s="188"/>
      <c r="B42" s="48"/>
      <c r="C42" s="149"/>
      <c r="D42" s="170"/>
      <c r="E42" s="72"/>
      <c r="F42" s="130"/>
      <c r="G42" s="145"/>
      <c r="H42" s="159"/>
      <c r="I42" s="160"/>
      <c r="J42" s="161"/>
      <c r="K42" s="161"/>
      <c r="L42" s="161"/>
      <c r="M42" s="140"/>
      <c r="N42" s="140">
        <v>0</v>
      </c>
      <c r="O42" s="161">
        <f>F42*M42</f>
        <v>0</v>
      </c>
      <c r="P42" s="161">
        <f t="shared" si="18"/>
        <v>0</v>
      </c>
      <c r="Q42" s="161">
        <f t="shared" si="10"/>
        <v>0</v>
      </c>
    </row>
    <row r="43" spans="1:17" s="62" customFormat="1">
      <c r="A43" s="175"/>
      <c r="B43" s="48"/>
      <c r="C43" s="149" t="s">
        <v>116</v>
      </c>
      <c r="D43" s="170">
        <v>19</v>
      </c>
      <c r="E43" s="72">
        <v>1</v>
      </c>
      <c r="F43" s="159">
        <f>D43*E43*12</f>
        <v>228</v>
      </c>
      <c r="G43" s="145">
        <f>References!$B$31</f>
        <v>613</v>
      </c>
      <c r="H43" s="159">
        <f>F43*G43</f>
        <v>139764</v>
      </c>
      <c r="I43" s="160">
        <f>$D$121*H43</f>
        <v>95056.919336280873</v>
      </c>
      <c r="J43" s="161">
        <f>(References!$C$49*I43)</f>
        <v>285.17075800884288</v>
      </c>
      <c r="K43" s="161">
        <f>J43/References!$G$52</f>
        <v>290.77545490208047</v>
      </c>
      <c r="L43" s="161">
        <f>K43/F43</f>
        <v>1.2753309425529844</v>
      </c>
      <c r="M43" s="140">
        <v>65.16</v>
      </c>
      <c r="N43" s="182">
        <f t="shared" ref="N43:N45" si="20">+L43+M43</f>
        <v>66.43533094255298</v>
      </c>
      <c r="O43" s="161">
        <f>F43*M43</f>
        <v>14856.48</v>
      </c>
      <c r="P43" s="161">
        <f t="shared" si="18"/>
        <v>15147.255454902079</v>
      </c>
      <c r="Q43" s="161">
        <f t="shared" si="10"/>
        <v>290.77545490207922</v>
      </c>
    </row>
    <row r="44" spans="1:17" s="62" customFormat="1">
      <c r="A44" s="175"/>
      <c r="B44" s="48"/>
      <c r="C44" s="149" t="s">
        <v>157</v>
      </c>
      <c r="D44" s="170"/>
      <c r="E44" s="72"/>
      <c r="F44" s="159"/>
      <c r="G44" s="145"/>
      <c r="H44" s="159"/>
      <c r="I44" s="160"/>
      <c r="J44" s="161"/>
      <c r="K44" s="161"/>
      <c r="L44" s="161"/>
      <c r="M44" s="140">
        <v>24.75</v>
      </c>
      <c r="N44" s="182">
        <f t="shared" si="20"/>
        <v>24.75</v>
      </c>
      <c r="O44" s="161">
        <f>F44*M44</f>
        <v>0</v>
      </c>
      <c r="P44" s="161">
        <f t="shared" si="18"/>
        <v>0</v>
      </c>
      <c r="Q44" s="161">
        <f t="shared" si="10"/>
        <v>0</v>
      </c>
    </row>
    <row r="45" spans="1:17" s="62" customFormat="1">
      <c r="A45" s="175"/>
      <c r="B45" s="48"/>
      <c r="C45" s="128" t="s">
        <v>117</v>
      </c>
      <c r="D45" s="166">
        <v>19</v>
      </c>
      <c r="E45" s="72">
        <f>References!B7-1</f>
        <v>3.333333333333333</v>
      </c>
      <c r="F45" s="159">
        <f t="shared" si="15"/>
        <v>760</v>
      </c>
      <c r="G45" s="145">
        <f>References!$B$31</f>
        <v>613</v>
      </c>
      <c r="H45" s="159">
        <f>F45*G45</f>
        <v>465880</v>
      </c>
      <c r="I45" s="160">
        <f>$D$121*H45</f>
        <v>316856.39778760291</v>
      </c>
      <c r="J45" s="161">
        <f>(References!$C$49*I45)</f>
        <v>950.56919336280953</v>
      </c>
      <c r="K45" s="161">
        <f>J45/References!$G$52</f>
        <v>969.25151634026827</v>
      </c>
      <c r="L45" s="161">
        <f t="shared" si="16"/>
        <v>1.2753309425529846</v>
      </c>
      <c r="M45" s="140">
        <f>+M43</f>
        <v>65.16</v>
      </c>
      <c r="N45" s="182">
        <f t="shared" si="20"/>
        <v>66.43533094255298</v>
      </c>
      <c r="O45" s="161">
        <f>F45*M45</f>
        <v>49521.599999999999</v>
      </c>
      <c r="P45" s="161">
        <f t="shared" si="18"/>
        <v>50490.851516340263</v>
      </c>
      <c r="Q45" s="161">
        <f t="shared" si="10"/>
        <v>969.25151634026406</v>
      </c>
    </row>
    <row r="46" spans="1:17" s="62" customFormat="1">
      <c r="A46" s="175"/>
      <c r="B46" s="48"/>
      <c r="C46" s="128" t="s">
        <v>118</v>
      </c>
      <c r="D46" s="166"/>
      <c r="E46" s="72"/>
      <c r="F46" s="159"/>
      <c r="G46" s="145"/>
      <c r="H46" s="159"/>
      <c r="I46" s="160"/>
      <c r="J46" s="161"/>
      <c r="K46" s="161"/>
      <c r="L46" s="161"/>
      <c r="M46" s="140"/>
      <c r="N46" s="140">
        <f>+N43</f>
        <v>66.43533094255298</v>
      </c>
      <c r="O46" s="161">
        <f>F46*M46</f>
        <v>0</v>
      </c>
      <c r="P46" s="161">
        <f t="shared" si="18"/>
        <v>0</v>
      </c>
      <c r="Q46" s="161">
        <f t="shared" si="10"/>
        <v>0</v>
      </c>
    </row>
    <row r="47" spans="1:17" s="62" customFormat="1">
      <c r="A47" s="175"/>
      <c r="B47" s="48"/>
      <c r="C47" s="128"/>
      <c r="D47" s="166"/>
      <c r="E47" s="72"/>
      <c r="F47" s="159"/>
      <c r="G47" s="145"/>
      <c r="H47" s="159"/>
      <c r="I47" s="160"/>
      <c r="J47" s="161"/>
      <c r="K47" s="161"/>
      <c r="L47" s="161"/>
      <c r="M47" s="140"/>
      <c r="N47" s="140"/>
      <c r="O47" s="161">
        <f>F47*M47</f>
        <v>0</v>
      </c>
      <c r="P47" s="161">
        <f t="shared" si="18"/>
        <v>0</v>
      </c>
      <c r="Q47" s="161">
        <f t="shared" si="10"/>
        <v>0</v>
      </c>
    </row>
    <row r="48" spans="1:17" s="62" customFormat="1">
      <c r="A48" s="175"/>
      <c r="B48" s="48"/>
      <c r="C48" s="149" t="s">
        <v>119</v>
      </c>
      <c r="D48" s="170">
        <v>12</v>
      </c>
      <c r="E48" s="72">
        <v>1</v>
      </c>
      <c r="F48" s="159">
        <f>D48*E48*12</f>
        <v>144</v>
      </c>
      <c r="G48" s="145">
        <f>References!B32</f>
        <v>840</v>
      </c>
      <c r="H48" s="112">
        <f>F48*G48</f>
        <v>120960</v>
      </c>
      <c r="I48" s="160">
        <f>$D$121*H48</f>
        <v>82267.858410724759</v>
      </c>
      <c r="J48" s="161">
        <f>(References!$C$49*I48)</f>
        <v>246.8035752321745</v>
      </c>
      <c r="K48" s="161">
        <f>J48/References!$G$52</f>
        <v>251.65421013247803</v>
      </c>
      <c r="L48" s="161">
        <f>K48/F48</f>
        <v>1.7475986814755418</v>
      </c>
      <c r="M48" s="140">
        <v>94.14</v>
      </c>
      <c r="N48" s="182">
        <f t="shared" ref="N48:N50" si="21">+L48+M48</f>
        <v>95.887598681475538</v>
      </c>
      <c r="O48" s="161">
        <f>F48*M48</f>
        <v>13556.16</v>
      </c>
      <c r="P48" s="161">
        <f t="shared" si="18"/>
        <v>13807.814210132477</v>
      </c>
      <c r="Q48" s="161">
        <f t="shared" si="10"/>
        <v>251.6542101324776</v>
      </c>
    </row>
    <row r="49" spans="1:17" s="62" customFormat="1">
      <c r="A49" s="175"/>
      <c r="B49" s="48"/>
      <c r="C49" s="149" t="s">
        <v>158</v>
      </c>
      <c r="D49" s="170"/>
      <c r="E49" s="72"/>
      <c r="F49" s="159"/>
      <c r="G49" s="145"/>
      <c r="H49" s="112"/>
      <c r="I49" s="160"/>
      <c r="J49" s="161"/>
      <c r="K49" s="161"/>
      <c r="L49" s="161"/>
      <c r="M49" s="140">
        <v>36</v>
      </c>
      <c r="N49" s="182">
        <f t="shared" si="21"/>
        <v>36</v>
      </c>
      <c r="O49" s="161">
        <f>F49*M49</f>
        <v>0</v>
      </c>
      <c r="P49" s="161">
        <f t="shared" si="18"/>
        <v>0</v>
      </c>
      <c r="Q49" s="161">
        <f t="shared" si="10"/>
        <v>0</v>
      </c>
    </row>
    <row r="50" spans="1:17" s="62" customFormat="1">
      <c r="A50" s="175"/>
      <c r="B50" s="48"/>
      <c r="C50" s="149" t="s">
        <v>120</v>
      </c>
      <c r="D50" s="170">
        <v>12</v>
      </c>
      <c r="E50" s="72">
        <f>References!B7-1</f>
        <v>3.333333333333333</v>
      </c>
      <c r="F50" s="159">
        <f>D50*E50*12</f>
        <v>480</v>
      </c>
      <c r="G50" s="145">
        <f>References!B32</f>
        <v>840</v>
      </c>
      <c r="H50" s="112">
        <f>F50*G50</f>
        <v>403200</v>
      </c>
      <c r="I50" s="160">
        <f>$D$121*H50</f>
        <v>274226.19470241584</v>
      </c>
      <c r="J50" s="161">
        <f>(References!$C$49*I50)</f>
        <v>822.6785841072483</v>
      </c>
      <c r="K50" s="161">
        <f>J50/References!$G$52</f>
        <v>838.84736710826007</v>
      </c>
      <c r="L50" s="161">
        <f>K50/F50</f>
        <v>1.7475986814755418</v>
      </c>
      <c r="M50" s="140">
        <v>94.14</v>
      </c>
      <c r="N50" s="182">
        <f t="shared" si="21"/>
        <v>95.887598681475538</v>
      </c>
      <c r="O50" s="161">
        <f>F50*M50</f>
        <v>45187.199999999997</v>
      </c>
      <c r="P50" s="161">
        <f t="shared" si="18"/>
        <v>46026.047367108258</v>
      </c>
      <c r="Q50" s="161">
        <f t="shared" si="10"/>
        <v>838.8473671082611</v>
      </c>
    </row>
    <row r="51" spans="1:17" s="62" customFormat="1">
      <c r="A51" s="175"/>
      <c r="B51" s="48"/>
      <c r="C51" s="149" t="s">
        <v>121</v>
      </c>
      <c r="D51" s="170"/>
      <c r="E51" s="72"/>
      <c r="F51" s="130"/>
      <c r="G51" s="145"/>
      <c r="H51" s="112"/>
      <c r="I51" s="160"/>
      <c r="J51" s="161"/>
      <c r="K51" s="161"/>
      <c r="L51" s="161"/>
      <c r="M51" s="140"/>
      <c r="N51" s="140">
        <f>+N48</f>
        <v>95.887598681475538</v>
      </c>
      <c r="O51" s="161">
        <f>F51*M51</f>
        <v>0</v>
      </c>
      <c r="P51" s="161">
        <f t="shared" si="18"/>
        <v>0</v>
      </c>
      <c r="Q51" s="161">
        <f t="shared" si="10"/>
        <v>0</v>
      </c>
    </row>
    <row r="52" spans="1:17" s="62" customFormat="1">
      <c r="A52" s="175"/>
      <c r="B52" s="48"/>
      <c r="C52" s="149"/>
      <c r="D52" s="170"/>
      <c r="E52" s="72"/>
      <c r="F52" s="130"/>
      <c r="G52" s="145"/>
      <c r="H52" s="112"/>
      <c r="I52" s="160"/>
      <c r="J52" s="161"/>
      <c r="K52" s="161"/>
      <c r="L52" s="161"/>
      <c r="M52" s="140"/>
      <c r="N52" s="140"/>
      <c r="O52" s="161">
        <f>F52*M52</f>
        <v>0</v>
      </c>
      <c r="P52" s="161">
        <f t="shared" si="18"/>
        <v>0</v>
      </c>
      <c r="Q52" s="161">
        <f t="shared" si="10"/>
        <v>0</v>
      </c>
    </row>
    <row r="53" spans="1:17" s="62" customFormat="1">
      <c r="A53" s="175"/>
      <c r="B53" s="48" t="s">
        <v>169</v>
      </c>
      <c r="C53" s="149" t="s">
        <v>112</v>
      </c>
      <c r="D53" s="170">
        <v>2</v>
      </c>
      <c r="E53" s="72">
        <v>1</v>
      </c>
      <c r="F53" s="159">
        <f>D53*E53*12</f>
        <v>24</v>
      </c>
      <c r="G53" s="145">
        <f>References!$B$29</f>
        <v>324</v>
      </c>
      <c r="H53" s="159">
        <f>F53*G53</f>
        <v>7776</v>
      </c>
      <c r="I53" s="160">
        <f>$D$121*H53</f>
        <v>5288.6480406894489</v>
      </c>
      <c r="J53" s="161">
        <f>(References!$C$49*I53)</f>
        <v>15.865944122068361</v>
      </c>
      <c r="K53" s="161">
        <f>J53/References!$G$52</f>
        <v>16.177770651373589</v>
      </c>
      <c r="L53" s="161">
        <f>K53/F53</f>
        <v>0.67407377714056615</v>
      </c>
      <c r="M53" s="140">
        <v>35.409999999999997</v>
      </c>
      <c r="N53" s="182">
        <f t="shared" ref="N53:N55" si="22">+L53+M53</f>
        <v>36.08407377714056</v>
      </c>
      <c r="O53" s="161">
        <f>F53*M53</f>
        <v>849.83999999999992</v>
      </c>
      <c r="P53" s="161">
        <f t="shared" si="18"/>
        <v>866.01777065137344</v>
      </c>
      <c r="Q53" s="161">
        <f t="shared" si="10"/>
        <v>16.177770651373521</v>
      </c>
    </row>
    <row r="54" spans="1:17" s="62" customFormat="1">
      <c r="A54" s="175"/>
      <c r="B54" s="48" t="s">
        <v>169</v>
      </c>
      <c r="C54" s="149" t="s">
        <v>156</v>
      </c>
      <c r="D54" s="170"/>
      <c r="E54" s="72"/>
      <c r="F54" s="159"/>
      <c r="G54" s="145"/>
      <c r="H54" s="159"/>
      <c r="I54" s="160"/>
      <c r="J54" s="161"/>
      <c r="K54" s="161"/>
      <c r="L54" s="161"/>
      <c r="M54" s="140">
        <v>13.5</v>
      </c>
      <c r="N54" s="182">
        <f t="shared" si="22"/>
        <v>13.5</v>
      </c>
      <c r="O54" s="161">
        <f>F54*M54</f>
        <v>0</v>
      </c>
      <c r="P54" s="161">
        <f t="shared" si="18"/>
        <v>0</v>
      </c>
      <c r="Q54" s="161">
        <f t="shared" si="10"/>
        <v>0</v>
      </c>
    </row>
    <row r="55" spans="1:17" s="62" customFormat="1">
      <c r="A55" s="175"/>
      <c r="B55" s="48" t="s">
        <v>169</v>
      </c>
      <c r="C55" s="149" t="s">
        <v>145</v>
      </c>
      <c r="D55" s="170">
        <v>2</v>
      </c>
      <c r="E55" s="72">
        <f>References!B6-1</f>
        <v>7.6666666666666661</v>
      </c>
      <c r="F55" s="159">
        <f>D55*E55*12</f>
        <v>184</v>
      </c>
      <c r="G55" s="145">
        <f>References!$B$29</f>
        <v>324</v>
      </c>
      <c r="H55" s="159">
        <f>F55*G55</f>
        <v>59616</v>
      </c>
      <c r="I55" s="160">
        <f>$D$121*H55</f>
        <v>40546.30164528577</v>
      </c>
      <c r="J55" s="161">
        <f>(References!$C$49*I55)</f>
        <v>121.63890493585741</v>
      </c>
      <c r="K55" s="161">
        <f>J55/References!$G$52</f>
        <v>124.02957499386414</v>
      </c>
      <c r="L55" s="161">
        <f>K55/F55</f>
        <v>0.67407377714056604</v>
      </c>
      <c r="M55" s="140">
        <v>35.409999999999997</v>
      </c>
      <c r="N55" s="182">
        <f t="shared" si="22"/>
        <v>36.08407377714056</v>
      </c>
      <c r="O55" s="161">
        <f>F55*M55</f>
        <v>6515.44</v>
      </c>
      <c r="P55" s="161">
        <f t="shared" si="18"/>
        <v>6639.4695749938628</v>
      </c>
      <c r="Q55" s="161">
        <f t="shared" si="10"/>
        <v>124.02957499386321</v>
      </c>
    </row>
    <row r="56" spans="1:17" s="62" customFormat="1">
      <c r="A56" s="175"/>
      <c r="B56" s="48"/>
      <c r="C56" s="128"/>
      <c r="D56" s="166"/>
      <c r="E56" s="72"/>
      <c r="F56" s="129"/>
      <c r="G56" s="144"/>
      <c r="H56" s="112"/>
      <c r="I56" s="160"/>
      <c r="J56" s="161"/>
      <c r="K56" s="161"/>
      <c r="L56" s="161"/>
      <c r="M56" s="161"/>
      <c r="N56" s="161"/>
      <c r="O56" s="161">
        <f>F56*M56</f>
        <v>0</v>
      </c>
      <c r="P56" s="161">
        <f t="shared" si="18"/>
        <v>0</v>
      </c>
      <c r="Q56" s="161">
        <f t="shared" si="10"/>
        <v>0</v>
      </c>
    </row>
    <row r="57" spans="1:17" s="62" customFormat="1">
      <c r="A57" s="175"/>
      <c r="B57" s="48" t="s">
        <v>169</v>
      </c>
      <c r="C57" s="149" t="s">
        <v>116</v>
      </c>
      <c r="D57" s="170">
        <v>1</v>
      </c>
      <c r="E57" s="72">
        <v>1</v>
      </c>
      <c r="F57" s="159">
        <f>D57*E57*12</f>
        <v>12</v>
      </c>
      <c r="G57" s="145">
        <f>References!$B$31</f>
        <v>613</v>
      </c>
      <c r="H57" s="159">
        <f>F57*G57</f>
        <v>7356</v>
      </c>
      <c r="I57" s="160">
        <f>$D$121*H57</f>
        <v>5002.9957545410989</v>
      </c>
      <c r="J57" s="161">
        <f>(References!$C$49*I57)</f>
        <v>15.008987263623309</v>
      </c>
      <c r="K57" s="161">
        <f>J57/References!$G$52</f>
        <v>15.303971310635815</v>
      </c>
      <c r="L57" s="161">
        <f>K57/F57</f>
        <v>1.2753309425529846</v>
      </c>
      <c r="M57" s="140">
        <v>65.16</v>
      </c>
      <c r="N57" s="182">
        <f t="shared" ref="N57:N59" si="23">+L57+M57</f>
        <v>66.43533094255298</v>
      </c>
      <c r="O57" s="161">
        <f>F57*M57</f>
        <v>781.92</v>
      </c>
      <c r="P57" s="161">
        <f t="shared" si="18"/>
        <v>797.22397131063576</v>
      </c>
      <c r="Q57" s="161">
        <f t="shared" si="10"/>
        <v>15.303971310635802</v>
      </c>
    </row>
    <row r="58" spans="1:17" s="62" customFormat="1">
      <c r="A58" s="175"/>
      <c r="B58" s="48" t="s">
        <v>169</v>
      </c>
      <c r="C58" s="149" t="s">
        <v>157</v>
      </c>
      <c r="D58" s="170"/>
      <c r="E58" s="72"/>
      <c r="F58" s="159"/>
      <c r="G58" s="145"/>
      <c r="H58" s="159"/>
      <c r="I58" s="160"/>
      <c r="J58" s="161"/>
      <c r="K58" s="161"/>
      <c r="L58" s="161"/>
      <c r="M58" s="140">
        <v>24.75</v>
      </c>
      <c r="N58" s="182">
        <f t="shared" si="23"/>
        <v>24.75</v>
      </c>
      <c r="O58" s="161">
        <f>F58*M58</f>
        <v>0</v>
      </c>
      <c r="P58" s="161">
        <f t="shared" si="18"/>
        <v>0</v>
      </c>
      <c r="Q58" s="161">
        <f t="shared" si="10"/>
        <v>0</v>
      </c>
    </row>
    <row r="59" spans="1:17" s="62" customFormat="1">
      <c r="A59" s="175"/>
      <c r="B59" s="48" t="s">
        <v>169</v>
      </c>
      <c r="C59" s="128" t="s">
        <v>117</v>
      </c>
      <c r="D59" s="166">
        <v>1</v>
      </c>
      <c r="E59" s="72">
        <f>References!B6-1</f>
        <v>7.6666666666666661</v>
      </c>
      <c r="F59" s="159">
        <f>D59*E59*12</f>
        <v>92</v>
      </c>
      <c r="G59" s="145">
        <f>References!$B$31</f>
        <v>613</v>
      </c>
      <c r="H59" s="159">
        <f>F59*G59</f>
        <v>56396</v>
      </c>
      <c r="I59" s="160">
        <f>$D$121*H59</f>
        <v>38356.300784815088</v>
      </c>
      <c r="J59" s="161">
        <f>(References!$C$49*I59)</f>
        <v>115.06890235444537</v>
      </c>
      <c r="K59" s="161">
        <f>J59/References!$G$52</f>
        <v>117.33044671487458</v>
      </c>
      <c r="L59" s="161">
        <f>K59/F59</f>
        <v>1.2753309425529846</v>
      </c>
      <c r="M59" s="140">
        <v>65.16</v>
      </c>
      <c r="N59" s="182">
        <f t="shared" si="23"/>
        <v>66.43533094255298</v>
      </c>
      <c r="O59" s="161">
        <f>F59*M59</f>
        <v>5994.7199999999993</v>
      </c>
      <c r="P59" s="161">
        <f t="shared" si="18"/>
        <v>6112.0504467148739</v>
      </c>
      <c r="Q59" s="161">
        <f t="shared" si="10"/>
        <v>117.3304467148746</v>
      </c>
    </row>
    <row r="60" spans="1:17" s="62" customFormat="1">
      <c r="A60" s="175"/>
      <c r="B60" s="48"/>
      <c r="C60" s="128"/>
      <c r="D60" s="166"/>
      <c r="E60" s="72"/>
      <c r="F60" s="129"/>
      <c r="G60" s="144"/>
      <c r="H60" s="112"/>
      <c r="I60" s="160"/>
      <c r="J60" s="161"/>
      <c r="K60" s="161"/>
      <c r="L60" s="161"/>
      <c r="M60" s="161"/>
      <c r="N60" s="161"/>
      <c r="O60" s="161">
        <f>F60*M60</f>
        <v>0</v>
      </c>
      <c r="P60" s="161">
        <f t="shared" si="18"/>
        <v>0</v>
      </c>
      <c r="Q60" s="161">
        <f t="shared" si="10"/>
        <v>0</v>
      </c>
    </row>
    <row r="61" spans="1:17" s="62" customFormat="1">
      <c r="A61" s="175"/>
      <c r="B61" s="48" t="s">
        <v>171</v>
      </c>
      <c r="C61" s="149" t="s">
        <v>119</v>
      </c>
      <c r="D61" s="170">
        <v>1</v>
      </c>
      <c r="E61" s="72">
        <v>1</v>
      </c>
      <c r="F61" s="159">
        <f>D61*E61*12</f>
        <v>12</v>
      </c>
      <c r="G61" s="145">
        <f>References!B32</f>
        <v>840</v>
      </c>
      <c r="H61" s="112">
        <f>F61*G61</f>
        <v>10080</v>
      </c>
      <c r="I61" s="160">
        <f>$D$121*H61</f>
        <v>6855.6548675603963</v>
      </c>
      <c r="J61" s="161">
        <f>(References!$C$49*I61)</f>
        <v>20.566964602681207</v>
      </c>
      <c r="K61" s="161">
        <f>J61/References!$G$52</f>
        <v>20.971184177706501</v>
      </c>
      <c r="L61" s="161">
        <f>K61/F61</f>
        <v>1.7475986814755418</v>
      </c>
      <c r="M61" s="140">
        <v>94.14</v>
      </c>
      <c r="N61" s="182">
        <f t="shared" ref="N61:N77" si="24">+L61+M61</f>
        <v>95.887598681475538</v>
      </c>
      <c r="O61" s="161">
        <f>F61*M61</f>
        <v>1129.68</v>
      </c>
      <c r="P61" s="161">
        <f t="shared" si="18"/>
        <v>1150.6511841777065</v>
      </c>
      <c r="Q61" s="161">
        <f t="shared" si="10"/>
        <v>20.971184177706391</v>
      </c>
    </row>
    <row r="62" spans="1:17" s="62" customFormat="1">
      <c r="A62" s="175"/>
      <c r="B62" s="48" t="s">
        <v>171</v>
      </c>
      <c r="C62" s="149" t="s">
        <v>158</v>
      </c>
      <c r="D62" s="170"/>
      <c r="E62" s="72"/>
      <c r="F62" s="159"/>
      <c r="G62" s="145"/>
      <c r="H62" s="112"/>
      <c r="I62" s="160"/>
      <c r="J62" s="161"/>
      <c r="K62" s="161"/>
      <c r="L62" s="161"/>
      <c r="M62" s="140">
        <v>36</v>
      </c>
      <c r="N62" s="182">
        <f t="shared" si="24"/>
        <v>36</v>
      </c>
      <c r="O62" s="161">
        <f>F62*M62</f>
        <v>0</v>
      </c>
      <c r="P62" s="161">
        <f t="shared" si="18"/>
        <v>0</v>
      </c>
      <c r="Q62" s="161">
        <f t="shared" si="10"/>
        <v>0</v>
      </c>
    </row>
    <row r="63" spans="1:17" s="62" customFormat="1">
      <c r="A63" s="175"/>
      <c r="B63" s="48" t="s">
        <v>171</v>
      </c>
      <c r="C63" s="149" t="s">
        <v>146</v>
      </c>
      <c r="D63" s="170">
        <v>1</v>
      </c>
      <c r="E63" s="72">
        <f>References!B5-1</f>
        <v>12</v>
      </c>
      <c r="F63" s="159">
        <f>D63*E63*12</f>
        <v>144</v>
      </c>
      <c r="G63" s="145">
        <f>References!B32</f>
        <v>840</v>
      </c>
      <c r="H63" s="112">
        <f>F63*G63</f>
        <v>120960</v>
      </c>
      <c r="I63" s="160">
        <f>$D$121*H63</f>
        <v>82267.858410724759</v>
      </c>
      <c r="J63" s="161">
        <f>(References!$C$49*I63)</f>
        <v>246.8035752321745</v>
      </c>
      <c r="K63" s="161">
        <f>J63/References!$G$52</f>
        <v>251.65421013247803</v>
      </c>
      <c r="L63" s="161">
        <f>K63/F63</f>
        <v>1.7475986814755418</v>
      </c>
      <c r="M63" s="140">
        <v>94.14</v>
      </c>
      <c r="N63" s="182">
        <f t="shared" si="24"/>
        <v>95.887598681475538</v>
      </c>
      <c r="O63" s="161">
        <f>F63*M63</f>
        <v>13556.16</v>
      </c>
      <c r="P63" s="161">
        <f t="shared" si="18"/>
        <v>13807.814210132477</v>
      </c>
      <c r="Q63" s="161">
        <f t="shared" si="10"/>
        <v>251.6542101324776</v>
      </c>
    </row>
    <row r="64" spans="1:17" s="62" customFormat="1">
      <c r="A64" s="175"/>
      <c r="B64" s="48"/>
      <c r="C64" s="128"/>
      <c r="D64" s="166"/>
      <c r="E64" s="72"/>
      <c r="F64" s="129"/>
      <c r="G64" s="144"/>
      <c r="H64" s="112"/>
      <c r="I64" s="160"/>
      <c r="J64" s="161"/>
      <c r="K64" s="161"/>
      <c r="L64" s="161"/>
      <c r="M64" s="161"/>
      <c r="N64" s="161"/>
      <c r="O64" s="161">
        <f>F64*M64</f>
        <v>0</v>
      </c>
      <c r="P64" s="161">
        <f t="shared" si="18"/>
        <v>0</v>
      </c>
      <c r="Q64" s="161">
        <f t="shared" si="10"/>
        <v>0</v>
      </c>
    </row>
    <row r="65" spans="1:17" s="62" customFormat="1">
      <c r="A65" s="175"/>
      <c r="B65" s="48" t="s">
        <v>170</v>
      </c>
      <c r="C65" s="149" t="s">
        <v>105</v>
      </c>
      <c r="D65" s="122">
        <v>49</v>
      </c>
      <c r="E65" s="72">
        <v>1</v>
      </c>
      <c r="F65" s="159">
        <f>D65*E65*12</f>
        <v>588</v>
      </c>
      <c r="G65" s="145">
        <f>References!B27</f>
        <v>175</v>
      </c>
      <c r="H65" s="159">
        <f>F65*G65</f>
        <v>102900</v>
      </c>
      <c r="I65" s="160">
        <f>$D$121*H65</f>
        <v>69984.810106345714</v>
      </c>
      <c r="J65" s="161">
        <f>(References!$C$49*I65)</f>
        <v>209.95443031903733</v>
      </c>
      <c r="K65" s="161">
        <f>J65/References!$G$52</f>
        <v>214.08083848075387</v>
      </c>
      <c r="L65" s="161">
        <f>K65/F65</f>
        <v>0.36408305864073787</v>
      </c>
      <c r="M65" s="140">
        <v>21.01</v>
      </c>
      <c r="N65" s="182">
        <f t="shared" si="24"/>
        <v>21.374083058640739</v>
      </c>
      <c r="O65" s="161">
        <f>F65*M65</f>
        <v>12353.880000000001</v>
      </c>
      <c r="P65" s="161">
        <f t="shared" si="18"/>
        <v>12567.960838480754</v>
      </c>
      <c r="Q65" s="161">
        <f t="shared" si="10"/>
        <v>214.0808384807533</v>
      </c>
    </row>
    <row r="66" spans="1:17" s="62" customFormat="1">
      <c r="A66" s="175"/>
      <c r="B66" s="48" t="s">
        <v>170</v>
      </c>
      <c r="C66" s="128" t="s">
        <v>147</v>
      </c>
      <c r="D66" s="165">
        <v>49</v>
      </c>
      <c r="E66" s="72">
        <f>References!B8-1</f>
        <v>1.1666666666666665</v>
      </c>
      <c r="F66" s="159">
        <f>D66*E66*12</f>
        <v>685.99999999999989</v>
      </c>
      <c r="G66" s="145">
        <f>References!B27</f>
        <v>175</v>
      </c>
      <c r="H66" s="159">
        <f>F66*G66</f>
        <v>120049.99999999999</v>
      </c>
      <c r="I66" s="160">
        <f>$D$121*H66</f>
        <v>81648.945124069985</v>
      </c>
      <c r="J66" s="161">
        <f>(References!$C$49*I66)</f>
        <v>244.94683537221019</v>
      </c>
      <c r="K66" s="161">
        <f>J66/References!$G$52</f>
        <v>249.76097822754616</v>
      </c>
      <c r="L66" s="161">
        <f>K66/F66</f>
        <v>0.36408305864073792</v>
      </c>
      <c r="M66" s="153">
        <f>M30</f>
        <v>21.01</v>
      </c>
      <c r="N66" s="182">
        <f t="shared" si="24"/>
        <v>21.374083058640739</v>
      </c>
      <c r="O66" s="161">
        <f>F66*M66</f>
        <v>14412.859999999999</v>
      </c>
      <c r="P66" s="161">
        <f t="shared" si="18"/>
        <v>14662.620978227545</v>
      </c>
      <c r="Q66" s="161">
        <f t="shared" si="10"/>
        <v>249.76097822754673</v>
      </c>
    </row>
    <row r="67" spans="1:17" s="62" customFormat="1">
      <c r="A67" s="175"/>
      <c r="B67" s="48"/>
      <c r="C67" s="128"/>
      <c r="D67" s="166"/>
      <c r="E67" s="72"/>
      <c r="F67" s="129"/>
      <c r="G67" s="144"/>
      <c r="H67" s="112"/>
      <c r="I67" s="160"/>
      <c r="J67" s="161"/>
      <c r="K67" s="161"/>
      <c r="L67" s="161"/>
      <c r="M67" s="161"/>
      <c r="N67" s="161"/>
      <c r="O67" s="161">
        <f>F67*M67</f>
        <v>0</v>
      </c>
      <c r="P67" s="161">
        <f t="shared" si="18"/>
        <v>0</v>
      </c>
      <c r="Q67" s="161">
        <f t="shared" si="10"/>
        <v>0</v>
      </c>
    </row>
    <row r="68" spans="1:17" s="62" customFormat="1">
      <c r="A68" s="175"/>
      <c r="B68" s="48" t="s">
        <v>170</v>
      </c>
      <c r="C68" s="149" t="s">
        <v>108</v>
      </c>
      <c r="D68" s="170">
        <v>2</v>
      </c>
      <c r="E68" s="72">
        <v>1</v>
      </c>
      <c r="F68" s="159">
        <f>D68*E68*12</f>
        <v>24</v>
      </c>
      <c r="G68" s="145">
        <f>References!$B$28</f>
        <v>250</v>
      </c>
      <c r="H68" s="159">
        <f>F68*G68</f>
        <v>6000</v>
      </c>
      <c r="I68" s="160">
        <f>$D$121*H68</f>
        <v>4080.7469449764262</v>
      </c>
      <c r="J68" s="161">
        <f>(References!$C$49*I68)</f>
        <v>12.242240834929289</v>
      </c>
      <c r="K68" s="161">
        <f>J68/References!$G$52</f>
        <v>12.482847724825298</v>
      </c>
      <c r="L68" s="161">
        <f>K68/F68</f>
        <v>0.52011865520105405</v>
      </c>
      <c r="M68" s="140">
        <v>29.27</v>
      </c>
      <c r="N68" s="182">
        <f t="shared" si="24"/>
        <v>29.790118655201052</v>
      </c>
      <c r="O68" s="161">
        <f>F68*M68</f>
        <v>702.48</v>
      </c>
      <c r="P68" s="161">
        <f t="shared" si="18"/>
        <v>714.96284772482522</v>
      </c>
      <c r="Q68" s="161">
        <f t="shared" si="10"/>
        <v>12.482847724825206</v>
      </c>
    </row>
    <row r="69" spans="1:17" s="62" customFormat="1">
      <c r="A69" s="175"/>
      <c r="B69" s="48" t="s">
        <v>170</v>
      </c>
      <c r="C69" s="128" t="s">
        <v>148</v>
      </c>
      <c r="D69" s="166">
        <v>2</v>
      </c>
      <c r="E69" s="72">
        <f>References!B8-1</f>
        <v>1.1666666666666665</v>
      </c>
      <c r="F69" s="159">
        <f>D69*E69*12</f>
        <v>27.999999999999996</v>
      </c>
      <c r="G69" s="143">
        <f>References!$B$28</f>
        <v>250</v>
      </c>
      <c r="H69" s="159">
        <f>F69*G69</f>
        <v>6999.9999999999991</v>
      </c>
      <c r="I69" s="160">
        <f>$D$121*H69</f>
        <v>4760.8714358058305</v>
      </c>
      <c r="J69" s="161">
        <f>(References!$C$49*I69)</f>
        <v>14.282614307417504</v>
      </c>
      <c r="K69" s="161">
        <f>J69/References!$G$52</f>
        <v>14.563322345629514</v>
      </c>
      <c r="L69" s="161">
        <f>K69/F69</f>
        <v>0.52011865520105416</v>
      </c>
      <c r="M69" s="140">
        <f>M35</f>
        <v>29.27</v>
      </c>
      <c r="N69" s="182">
        <f t="shared" si="24"/>
        <v>29.790118655201052</v>
      </c>
      <c r="O69" s="161">
        <f>F69*M69</f>
        <v>819.55999999999983</v>
      </c>
      <c r="P69" s="161">
        <f t="shared" si="18"/>
        <v>834.12332234562939</v>
      </c>
      <c r="Q69" s="161">
        <f t="shared" si="10"/>
        <v>14.563322345629558</v>
      </c>
    </row>
    <row r="70" spans="1:17" s="62" customFormat="1">
      <c r="A70" s="175"/>
      <c r="B70" s="48"/>
      <c r="C70" s="128"/>
      <c r="D70" s="166"/>
      <c r="E70" s="72"/>
      <c r="F70" s="129"/>
      <c r="G70" s="144"/>
      <c r="H70" s="112"/>
      <c r="I70" s="160"/>
      <c r="J70" s="161"/>
      <c r="K70" s="161"/>
      <c r="L70" s="161"/>
      <c r="M70" s="161"/>
      <c r="N70" s="161"/>
      <c r="O70" s="161">
        <f>F70*M70</f>
        <v>0</v>
      </c>
      <c r="P70" s="161">
        <f t="shared" si="18"/>
        <v>0</v>
      </c>
      <c r="Q70" s="161">
        <f t="shared" si="10"/>
        <v>0</v>
      </c>
    </row>
    <row r="71" spans="1:17" s="62" customFormat="1">
      <c r="A71" s="175"/>
      <c r="B71" s="48" t="s">
        <v>170</v>
      </c>
      <c r="C71" s="149" t="s">
        <v>112</v>
      </c>
      <c r="D71" s="170">
        <v>31</v>
      </c>
      <c r="E71" s="72">
        <v>1</v>
      </c>
      <c r="F71" s="159">
        <f>D71*E71*12</f>
        <v>372</v>
      </c>
      <c r="G71" s="145">
        <f>References!$B$29</f>
        <v>324</v>
      </c>
      <c r="H71" s="159">
        <f>F71*G71</f>
        <v>120528</v>
      </c>
      <c r="I71" s="160">
        <f>$D$121*H71</f>
        <v>81974.044630686447</v>
      </c>
      <c r="J71" s="161">
        <f>(References!$C$49*I71)</f>
        <v>245.92213389205955</v>
      </c>
      <c r="K71" s="161">
        <f>J71/References!$G$52</f>
        <v>250.75544509629057</v>
      </c>
      <c r="L71" s="161">
        <f>K71/F71</f>
        <v>0.67407377714056604</v>
      </c>
      <c r="M71" s="140">
        <v>35.409999999999997</v>
      </c>
      <c r="N71" s="182">
        <f t="shared" si="24"/>
        <v>36.08407377714056</v>
      </c>
      <c r="O71" s="161">
        <f>F71*M71</f>
        <v>13172.519999999999</v>
      </c>
      <c r="P71" s="161">
        <f t="shared" si="18"/>
        <v>13423.275445096288</v>
      </c>
      <c r="Q71" s="161">
        <f t="shared" si="10"/>
        <v>250.7554450962889</v>
      </c>
    </row>
    <row r="72" spans="1:17" s="62" customFormat="1">
      <c r="A72" s="175"/>
      <c r="B72" s="48" t="s">
        <v>170</v>
      </c>
      <c r="C72" s="149" t="s">
        <v>149</v>
      </c>
      <c r="D72" s="170">
        <v>31</v>
      </c>
      <c r="E72" s="72">
        <f>References!B8-1</f>
        <v>1.1666666666666665</v>
      </c>
      <c r="F72" s="159">
        <f>D72*E72*12</f>
        <v>434</v>
      </c>
      <c r="G72" s="145">
        <f>References!$B$29</f>
        <v>324</v>
      </c>
      <c r="H72" s="159">
        <f>F72*G72</f>
        <v>140616</v>
      </c>
      <c r="I72" s="160">
        <f>$D$121*H72</f>
        <v>95636.385402467524</v>
      </c>
      <c r="J72" s="161">
        <f>(References!$C$49*I72)</f>
        <v>286.90915620740282</v>
      </c>
      <c r="K72" s="161">
        <f>J72/References!$G$52</f>
        <v>292.54801927900564</v>
      </c>
      <c r="L72" s="161">
        <f>K72/F72</f>
        <v>0.67407377714056604</v>
      </c>
      <c r="M72" s="140">
        <f>M40</f>
        <v>35.409999999999997</v>
      </c>
      <c r="N72" s="182">
        <f t="shared" si="24"/>
        <v>36.08407377714056</v>
      </c>
      <c r="O72" s="161">
        <f>F72*M72</f>
        <v>15367.939999999999</v>
      </c>
      <c r="P72" s="161">
        <f t="shared" si="18"/>
        <v>15660.488019279002</v>
      </c>
      <c r="Q72" s="161">
        <f t="shared" si="10"/>
        <v>292.54801927900371</v>
      </c>
    </row>
    <row r="73" spans="1:17" s="62" customFormat="1">
      <c r="A73" s="175"/>
      <c r="B73" s="48"/>
      <c r="C73" s="128"/>
      <c r="D73" s="166"/>
      <c r="E73" s="72"/>
      <c r="F73" s="129"/>
      <c r="G73" s="144"/>
      <c r="H73" s="112"/>
      <c r="I73" s="160"/>
      <c r="J73" s="161"/>
      <c r="K73" s="161"/>
      <c r="L73" s="161"/>
      <c r="M73" s="161"/>
      <c r="N73" s="161"/>
      <c r="O73" s="161">
        <f>F73*M73</f>
        <v>0</v>
      </c>
      <c r="P73" s="161">
        <f t="shared" si="18"/>
        <v>0</v>
      </c>
      <c r="Q73" s="161">
        <f t="shared" si="10"/>
        <v>0</v>
      </c>
    </row>
    <row r="74" spans="1:17" s="62" customFormat="1">
      <c r="A74" s="175"/>
      <c r="B74" s="48" t="s">
        <v>170</v>
      </c>
      <c r="C74" s="149" t="s">
        <v>116</v>
      </c>
      <c r="D74" s="170">
        <v>6</v>
      </c>
      <c r="E74" s="72">
        <v>1</v>
      </c>
      <c r="F74" s="159">
        <f>D74*E74*12</f>
        <v>72</v>
      </c>
      <c r="G74" s="145">
        <f>References!$B$31</f>
        <v>613</v>
      </c>
      <c r="H74" s="159">
        <f>F74*G74</f>
        <v>44136</v>
      </c>
      <c r="I74" s="160">
        <f>$D$121*H74</f>
        <v>30017.974527246592</v>
      </c>
      <c r="J74" s="161">
        <f>(References!$C$49*I74)</f>
        <v>90.053923581739852</v>
      </c>
      <c r="K74" s="161">
        <f>J74/References!$G$52</f>
        <v>91.823827863814884</v>
      </c>
      <c r="L74" s="161">
        <f>K74/F74</f>
        <v>1.2753309425529844</v>
      </c>
      <c r="M74" s="140">
        <v>65.16</v>
      </c>
      <c r="N74" s="182">
        <f t="shared" si="24"/>
        <v>66.43533094255298</v>
      </c>
      <c r="O74" s="161">
        <f>F74*M74</f>
        <v>4691.5199999999995</v>
      </c>
      <c r="P74" s="161">
        <f t="shared" si="18"/>
        <v>4783.343827863815</v>
      </c>
      <c r="Q74" s="161">
        <f t="shared" si="10"/>
        <v>91.823827863815495</v>
      </c>
    </row>
    <row r="75" spans="1:17" s="62" customFormat="1">
      <c r="A75" s="175"/>
      <c r="B75" s="48" t="s">
        <v>170</v>
      </c>
      <c r="C75" s="128" t="s">
        <v>150</v>
      </c>
      <c r="D75" s="166">
        <v>6</v>
      </c>
      <c r="E75" s="72">
        <f>References!B8-1</f>
        <v>1.1666666666666665</v>
      </c>
      <c r="F75" s="159">
        <f>D75*E75*12</f>
        <v>83.999999999999986</v>
      </c>
      <c r="G75" s="145">
        <f>References!$B$31</f>
        <v>613</v>
      </c>
      <c r="H75" s="159">
        <f>F75*G75</f>
        <v>51491.999999999993</v>
      </c>
      <c r="I75" s="160">
        <f>$D$121*H75</f>
        <v>35020.97028178769</v>
      </c>
      <c r="J75" s="161">
        <f>(References!$C$49*I75)</f>
        <v>105.06291084536316</v>
      </c>
      <c r="K75" s="161">
        <f>J75/References!$G$52</f>
        <v>107.1277991744507</v>
      </c>
      <c r="L75" s="161">
        <f>K75/F75</f>
        <v>1.2753309425529848</v>
      </c>
      <c r="M75" s="140">
        <v>65.16</v>
      </c>
      <c r="N75" s="182">
        <f t="shared" si="24"/>
        <v>66.43533094255298</v>
      </c>
      <c r="O75" s="161">
        <f>F75*M75</f>
        <v>5473.4399999999987</v>
      </c>
      <c r="P75" s="161">
        <f t="shared" si="18"/>
        <v>5580.5677991744496</v>
      </c>
      <c r="Q75" s="161">
        <f t="shared" si="10"/>
        <v>107.12779917445096</v>
      </c>
    </row>
    <row r="76" spans="1:17" s="62" customFormat="1">
      <c r="A76" s="175"/>
      <c r="B76" s="48"/>
      <c r="C76" s="128"/>
      <c r="D76" s="166"/>
      <c r="E76" s="72"/>
      <c r="F76" s="129"/>
      <c r="G76" s="144"/>
      <c r="H76" s="112"/>
      <c r="I76" s="160"/>
      <c r="J76" s="161"/>
      <c r="K76" s="161"/>
      <c r="L76" s="161"/>
      <c r="M76" s="161"/>
      <c r="N76" s="161"/>
      <c r="O76" s="161">
        <f>F76*M76</f>
        <v>0</v>
      </c>
      <c r="P76" s="161">
        <f t="shared" si="18"/>
        <v>0</v>
      </c>
      <c r="Q76" s="161">
        <f t="shared" si="10"/>
        <v>0</v>
      </c>
    </row>
    <row r="77" spans="1:17" s="62" customFormat="1">
      <c r="A77" s="175"/>
      <c r="B77" s="48"/>
      <c r="C77" s="110" t="s">
        <v>153</v>
      </c>
      <c r="D77" s="170">
        <v>24</v>
      </c>
      <c r="E77" s="72">
        <f>References!$B$9</f>
        <v>1</v>
      </c>
      <c r="F77" s="159">
        <f>D77*E77*12</f>
        <v>288</v>
      </c>
      <c r="G77" s="159">
        <v>125</v>
      </c>
      <c r="H77" s="159">
        <f>F77*G77</f>
        <v>36000</v>
      </c>
      <c r="I77" s="160">
        <f>$D$121*H77</f>
        <v>24484.48166985856</v>
      </c>
      <c r="J77" s="161">
        <f>(References!$C$49*I77)</f>
        <v>73.453445009575745</v>
      </c>
      <c r="K77" s="161">
        <f>J77/References!$G$52</f>
        <v>74.897086348951788</v>
      </c>
      <c r="L77" s="161">
        <f>K77/F77</f>
        <v>0.26005932760052702</v>
      </c>
      <c r="M77" s="161">
        <v>25.84</v>
      </c>
      <c r="N77" s="182">
        <f t="shared" si="24"/>
        <v>26.100059327600526</v>
      </c>
      <c r="O77" s="161">
        <f>F77*M77</f>
        <v>7441.92</v>
      </c>
      <c r="P77" s="161">
        <f t="shared" si="18"/>
        <v>7516.8170863489513</v>
      </c>
      <c r="Q77" s="161">
        <f t="shared" si="10"/>
        <v>74.897086348951234</v>
      </c>
    </row>
    <row r="78" spans="1:17" s="62" customFormat="1">
      <c r="A78" s="175"/>
      <c r="B78" s="48"/>
      <c r="C78" s="128"/>
      <c r="D78" s="166"/>
      <c r="E78" s="72"/>
      <c r="F78" s="129"/>
      <c r="G78" s="144"/>
      <c r="H78" s="112"/>
      <c r="I78" s="160"/>
      <c r="J78" s="161"/>
      <c r="K78" s="161"/>
      <c r="L78" s="161"/>
      <c r="M78" s="161"/>
      <c r="N78" s="161"/>
      <c r="O78" s="161"/>
      <c r="P78" s="161"/>
      <c r="Q78" s="161"/>
    </row>
    <row r="79" spans="1:17" s="62" customFormat="1">
      <c r="A79" s="119"/>
      <c r="B79" s="17"/>
      <c r="C79" s="196"/>
      <c r="D79" s="197">
        <f>SUM(D19:D53)</f>
        <v>233</v>
      </c>
      <c r="E79" s="197">
        <f>SUM(E19:E53)</f>
        <v>152.66666666666671</v>
      </c>
      <c r="F79" s="197">
        <f>SUM(F19:F78)</f>
        <v>13912</v>
      </c>
      <c r="G79" s="210">
        <f>SUM(G19:G78)</f>
        <v>11050</v>
      </c>
      <c r="H79" s="197">
        <f>SUM(H19:H78)</f>
        <v>2982710</v>
      </c>
      <c r="I79" s="197">
        <f>SUM(I19:I78)</f>
        <v>2028614.120041773</v>
      </c>
      <c r="J79" s="203"/>
      <c r="K79" s="203"/>
      <c r="L79" s="203"/>
      <c r="M79" s="203"/>
      <c r="N79" s="203"/>
      <c r="O79" s="208">
        <f>SUM(O19:O78)</f>
        <v>340117.64</v>
      </c>
      <c r="P79" s="208">
        <f>SUM(P19:P78)</f>
        <v>346323.0924562189</v>
      </c>
      <c r="Q79" s="208">
        <f>SUM(Q19:Q78)</f>
        <v>6205.4524562189281</v>
      </c>
    </row>
    <row r="80" spans="1:17">
      <c r="C80" s="66"/>
      <c r="D80" s="167">
        <f>D18+D79</f>
        <v>940</v>
      </c>
      <c r="E80" s="67"/>
      <c r="F80" s="107">
        <f>F18+F79</f>
        <v>45090</v>
      </c>
      <c r="G80" s="67"/>
      <c r="H80" s="67">
        <f>H18+H79</f>
        <v>4253486</v>
      </c>
      <c r="I80" s="67">
        <f>I18+I79</f>
        <v>2892900.0000000005</v>
      </c>
      <c r="J80" s="161"/>
      <c r="K80" s="78"/>
      <c r="L80" s="78"/>
      <c r="M80" s="78"/>
      <c r="N80" s="78"/>
      <c r="O80" s="78">
        <f>O18+O79</f>
        <v>548456.74400000006</v>
      </c>
      <c r="P80" s="78">
        <f>P18+P79</f>
        <v>557306.01367294602</v>
      </c>
      <c r="Q80" s="209">
        <f>Q18+Q79</f>
        <v>8849.2696729460185</v>
      </c>
    </row>
    <row r="81" spans="1:17">
      <c r="D81" s="168"/>
      <c r="G81" s="147"/>
      <c r="J81" s="58"/>
      <c r="P81" s="63"/>
    </row>
    <row r="82" spans="1:17">
      <c r="D82" s="168"/>
      <c r="G82" s="147"/>
      <c r="J82" s="58"/>
      <c r="P82" s="63"/>
    </row>
    <row r="83" spans="1:17">
      <c r="A83" s="79"/>
      <c r="B83" s="174"/>
      <c r="C83" s="83" t="s">
        <v>91</v>
      </c>
      <c r="D83" s="169"/>
      <c r="E83" s="79"/>
      <c r="F83" s="79"/>
      <c r="G83" s="148"/>
      <c r="H83" s="79"/>
      <c r="I83" s="81"/>
      <c r="J83" s="82"/>
      <c r="K83" s="79"/>
      <c r="L83" s="79"/>
      <c r="M83" s="79"/>
      <c r="N83" s="79"/>
      <c r="O83" s="62"/>
      <c r="P83" s="106"/>
      <c r="Q83" s="62"/>
    </row>
    <row r="84" spans="1:17" s="62" customFormat="1">
      <c r="A84" s="187"/>
      <c r="B84" s="48"/>
      <c r="C84" s="110" t="s">
        <v>151</v>
      </c>
      <c r="D84" s="170">
        <v>0</v>
      </c>
      <c r="E84" s="72">
        <f>References!$B$7</f>
        <v>4.333333333333333</v>
      </c>
      <c r="F84" s="159">
        <f t="shared" ref="F84:F91" si="25">E84*12</f>
        <v>52</v>
      </c>
      <c r="G84" s="159">
        <f>References!B18</f>
        <v>117</v>
      </c>
      <c r="H84" s="159">
        <f t="shared" ref="H84:H91" si="26">F84*G84</f>
        <v>6084</v>
      </c>
      <c r="I84" s="160">
        <f>$D$121*H84</f>
        <v>4137.8774022060961</v>
      </c>
      <c r="J84" s="161">
        <f>(References!$C$49*I84)</f>
        <v>12.413632206618299</v>
      </c>
      <c r="K84" s="161">
        <f>J84/References!$G$52</f>
        <v>12.657607592972852</v>
      </c>
      <c r="L84" s="161">
        <f t="shared" ref="L84:L89" si="27">K84/F84*E84</f>
        <v>1.0548006327477375</v>
      </c>
      <c r="M84" s="95">
        <v>58.58</v>
      </c>
      <c r="N84" s="95">
        <f>+M84+L84</f>
        <v>59.634800632747734</v>
      </c>
      <c r="O84" s="161"/>
      <c r="P84" s="161"/>
      <c r="Q84" s="161"/>
    </row>
    <row r="85" spans="1:17" s="62" customFormat="1">
      <c r="A85" s="187"/>
      <c r="B85" s="48"/>
      <c r="C85" s="110" t="s">
        <v>152</v>
      </c>
      <c r="D85" s="170">
        <v>0</v>
      </c>
      <c r="E85" s="72">
        <f>References!$B$7</f>
        <v>4.333333333333333</v>
      </c>
      <c r="F85" s="159">
        <f t="shared" si="25"/>
        <v>52</v>
      </c>
      <c r="G85" s="159">
        <f>References!B19</f>
        <v>157</v>
      </c>
      <c r="H85" s="159">
        <f t="shared" si="26"/>
        <v>8164</v>
      </c>
      <c r="I85" s="160">
        <f>$D$121*H85</f>
        <v>5552.5363431312571</v>
      </c>
      <c r="J85" s="161">
        <f>(References!$C$49*I85)</f>
        <v>16.657609029393786</v>
      </c>
      <c r="K85" s="161">
        <f>J85/References!$G$52</f>
        <v>16.98499480424562</v>
      </c>
      <c r="L85" s="161">
        <f t="shared" si="27"/>
        <v>1.415416233687135</v>
      </c>
      <c r="M85" s="95">
        <v>64.39</v>
      </c>
      <c r="N85" s="95">
        <f t="shared" ref="N85:N92" si="28">+M85+L85</f>
        <v>65.80541623368714</v>
      </c>
      <c r="O85" s="161"/>
      <c r="P85" s="161"/>
      <c r="Q85" s="161"/>
    </row>
    <row r="86" spans="1:17" s="62" customFormat="1">
      <c r="A86" s="187"/>
      <c r="B86" s="48"/>
      <c r="C86" s="110" t="s">
        <v>101</v>
      </c>
      <c r="D86" s="170">
        <v>0</v>
      </c>
      <c r="E86" s="72">
        <f>References!B9</f>
        <v>1</v>
      </c>
      <c r="F86" s="159">
        <f t="shared" si="25"/>
        <v>12</v>
      </c>
      <c r="G86" s="159">
        <f>References!B14</f>
        <v>34</v>
      </c>
      <c r="H86" s="159">
        <f t="shared" si="26"/>
        <v>408</v>
      </c>
      <c r="I86" s="160">
        <f>$D$121*H86</f>
        <v>277.49079225839699</v>
      </c>
      <c r="J86" s="161">
        <f>(References!$C$49*I86)</f>
        <v>0.8324723767751917</v>
      </c>
      <c r="K86" s="161">
        <f>J86/References!$G$52</f>
        <v>0.84883364528812022</v>
      </c>
      <c r="L86" s="161">
        <f t="shared" si="27"/>
        <v>7.0736137107343347E-2</v>
      </c>
      <c r="M86" s="95">
        <v>8.56</v>
      </c>
      <c r="N86" s="95">
        <f t="shared" si="28"/>
        <v>8.630736137107343</v>
      </c>
      <c r="O86" s="161"/>
      <c r="P86" s="161"/>
      <c r="Q86" s="161"/>
    </row>
    <row r="87" spans="1:17" s="62" customFormat="1">
      <c r="A87" s="187"/>
      <c r="B87" s="48"/>
      <c r="C87" s="110" t="s">
        <v>102</v>
      </c>
      <c r="D87" s="170">
        <v>0</v>
      </c>
      <c r="E87" s="72">
        <f>References!C9</f>
        <v>2</v>
      </c>
      <c r="F87" s="159">
        <f t="shared" si="25"/>
        <v>24</v>
      </c>
      <c r="G87" s="159">
        <f>References!B14</f>
        <v>34</v>
      </c>
      <c r="H87" s="159">
        <f t="shared" si="26"/>
        <v>816</v>
      </c>
      <c r="I87" s="160">
        <f>$D$121*H87</f>
        <v>554.98158451679399</v>
      </c>
      <c r="J87" s="161">
        <f>(References!$C$49*I87)</f>
        <v>1.6649447535503834</v>
      </c>
      <c r="K87" s="161">
        <f>J87/References!$G$52</f>
        <v>1.6976672905762404</v>
      </c>
      <c r="L87" s="161">
        <f t="shared" si="27"/>
        <v>0.14147227421468669</v>
      </c>
      <c r="M87" s="95">
        <v>17.16</v>
      </c>
      <c r="N87" s="95">
        <f t="shared" si="28"/>
        <v>17.301472274214685</v>
      </c>
      <c r="O87" s="161"/>
      <c r="P87" s="161"/>
      <c r="Q87" s="161"/>
    </row>
    <row r="88" spans="1:17" s="62" customFormat="1">
      <c r="A88" s="175"/>
      <c r="B88" s="48"/>
      <c r="C88" s="110" t="s">
        <v>159</v>
      </c>
      <c r="D88" s="170">
        <v>0</v>
      </c>
      <c r="E88" s="72">
        <v>4.33</v>
      </c>
      <c r="F88" s="159">
        <f t="shared" si="25"/>
        <v>51.96</v>
      </c>
      <c r="G88" s="159">
        <f>+References!B17</f>
        <v>97</v>
      </c>
      <c r="H88" s="159">
        <f t="shared" si="26"/>
        <v>5040.12</v>
      </c>
      <c r="I88" s="160">
        <f t="shared" ref="I88:I89" si="29">$D$121*H88</f>
        <v>3427.9090487190974</v>
      </c>
      <c r="J88" s="161">
        <f>(References!$C$49*I88)</f>
        <v>10.283727146157302</v>
      </c>
      <c r="K88" s="161">
        <f>J88/References!$G$52</f>
        <v>10.485841745807747</v>
      </c>
      <c r="L88" s="161">
        <f t="shared" si="27"/>
        <v>0.87382014548397891</v>
      </c>
      <c r="M88" s="95">
        <v>55.07</v>
      </c>
      <c r="N88" s="95">
        <f t="shared" si="28"/>
        <v>55.943820145483983</v>
      </c>
      <c r="O88" s="161"/>
      <c r="P88" s="161"/>
      <c r="Q88" s="161"/>
    </row>
    <row r="89" spans="1:17" s="62" customFormat="1">
      <c r="A89" s="175"/>
      <c r="B89" s="48"/>
      <c r="C89" s="110" t="s">
        <v>160</v>
      </c>
      <c r="D89" s="170">
        <v>0</v>
      </c>
      <c r="E89" s="72">
        <v>4.33</v>
      </c>
      <c r="F89" s="159">
        <f t="shared" si="25"/>
        <v>51.96</v>
      </c>
      <c r="G89" s="159">
        <f>+References!B19</f>
        <v>157</v>
      </c>
      <c r="H89" s="159">
        <f t="shared" si="26"/>
        <v>8157.72</v>
      </c>
      <c r="I89" s="160">
        <f t="shared" si="29"/>
        <v>5548.265161328849</v>
      </c>
      <c r="J89" s="161">
        <f>(References!$C$49*I89)</f>
        <v>16.644795483986563</v>
      </c>
      <c r="K89" s="161">
        <f>J89/References!$G$52</f>
        <v>16.971929423626975</v>
      </c>
      <c r="L89" s="161">
        <f t="shared" si="27"/>
        <v>1.4143274519689146</v>
      </c>
      <c r="M89" s="95">
        <v>67.540000000000006</v>
      </c>
      <c r="N89" s="95">
        <f t="shared" si="28"/>
        <v>68.954327451968922</v>
      </c>
      <c r="O89" s="161"/>
      <c r="P89" s="161"/>
      <c r="Q89" s="161"/>
    </row>
    <row r="90" spans="1:17" s="62" customFormat="1">
      <c r="A90" s="175"/>
      <c r="B90" s="48"/>
      <c r="C90" s="110" t="s">
        <v>165</v>
      </c>
      <c r="D90" s="170">
        <v>0</v>
      </c>
      <c r="E90" s="72">
        <v>1</v>
      </c>
      <c r="F90" s="159">
        <f t="shared" si="25"/>
        <v>12</v>
      </c>
      <c r="G90" s="159">
        <f>+References!B20</f>
        <v>40</v>
      </c>
      <c r="H90" s="159">
        <f t="shared" si="26"/>
        <v>480</v>
      </c>
      <c r="I90" s="160">
        <f>$D$121*H90</f>
        <v>326.4597555981141</v>
      </c>
      <c r="J90" s="161">
        <f>(References!$C$49*I90)</f>
        <v>0.97937926679434317</v>
      </c>
      <c r="K90" s="161">
        <f>J90/References!$G$52</f>
        <v>0.99862781798602385</v>
      </c>
      <c r="L90" s="161">
        <f>K90/References!$G$52</f>
        <v>1.0182546768829426</v>
      </c>
      <c r="M90" s="161">
        <v>10.66</v>
      </c>
      <c r="N90" s="95">
        <f t="shared" si="28"/>
        <v>11.678254676882943</v>
      </c>
      <c r="O90" s="161"/>
      <c r="P90" s="161"/>
      <c r="Q90" s="161"/>
    </row>
    <row r="91" spans="1:17" s="62" customFormat="1">
      <c r="A91" s="175"/>
      <c r="B91" s="48"/>
      <c r="C91" s="110" t="s">
        <v>161</v>
      </c>
      <c r="D91" s="170"/>
      <c r="E91" s="72">
        <v>1</v>
      </c>
      <c r="F91" s="159">
        <f t="shared" si="25"/>
        <v>12</v>
      </c>
      <c r="G91" s="159">
        <f>References!B14</f>
        <v>34</v>
      </c>
      <c r="H91" s="159">
        <f t="shared" si="26"/>
        <v>408</v>
      </c>
      <c r="I91" s="160">
        <f>$D$121*H91</f>
        <v>277.49079225839699</v>
      </c>
      <c r="J91" s="161">
        <f>(References!$C$49*I91)</f>
        <v>0.8324723767751917</v>
      </c>
      <c r="K91" s="161">
        <f>J91/References!$G$52</f>
        <v>0.84883364528812022</v>
      </c>
      <c r="L91" s="161">
        <f>K91/References!$G$52</f>
        <v>0.86551647535050114</v>
      </c>
      <c r="M91" s="161">
        <v>16.21</v>
      </c>
      <c r="N91" s="95">
        <f t="shared" si="28"/>
        <v>17.075516475350501</v>
      </c>
      <c r="O91" s="161"/>
      <c r="P91" s="161"/>
      <c r="Q91" s="161"/>
    </row>
    <row r="92" spans="1:17" s="62" customFormat="1">
      <c r="A92" s="175"/>
      <c r="B92" s="48"/>
      <c r="C92" s="142" t="s">
        <v>99</v>
      </c>
      <c r="D92" s="170">
        <v>0</v>
      </c>
      <c r="E92" s="72">
        <f>References!B9</f>
        <v>1</v>
      </c>
      <c r="F92" s="159">
        <f>E92*12</f>
        <v>12</v>
      </c>
      <c r="G92" s="159">
        <f>References!B24</f>
        <v>34</v>
      </c>
      <c r="H92" s="159">
        <f>F92*G92</f>
        <v>408</v>
      </c>
      <c r="I92" s="160">
        <f>$D$121*H92</f>
        <v>277.49079225839699</v>
      </c>
      <c r="J92" s="161">
        <f>(References!$C$49*I92)</f>
        <v>0.8324723767751917</v>
      </c>
      <c r="K92" s="161">
        <f>J92/References!$G$52</f>
        <v>0.84883364528812022</v>
      </c>
      <c r="L92" s="161">
        <f>K92/F92*E92</f>
        <v>7.0736137107343347E-2</v>
      </c>
      <c r="M92" s="95">
        <v>5.41</v>
      </c>
      <c r="N92" s="95">
        <f t="shared" si="28"/>
        <v>5.4807361371073435</v>
      </c>
      <c r="O92" s="161"/>
      <c r="P92" s="161"/>
      <c r="Q92" s="161"/>
    </row>
    <row r="93" spans="1:17" s="62" customFormat="1">
      <c r="A93" s="175"/>
      <c r="B93" s="48"/>
      <c r="C93" s="113"/>
      <c r="D93" s="170"/>
      <c r="E93" s="72"/>
      <c r="F93" s="159"/>
      <c r="G93" s="159"/>
      <c r="H93" s="159"/>
      <c r="I93" s="160"/>
      <c r="J93" s="161"/>
      <c r="K93" s="161"/>
      <c r="L93" s="161"/>
      <c r="M93" s="95"/>
      <c r="N93" s="95"/>
      <c r="O93" s="161"/>
      <c r="P93" s="161"/>
      <c r="Q93" s="161"/>
    </row>
    <row r="94" spans="1:17" s="62" customFormat="1">
      <c r="A94" s="132"/>
      <c r="B94" s="133"/>
      <c r="C94" s="113"/>
      <c r="D94" s="171"/>
      <c r="E94" s="134"/>
      <c r="F94" s="135"/>
      <c r="G94" s="135"/>
      <c r="H94" s="135"/>
      <c r="I94" s="136"/>
      <c r="J94" s="137"/>
      <c r="K94" s="137"/>
      <c r="L94" s="137"/>
      <c r="M94" s="138"/>
      <c r="N94" s="138"/>
      <c r="O94" s="161"/>
      <c r="P94" s="161"/>
      <c r="Q94" s="161"/>
    </row>
    <row r="95" spans="1:17" s="62" customFormat="1">
      <c r="A95" s="187"/>
      <c r="B95" s="48"/>
      <c r="C95" s="110" t="s">
        <v>103</v>
      </c>
      <c r="D95" s="166">
        <v>0</v>
      </c>
      <c r="E95" s="72">
        <f>References!$B$9</f>
        <v>1</v>
      </c>
      <c r="F95" s="159">
        <f>E95*12</f>
        <v>12</v>
      </c>
      <c r="G95" s="159">
        <f>References!B42</f>
        <v>125</v>
      </c>
      <c r="H95" s="159">
        <f>F95*G95</f>
        <v>1500</v>
      </c>
      <c r="I95" s="160">
        <f>$D$121*H95</f>
        <v>1020.1867362441066</v>
      </c>
      <c r="J95" s="161">
        <f>(References!$C$49*I95)</f>
        <v>3.0605602087323223</v>
      </c>
      <c r="K95" s="161">
        <f>J95/References!$G$52</f>
        <v>3.1207119312063245</v>
      </c>
      <c r="L95" s="161">
        <f>K95/F95</f>
        <v>0.26005932760052702</v>
      </c>
      <c r="M95" s="161">
        <v>23.71</v>
      </c>
      <c r="N95" s="95">
        <f t="shared" ref="N95:N110" si="30">+M95+L95</f>
        <v>23.970059327600527</v>
      </c>
      <c r="O95" s="161"/>
      <c r="P95" s="161"/>
      <c r="Q95" s="161"/>
    </row>
    <row r="96" spans="1:17" s="62" customFormat="1">
      <c r="A96" s="187"/>
      <c r="B96" s="48"/>
      <c r="C96" s="110" t="s">
        <v>104</v>
      </c>
      <c r="D96" s="166">
        <v>0</v>
      </c>
      <c r="E96" s="72">
        <f>References!$B$9</f>
        <v>1</v>
      </c>
      <c r="F96" s="159">
        <f>E96*12</f>
        <v>12</v>
      </c>
      <c r="G96" s="159">
        <f>References!B42</f>
        <v>125</v>
      </c>
      <c r="H96" s="159">
        <f>F96*G96</f>
        <v>1500</v>
      </c>
      <c r="I96" s="160">
        <f>$D$121*H96</f>
        <v>1020.1867362441066</v>
      </c>
      <c r="J96" s="161">
        <f>(References!$C$49*I96)</f>
        <v>3.0605602087323223</v>
      </c>
      <c r="K96" s="161">
        <f>J96/References!$G$52</f>
        <v>3.1207119312063245</v>
      </c>
      <c r="L96" s="161">
        <f>K96/F96</f>
        <v>0.26005932760052702</v>
      </c>
      <c r="M96" s="161">
        <v>25.84</v>
      </c>
      <c r="N96" s="95">
        <f t="shared" si="30"/>
        <v>26.100059327600526</v>
      </c>
      <c r="O96" s="161"/>
      <c r="P96" s="161"/>
      <c r="Q96" s="161"/>
    </row>
    <row r="97" spans="1:17" s="62" customFormat="1">
      <c r="A97" s="187"/>
      <c r="B97" s="48"/>
      <c r="C97" s="150" t="s">
        <v>107</v>
      </c>
      <c r="D97" s="166">
        <v>0</v>
      </c>
      <c r="E97" s="72">
        <f>References!$B$9</f>
        <v>1</v>
      </c>
      <c r="F97" s="159">
        <f t="shared" ref="F97:F106" si="31">E97*12</f>
        <v>12</v>
      </c>
      <c r="G97" s="159">
        <f>+References!B27</f>
        <v>175</v>
      </c>
      <c r="H97" s="112">
        <f t="shared" ref="H97:H108" si="32">F97*G97</f>
        <v>2100</v>
      </c>
      <c r="I97" s="160">
        <f t="shared" ref="I97:I108" si="33">$D$121*H97</f>
        <v>1428.2614307417493</v>
      </c>
      <c r="J97" s="161">
        <f>(References!$C$49*I97)</f>
        <v>4.2847842922252521</v>
      </c>
      <c r="K97" s="161">
        <f>J97/References!$G$52</f>
        <v>4.3689967036888548</v>
      </c>
      <c r="L97" s="161">
        <f t="shared" ref="L97:L108" si="34">K97/F97</f>
        <v>0.36408305864073792</v>
      </c>
      <c r="M97" s="161">
        <v>21.01</v>
      </c>
      <c r="N97" s="95">
        <f t="shared" si="30"/>
        <v>21.374083058640739</v>
      </c>
      <c r="O97" s="161"/>
      <c r="P97" s="161"/>
      <c r="Q97" s="161"/>
    </row>
    <row r="98" spans="1:17" s="62" customFormat="1">
      <c r="A98" s="187"/>
      <c r="B98" s="48"/>
      <c r="C98" s="150" t="s">
        <v>162</v>
      </c>
      <c r="D98" s="166">
        <v>0</v>
      </c>
      <c r="E98" s="72">
        <f>References!$B$9</f>
        <v>1</v>
      </c>
      <c r="F98" s="159">
        <f t="shared" si="31"/>
        <v>12</v>
      </c>
      <c r="G98" s="159">
        <f>References!B27</f>
        <v>175</v>
      </c>
      <c r="H98" s="112">
        <f t="shared" si="32"/>
        <v>2100</v>
      </c>
      <c r="I98" s="160">
        <f t="shared" si="33"/>
        <v>1428.2614307417493</v>
      </c>
      <c r="J98" s="161">
        <f>(References!$C$49*I98)</f>
        <v>4.2847842922252521</v>
      </c>
      <c r="K98" s="161">
        <f>J98/References!$G$52</f>
        <v>4.3689967036888548</v>
      </c>
      <c r="L98" s="161">
        <f t="shared" si="34"/>
        <v>0.36408305864073792</v>
      </c>
      <c r="M98" s="161">
        <v>43.1</v>
      </c>
      <c r="N98" s="95">
        <f t="shared" si="30"/>
        <v>43.464083058640739</v>
      </c>
      <c r="O98" s="161"/>
      <c r="P98" s="161"/>
      <c r="Q98" s="161"/>
    </row>
    <row r="99" spans="1:17" s="62" customFormat="1">
      <c r="A99" s="187"/>
      <c r="B99" s="48"/>
      <c r="C99" s="150" t="s">
        <v>110</v>
      </c>
      <c r="D99" s="166">
        <v>0</v>
      </c>
      <c r="E99" s="72">
        <f>References!$B$9</f>
        <v>1</v>
      </c>
      <c r="F99" s="159">
        <f t="shared" si="31"/>
        <v>12</v>
      </c>
      <c r="G99" s="159">
        <f>References!B28</f>
        <v>250</v>
      </c>
      <c r="H99" s="112">
        <f t="shared" si="32"/>
        <v>3000</v>
      </c>
      <c r="I99" s="160">
        <f t="shared" si="33"/>
        <v>2040.3734724882131</v>
      </c>
      <c r="J99" s="161">
        <f>(References!$C$49*I99)</f>
        <v>6.1211204174646445</v>
      </c>
      <c r="K99" s="161">
        <f>J99/References!$G$52</f>
        <v>6.241423862412649</v>
      </c>
      <c r="L99" s="161">
        <f t="shared" si="34"/>
        <v>0.52011865520105405</v>
      </c>
      <c r="M99" s="161">
        <v>29.27</v>
      </c>
      <c r="N99" s="95">
        <f t="shared" si="30"/>
        <v>29.790118655201052</v>
      </c>
      <c r="O99" s="161"/>
      <c r="P99" s="161"/>
      <c r="Q99" s="161"/>
    </row>
    <row r="100" spans="1:17" s="62" customFormat="1">
      <c r="A100" s="187"/>
      <c r="B100" s="48"/>
      <c r="C100" s="150" t="s">
        <v>111</v>
      </c>
      <c r="D100" s="166">
        <v>0</v>
      </c>
      <c r="E100" s="72">
        <f>References!$B$9</f>
        <v>1</v>
      </c>
      <c r="F100" s="159">
        <f t="shared" si="31"/>
        <v>12</v>
      </c>
      <c r="G100" s="159">
        <f>References!B28</f>
        <v>250</v>
      </c>
      <c r="H100" s="112">
        <f t="shared" si="32"/>
        <v>3000</v>
      </c>
      <c r="I100" s="160">
        <f t="shared" si="33"/>
        <v>2040.3734724882131</v>
      </c>
      <c r="J100" s="161">
        <f>(References!$C$49*I100)</f>
        <v>6.1211204174646445</v>
      </c>
      <c r="K100" s="161">
        <f>J100/References!$G$52</f>
        <v>6.241423862412649</v>
      </c>
      <c r="L100" s="161">
        <f t="shared" si="34"/>
        <v>0.52011865520105405</v>
      </c>
      <c r="M100" s="161">
        <v>60.24</v>
      </c>
      <c r="N100" s="95">
        <f t="shared" si="30"/>
        <v>60.760118655201055</v>
      </c>
      <c r="O100" s="161"/>
      <c r="P100" s="161"/>
      <c r="Q100" s="161"/>
    </row>
    <row r="101" spans="1:17" s="62" customFormat="1">
      <c r="A101" s="187"/>
      <c r="B101" s="48"/>
      <c r="C101" s="45" t="s">
        <v>114</v>
      </c>
      <c r="D101" s="166">
        <v>0</v>
      </c>
      <c r="E101" s="72">
        <f>References!$B$9</f>
        <v>1</v>
      </c>
      <c r="F101" s="159">
        <f t="shared" si="31"/>
        <v>12</v>
      </c>
      <c r="G101" s="159">
        <f>References!B29</f>
        <v>324</v>
      </c>
      <c r="H101" s="112">
        <f t="shared" si="32"/>
        <v>3888</v>
      </c>
      <c r="I101" s="160">
        <f t="shared" si="33"/>
        <v>2644.3240203447244</v>
      </c>
      <c r="J101" s="161">
        <f>(References!$C$49*I101)</f>
        <v>7.9329720610341807</v>
      </c>
      <c r="K101" s="161">
        <f>J101/References!$G$52</f>
        <v>8.0888853256867943</v>
      </c>
      <c r="L101" s="161">
        <f t="shared" si="34"/>
        <v>0.67407377714056615</v>
      </c>
      <c r="M101" s="161">
        <v>35.409999999999997</v>
      </c>
      <c r="N101" s="95">
        <f t="shared" si="30"/>
        <v>36.08407377714056</v>
      </c>
      <c r="O101" s="161"/>
      <c r="P101" s="161"/>
      <c r="Q101" s="161"/>
    </row>
    <row r="102" spans="1:17" s="62" customFormat="1">
      <c r="A102" s="187"/>
      <c r="B102" s="48"/>
      <c r="C102" s="45" t="s">
        <v>115</v>
      </c>
      <c r="D102" s="166">
        <v>0</v>
      </c>
      <c r="E102" s="72">
        <f>References!$B$9</f>
        <v>1</v>
      </c>
      <c r="F102" s="159">
        <f t="shared" si="31"/>
        <v>12</v>
      </c>
      <c r="G102" s="159">
        <f>References!B29</f>
        <v>324</v>
      </c>
      <c r="H102" s="112">
        <f t="shared" si="32"/>
        <v>3888</v>
      </c>
      <c r="I102" s="160">
        <f t="shared" si="33"/>
        <v>2644.3240203447244</v>
      </c>
      <c r="J102" s="161">
        <f>(References!$C$49*I102)</f>
        <v>7.9329720610341807</v>
      </c>
      <c r="K102" s="161">
        <f>J102/References!$G$52</f>
        <v>8.0888853256867943</v>
      </c>
      <c r="L102" s="161">
        <f t="shared" si="34"/>
        <v>0.67407377714056615</v>
      </c>
      <c r="M102" s="161">
        <v>66.86</v>
      </c>
      <c r="N102" s="95">
        <f t="shared" si="30"/>
        <v>67.534073777140563</v>
      </c>
      <c r="O102" s="161"/>
      <c r="P102" s="161"/>
      <c r="Q102" s="161"/>
    </row>
    <row r="103" spans="1:17" s="62" customFormat="1">
      <c r="A103" s="187"/>
      <c r="B103" s="48"/>
      <c r="C103" s="45" t="s">
        <v>118</v>
      </c>
      <c r="D103" s="166">
        <v>0</v>
      </c>
      <c r="E103" s="72">
        <f>References!$B$9</f>
        <v>1</v>
      </c>
      <c r="F103" s="159">
        <f t="shared" si="31"/>
        <v>12</v>
      </c>
      <c r="G103" s="159">
        <f>+References!B31</f>
        <v>613</v>
      </c>
      <c r="H103" s="112">
        <f t="shared" si="32"/>
        <v>7356</v>
      </c>
      <c r="I103" s="160">
        <f t="shared" si="33"/>
        <v>5002.9957545410989</v>
      </c>
      <c r="J103" s="161">
        <f>(References!$C$49*I103)</f>
        <v>15.008987263623309</v>
      </c>
      <c r="K103" s="161">
        <f>J103/References!$G$52</f>
        <v>15.303971310635815</v>
      </c>
      <c r="L103" s="161">
        <f t="shared" si="34"/>
        <v>1.2753309425529846</v>
      </c>
      <c r="M103" s="161">
        <v>65.16</v>
      </c>
      <c r="N103" s="95">
        <f t="shared" si="30"/>
        <v>66.43533094255298</v>
      </c>
      <c r="O103" s="161"/>
      <c r="P103" s="161"/>
      <c r="Q103" s="161"/>
    </row>
    <row r="104" spans="1:17" s="62" customFormat="1">
      <c r="A104" s="175"/>
      <c r="B104" s="48"/>
      <c r="C104" s="45" t="s">
        <v>163</v>
      </c>
      <c r="D104" s="166">
        <v>0</v>
      </c>
      <c r="E104" s="72">
        <f>References!$B$9</f>
        <v>1</v>
      </c>
      <c r="F104" s="159">
        <f t="shared" si="31"/>
        <v>12</v>
      </c>
      <c r="G104" s="159">
        <f>References!B31</f>
        <v>613</v>
      </c>
      <c r="H104" s="112">
        <f t="shared" si="32"/>
        <v>7356</v>
      </c>
      <c r="I104" s="160">
        <f t="shared" si="33"/>
        <v>5002.9957545410989</v>
      </c>
      <c r="J104" s="161">
        <f>(References!$C$49*I104)</f>
        <v>15.008987263623309</v>
      </c>
      <c r="K104" s="161">
        <f>J104/References!$G$52</f>
        <v>15.303971310635815</v>
      </c>
      <c r="L104" s="161">
        <f t="shared" si="34"/>
        <v>1.2753309425529846</v>
      </c>
      <c r="M104" s="161">
        <v>99.38</v>
      </c>
      <c r="N104" s="95">
        <f t="shared" si="30"/>
        <v>100.65533094255298</v>
      </c>
      <c r="O104" s="161"/>
      <c r="P104" s="161"/>
      <c r="Q104" s="161"/>
    </row>
    <row r="105" spans="1:17" s="62" customFormat="1">
      <c r="A105" s="175"/>
      <c r="B105" s="48"/>
      <c r="C105" s="45" t="s">
        <v>121</v>
      </c>
      <c r="D105" s="166">
        <v>0</v>
      </c>
      <c r="E105" s="72">
        <f>References!$B$9</f>
        <v>1</v>
      </c>
      <c r="F105" s="159">
        <f t="shared" si="31"/>
        <v>12</v>
      </c>
      <c r="G105" s="159">
        <f>+References!B32</f>
        <v>840</v>
      </c>
      <c r="H105" s="112">
        <f t="shared" si="32"/>
        <v>10080</v>
      </c>
      <c r="I105" s="160">
        <f t="shared" si="33"/>
        <v>6855.6548675603963</v>
      </c>
      <c r="J105" s="161">
        <f>(References!$C$49*I105)</f>
        <v>20.566964602681207</v>
      </c>
      <c r="K105" s="161">
        <f>J105/References!$G$52</f>
        <v>20.971184177706501</v>
      </c>
      <c r="L105" s="161">
        <f t="shared" si="34"/>
        <v>1.7475986814755418</v>
      </c>
      <c r="M105" s="161">
        <v>94.14</v>
      </c>
      <c r="N105" s="95">
        <f t="shared" si="30"/>
        <v>95.887598681475538</v>
      </c>
      <c r="O105" s="161"/>
      <c r="P105" s="161"/>
      <c r="Q105" s="161"/>
    </row>
    <row r="106" spans="1:17" s="62" customFormat="1">
      <c r="A106" s="175"/>
      <c r="B106" s="48"/>
      <c r="C106" s="45" t="s">
        <v>164</v>
      </c>
      <c r="D106" s="166">
        <v>0</v>
      </c>
      <c r="E106" s="72">
        <f>References!$B$9</f>
        <v>1</v>
      </c>
      <c r="F106" s="159">
        <f t="shared" si="31"/>
        <v>12</v>
      </c>
      <c r="G106" s="159">
        <f>References!B32</f>
        <v>840</v>
      </c>
      <c r="H106" s="112">
        <f t="shared" si="32"/>
        <v>10080</v>
      </c>
      <c r="I106" s="160">
        <f t="shared" si="33"/>
        <v>6855.6548675603963</v>
      </c>
      <c r="J106" s="161">
        <f>(References!$C$49*I106)</f>
        <v>20.566964602681207</v>
      </c>
      <c r="K106" s="161">
        <f>J106/References!$G$52</f>
        <v>20.971184177706501</v>
      </c>
      <c r="L106" s="161">
        <f t="shared" si="34"/>
        <v>1.7475986814755418</v>
      </c>
      <c r="M106" s="161">
        <v>148.16999999999999</v>
      </c>
      <c r="N106" s="95">
        <f t="shared" si="30"/>
        <v>149.91759868147554</v>
      </c>
      <c r="O106" s="161"/>
      <c r="P106" s="161"/>
      <c r="Q106" s="161"/>
    </row>
    <row r="107" spans="1:17" s="62" customFormat="1">
      <c r="A107" s="181"/>
      <c r="B107" s="48"/>
      <c r="C107" s="45" t="s">
        <v>173</v>
      </c>
      <c r="D107" s="166">
        <v>0</v>
      </c>
      <c r="E107" s="72">
        <f>References!$B$9</f>
        <v>1</v>
      </c>
      <c r="F107" s="159">
        <f t="shared" ref="F107:F108" si="35">E107*12</f>
        <v>12</v>
      </c>
      <c r="G107" s="159">
        <f>References!B26</f>
        <v>29</v>
      </c>
      <c r="H107" s="112">
        <f t="shared" si="32"/>
        <v>348</v>
      </c>
      <c r="I107" s="160">
        <f t="shared" si="33"/>
        <v>236.68332280863274</v>
      </c>
      <c r="J107" s="161">
        <f>(References!$C$49*I107)</f>
        <v>0.71004996842589885</v>
      </c>
      <c r="K107" s="161">
        <f>J107/References!$G$52</f>
        <v>0.72400516803986736</v>
      </c>
      <c r="L107" s="161">
        <f t="shared" si="34"/>
        <v>6.0333764003322278E-2</v>
      </c>
      <c r="M107" s="161">
        <v>5.85</v>
      </c>
      <c r="N107" s="95">
        <f t="shared" si="30"/>
        <v>5.9103337640033216</v>
      </c>
      <c r="O107" s="161"/>
      <c r="P107" s="161"/>
      <c r="Q107" s="161"/>
    </row>
    <row r="108" spans="1:17" s="62" customFormat="1">
      <c r="A108" s="181"/>
      <c r="B108" s="48"/>
      <c r="C108" s="45" t="s">
        <v>174</v>
      </c>
      <c r="D108" s="166">
        <v>0</v>
      </c>
      <c r="E108" s="72">
        <f>References!$B$9</f>
        <v>1</v>
      </c>
      <c r="F108" s="159">
        <f t="shared" si="35"/>
        <v>12</v>
      </c>
      <c r="G108" s="159">
        <f>References!B20</f>
        <v>40</v>
      </c>
      <c r="H108" s="112">
        <f t="shared" si="32"/>
        <v>480</v>
      </c>
      <c r="I108" s="160">
        <f t="shared" si="33"/>
        <v>326.4597555981141</v>
      </c>
      <c r="J108" s="161">
        <f>(References!$C$49*I108)</f>
        <v>0.97937926679434317</v>
      </c>
      <c r="K108" s="161">
        <f>J108/References!$G$52</f>
        <v>0.99862781798602385</v>
      </c>
      <c r="L108" s="161">
        <f t="shared" si="34"/>
        <v>8.3218984832168649E-2</v>
      </c>
      <c r="M108" s="161">
        <v>8.56</v>
      </c>
      <c r="N108" s="95">
        <f t="shared" si="30"/>
        <v>8.6432189848321688</v>
      </c>
      <c r="O108" s="161"/>
      <c r="P108" s="161"/>
      <c r="Q108" s="161"/>
    </row>
    <row r="109" spans="1:17" s="62" customFormat="1">
      <c r="A109" s="175"/>
      <c r="B109" s="48"/>
      <c r="C109" s="195" t="s">
        <v>176</v>
      </c>
      <c r="D109" s="166">
        <v>1</v>
      </c>
      <c r="E109" s="72">
        <f>References!$B$9</f>
        <v>1</v>
      </c>
      <c r="F109" s="159">
        <f t="shared" ref="F109:F110" si="36">E109*12</f>
        <v>12</v>
      </c>
      <c r="G109" s="159">
        <f>References!B26</f>
        <v>29</v>
      </c>
      <c r="H109" s="112">
        <f t="shared" ref="H109:H110" si="37">F109*G109</f>
        <v>348</v>
      </c>
      <c r="I109" s="160">
        <f t="shared" ref="I109:I110" si="38">$D$121*H109</f>
        <v>236.68332280863274</v>
      </c>
      <c r="J109" s="161">
        <f>(References!$C$49*I109)</f>
        <v>0.71004996842589885</v>
      </c>
      <c r="K109" s="161">
        <f>J109/References!$G$52</f>
        <v>0.72400516803986736</v>
      </c>
      <c r="L109" s="161">
        <f t="shared" ref="L109:L110" si="39">K109/F109</f>
        <v>6.0333764003322278E-2</v>
      </c>
      <c r="M109" s="161">
        <v>6.2</v>
      </c>
      <c r="N109" s="95">
        <f t="shared" si="30"/>
        <v>6.2603337640033221</v>
      </c>
      <c r="O109" s="161"/>
      <c r="P109" s="161"/>
      <c r="Q109" s="161"/>
    </row>
    <row r="110" spans="1:17" s="62" customFormat="1">
      <c r="A110" s="181"/>
      <c r="B110" s="48"/>
      <c r="C110" s="195" t="s">
        <v>175</v>
      </c>
      <c r="D110" s="166">
        <v>2</v>
      </c>
      <c r="E110" s="72">
        <f>References!$B$9</f>
        <v>1</v>
      </c>
      <c r="F110" s="159">
        <f t="shared" si="36"/>
        <v>12</v>
      </c>
      <c r="G110" s="159">
        <f>References!B20</f>
        <v>40</v>
      </c>
      <c r="H110" s="112">
        <f t="shared" si="37"/>
        <v>480</v>
      </c>
      <c r="I110" s="160">
        <f t="shared" si="38"/>
        <v>326.4597555981141</v>
      </c>
      <c r="J110" s="161">
        <f>(References!$C$49*I110)</f>
        <v>0.97937926679434317</v>
      </c>
      <c r="K110" s="161">
        <f>J110/References!$G$52</f>
        <v>0.99862781798602385</v>
      </c>
      <c r="L110" s="161">
        <f t="shared" si="39"/>
        <v>8.3218984832168649E-2</v>
      </c>
      <c r="M110" s="161">
        <v>9.67</v>
      </c>
      <c r="N110" s="95">
        <f t="shared" si="30"/>
        <v>9.7532189848321682</v>
      </c>
      <c r="O110" s="161"/>
      <c r="P110" s="161"/>
      <c r="Q110" s="161"/>
    </row>
    <row r="111" spans="1:17" s="62" customFormat="1">
      <c r="A111" s="181"/>
      <c r="B111" s="48"/>
      <c r="C111" s="195" t="s">
        <v>177</v>
      </c>
      <c r="D111" s="166"/>
      <c r="E111" s="72"/>
      <c r="F111" s="159"/>
      <c r="G111" s="159"/>
      <c r="H111" s="112"/>
      <c r="I111" s="160"/>
      <c r="J111" s="161"/>
      <c r="K111" s="161"/>
      <c r="L111" s="161"/>
      <c r="M111" s="161"/>
      <c r="N111" s="161"/>
      <c r="O111" s="161" t="s">
        <v>179</v>
      </c>
      <c r="P111" s="161"/>
      <c r="Q111" s="161"/>
    </row>
    <row r="112" spans="1:17" s="62" customFormat="1">
      <c r="A112" s="181"/>
      <c r="B112" s="48"/>
      <c r="C112" s="195" t="s">
        <v>178</v>
      </c>
      <c r="D112" s="166"/>
      <c r="E112" s="72"/>
      <c r="F112" s="159"/>
      <c r="G112" s="159"/>
      <c r="H112" s="112"/>
      <c r="I112" s="160"/>
      <c r="J112" s="161"/>
      <c r="K112" s="161"/>
      <c r="L112" s="161"/>
      <c r="M112" s="161"/>
      <c r="N112" s="161"/>
      <c r="O112" s="161" t="s">
        <v>179</v>
      </c>
      <c r="P112" s="161"/>
      <c r="Q112" s="161"/>
    </row>
    <row r="113" spans="1:17" s="62" customFormat="1">
      <c r="A113" s="119"/>
      <c r="B113" s="111"/>
      <c r="C113" s="113"/>
      <c r="D113" s="13"/>
      <c r="E113" s="108"/>
      <c r="F113" s="84"/>
      <c r="G113" s="84"/>
      <c r="H113" s="84"/>
      <c r="I113" s="109"/>
      <c r="J113" s="94"/>
      <c r="K113" s="94"/>
      <c r="L113" s="94"/>
      <c r="M113" s="94"/>
      <c r="N113" s="94"/>
      <c r="O113" s="161"/>
      <c r="P113" s="161"/>
      <c r="Q113" s="161"/>
    </row>
    <row r="114" spans="1:17">
      <c r="A114" s="65"/>
      <c r="C114" s="90"/>
      <c r="D114" s="39"/>
      <c r="E114" s="32"/>
      <c r="F114" s="59"/>
      <c r="G114" s="159"/>
      <c r="H114" s="59"/>
      <c r="J114" s="161"/>
      <c r="K114" s="95"/>
      <c r="L114" s="95"/>
      <c r="M114" s="95"/>
      <c r="N114" s="95"/>
      <c r="P114" s="63"/>
    </row>
    <row r="115" spans="1:17">
      <c r="A115" s="65"/>
      <c r="C115" s="68"/>
      <c r="P115" s="63"/>
    </row>
    <row r="116" spans="1:17">
      <c r="A116" s="65"/>
      <c r="C116" s="189" t="s">
        <v>86</v>
      </c>
      <c r="D116" s="189"/>
      <c r="E116" s="89"/>
      <c r="F116" s="89"/>
      <c r="H116" s="93" t="s">
        <v>94</v>
      </c>
    </row>
    <row r="117" spans="1:17">
      <c r="A117" s="65"/>
      <c r="D117" s="57" t="s">
        <v>16</v>
      </c>
      <c r="E117" s="38"/>
      <c r="F117" s="38"/>
      <c r="H117" s="91" t="s">
        <v>100</v>
      </c>
      <c r="J117" s="42"/>
      <c r="O117" s="61"/>
    </row>
    <row r="118" spans="1:17">
      <c r="A118" s="65"/>
      <c r="C118" s="60" t="s">
        <v>32</v>
      </c>
      <c r="D118" s="69">
        <v>1446.45</v>
      </c>
      <c r="E118" s="59"/>
      <c r="F118" s="59"/>
      <c r="G118" s="46"/>
      <c r="H118" s="92" t="s">
        <v>95</v>
      </c>
      <c r="J118" s="42"/>
      <c r="O118" s="61"/>
    </row>
    <row r="119" spans="1:17">
      <c r="A119" s="65"/>
      <c r="C119" s="60" t="s">
        <v>33</v>
      </c>
      <c r="D119" s="37">
        <f>D118*2000</f>
        <v>2892900</v>
      </c>
      <c r="E119" s="37"/>
      <c r="F119" s="37"/>
      <c r="G119" s="37"/>
      <c r="H119" s="117" t="s">
        <v>96</v>
      </c>
      <c r="J119" s="42"/>
    </row>
    <row r="120" spans="1:17">
      <c r="A120" s="65"/>
      <c r="C120" s="60" t="s">
        <v>4</v>
      </c>
      <c r="D120" s="37">
        <f>F18+F79</f>
        <v>45090</v>
      </c>
      <c r="E120" s="59"/>
      <c r="F120" s="59"/>
      <c r="G120" s="59"/>
      <c r="H120" s="118" t="s">
        <v>97</v>
      </c>
      <c r="J120" s="42"/>
      <c r="O120" s="61"/>
    </row>
    <row r="121" spans="1:17">
      <c r="C121" s="43" t="s">
        <v>11</v>
      </c>
      <c r="D121" s="36">
        <f>D119/$H$80</f>
        <v>0.6801244908294044</v>
      </c>
      <c r="E121" s="36"/>
      <c r="F121" s="36"/>
      <c r="G121" s="36"/>
      <c r="H121" s="31"/>
      <c r="J121" s="42"/>
      <c r="M121" s="41"/>
      <c r="N121" s="41"/>
      <c r="O121" s="40"/>
    </row>
    <row r="122" spans="1:17">
      <c r="G122" s="45"/>
      <c r="H122" s="33"/>
      <c r="J122" s="42"/>
      <c r="M122" s="44"/>
      <c r="N122" s="44"/>
      <c r="O122" s="63"/>
    </row>
    <row r="123" spans="1:17">
      <c r="D123" s="35"/>
      <c r="E123" s="34"/>
      <c r="G123" s="45"/>
      <c r="H123" s="33"/>
      <c r="J123" s="42"/>
      <c r="M123" s="44"/>
      <c r="N123" s="44"/>
      <c r="O123" s="63"/>
    </row>
    <row r="124" spans="1:17">
      <c r="D124" s="35"/>
      <c r="E124" s="34"/>
      <c r="G124" s="45"/>
      <c r="H124" s="33"/>
      <c r="J124" s="42"/>
      <c r="M124" s="44"/>
      <c r="N124" s="44"/>
      <c r="O124" s="63"/>
    </row>
    <row r="125" spans="1:17">
      <c r="D125" s="60"/>
      <c r="I125" s="60"/>
    </row>
    <row r="126" spans="1:17">
      <c r="D126" s="60"/>
      <c r="E126" s="42"/>
      <c r="I126" s="60"/>
    </row>
    <row r="127" spans="1:17">
      <c r="D127" s="60"/>
      <c r="I127" s="60"/>
    </row>
    <row r="128" spans="1:17">
      <c r="D128" s="60"/>
      <c r="I128" s="60"/>
    </row>
    <row r="129" spans="4:4">
      <c r="D129" s="60"/>
    </row>
  </sheetData>
  <mergeCells count="5">
    <mergeCell ref="A2:A17"/>
    <mergeCell ref="A19:A42"/>
    <mergeCell ref="A84:A87"/>
    <mergeCell ref="A95:A103"/>
    <mergeCell ref="C116:D116"/>
  </mergeCells>
  <pageMargins left="0.25" right="0.25" top="0.5" bottom="0.5" header="0.3" footer="0.3"/>
  <pageSetup paperSize="3" scale="75" fitToHeight="0" orientation="landscape" r:id="rId1"/>
  <headerFooter>
    <oddHeader>&amp;CExcess Disposal - Rate calculation model</oddHeader>
    <oddFooter>&amp;RPage &amp;P of &amp;N</oddFooter>
  </headerFooter>
  <rowBreaks count="1" manualBreakCount="1">
    <brk id="5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9"/>
  <sheetViews>
    <sheetView zoomScale="90" zoomScaleNormal="90" workbookViewId="0">
      <pane xSplit="3" ySplit="1" topLeftCell="E29" activePane="bottomRight" state="frozen"/>
      <selection pane="topRight" activeCell="D1" sqref="D1"/>
      <selection pane="bottomLeft" activeCell="A6" sqref="A6"/>
      <selection pane="bottomRight" activeCell="S27" sqref="S27"/>
    </sheetView>
  </sheetViews>
  <sheetFormatPr defaultColWidth="8.85546875" defaultRowHeight="15"/>
  <cols>
    <col min="1" max="1" width="4.5703125" style="60" customWidth="1"/>
    <col min="2" max="2" width="10.85546875" style="64" bestFit="1" customWidth="1"/>
    <col min="3" max="3" width="35.5703125" style="60" bestFit="1" customWidth="1"/>
    <col min="4" max="4" width="19" style="61" bestFit="1" customWidth="1"/>
    <col min="5" max="5" width="10.5703125" style="60" bestFit="1" customWidth="1"/>
    <col min="6" max="6" width="14.140625" style="60" bestFit="1" customWidth="1"/>
    <col min="7" max="7" width="15.140625" style="60" customWidth="1"/>
    <col min="8" max="8" width="21.42578125" style="60" customWidth="1"/>
    <col min="9" max="9" width="16.28515625" style="59" customWidth="1"/>
    <col min="10" max="11" width="12.28515625" style="60" customWidth="1"/>
    <col min="12" max="12" width="10.7109375" style="60" customWidth="1"/>
    <col min="13" max="13" width="16.5703125" style="60" customWidth="1"/>
    <col min="14" max="14" width="15.42578125" style="60" customWidth="1"/>
    <col min="15" max="15" width="18.28515625" style="60" bestFit="1" customWidth="1"/>
    <col min="16" max="16" width="17.85546875" style="60" bestFit="1" customWidth="1"/>
    <col min="17" max="17" width="16" style="60" customWidth="1"/>
    <col min="18" max="18" width="8.85546875" style="60"/>
    <col min="19" max="19" width="9" style="60" bestFit="1" customWidth="1"/>
    <col min="20" max="16384" width="8.85546875" style="60"/>
  </cols>
  <sheetData>
    <row r="1" spans="1:19" ht="45">
      <c r="A1" s="28"/>
      <c r="B1" s="85" t="s">
        <v>15</v>
      </c>
      <c r="C1" s="86" t="s">
        <v>17</v>
      </c>
      <c r="D1" s="85" t="s">
        <v>37</v>
      </c>
      <c r="E1" s="85" t="s">
        <v>0</v>
      </c>
      <c r="F1" s="28" t="s">
        <v>1</v>
      </c>
      <c r="G1" s="85" t="s">
        <v>10</v>
      </c>
      <c r="H1" s="85" t="s">
        <v>34</v>
      </c>
      <c r="I1" s="116" t="s">
        <v>35</v>
      </c>
      <c r="J1" s="114" t="s">
        <v>9</v>
      </c>
      <c r="K1" s="85" t="s">
        <v>2</v>
      </c>
      <c r="L1" s="85" t="s">
        <v>38</v>
      </c>
      <c r="M1" s="85" t="s">
        <v>123</v>
      </c>
      <c r="N1" s="85" t="s">
        <v>122</v>
      </c>
      <c r="O1" s="85" t="s">
        <v>36</v>
      </c>
      <c r="P1" s="85" t="s">
        <v>124</v>
      </c>
      <c r="Q1" s="85" t="s">
        <v>39</v>
      </c>
    </row>
    <row r="2" spans="1:19" s="62" customFormat="1" ht="15" customHeight="1">
      <c r="A2" s="186" t="s">
        <v>13</v>
      </c>
      <c r="B2" s="121"/>
      <c r="C2" s="45" t="s">
        <v>55</v>
      </c>
      <c r="D2" s="122">
        <v>352</v>
      </c>
      <c r="E2" s="72">
        <v>4.333333333333333</v>
      </c>
      <c r="F2" s="71">
        <v>18304</v>
      </c>
      <c r="G2" s="143">
        <v>34</v>
      </c>
      <c r="H2" s="73">
        <v>622336</v>
      </c>
      <c r="I2" s="115">
        <v>416202.65721911844</v>
      </c>
      <c r="J2" s="75">
        <v>1248.6079716573506</v>
      </c>
      <c r="K2" s="75">
        <v>1272.7910006700822</v>
      </c>
      <c r="L2" s="70">
        <v>0.30132362705257626</v>
      </c>
      <c r="M2" s="125">
        <v>22.47</v>
      </c>
      <c r="N2" s="151">
        <v>22.771323627052574</v>
      </c>
      <c r="O2" s="70">
        <v>94913.279999999999</v>
      </c>
      <c r="P2" s="70">
        <v>96186.071000670083</v>
      </c>
      <c r="Q2" s="74">
        <v>1272.791000670084</v>
      </c>
      <c r="S2" s="51"/>
    </row>
    <row r="3" spans="1:19" s="62" customFormat="1">
      <c r="A3" s="187"/>
      <c r="B3" s="121"/>
      <c r="C3" s="45" t="s">
        <v>56</v>
      </c>
      <c r="D3" s="122">
        <v>159</v>
      </c>
      <c r="E3" s="72">
        <v>4.333333333333333</v>
      </c>
      <c r="F3" s="71">
        <v>8268</v>
      </c>
      <c r="G3" s="143">
        <v>51</v>
      </c>
      <c r="H3" s="71">
        <v>421668</v>
      </c>
      <c r="I3" s="47">
        <v>282000.94814420381</v>
      </c>
      <c r="J3" s="70">
        <v>846.0028444326083</v>
      </c>
      <c r="K3" s="70">
        <v>862.38822062447332</v>
      </c>
      <c r="L3" s="70">
        <v>0.45198544057886436</v>
      </c>
      <c r="M3" s="125">
        <v>37.21</v>
      </c>
      <c r="N3" s="152">
        <v>37.661985440578867</v>
      </c>
      <c r="O3" s="70">
        <v>70996.680000000008</v>
      </c>
      <c r="P3" s="70">
        <v>71859.068220624467</v>
      </c>
      <c r="Q3" s="74">
        <v>862.38822062445979</v>
      </c>
      <c r="S3" s="51"/>
    </row>
    <row r="4" spans="1:19" s="62" customFormat="1">
      <c r="A4" s="187"/>
      <c r="B4" s="121"/>
      <c r="C4" s="45" t="s">
        <v>57</v>
      </c>
      <c r="D4" s="122">
        <v>14</v>
      </c>
      <c r="E4" s="72">
        <v>4.333333333333333</v>
      </c>
      <c r="F4" s="71">
        <v>728</v>
      </c>
      <c r="G4" s="143">
        <v>77</v>
      </c>
      <c r="H4" s="71">
        <v>56056</v>
      </c>
      <c r="I4" s="47">
        <v>37488.842286280887</v>
      </c>
      <c r="J4" s="70">
        <v>112.46652685884224</v>
      </c>
      <c r="K4" s="70">
        <v>114.64477763388608</v>
      </c>
      <c r="L4" s="70">
        <v>0.6824093906778933</v>
      </c>
      <c r="M4" s="125">
        <v>43.33</v>
      </c>
      <c r="N4" s="152">
        <v>44.012409390677888</v>
      </c>
      <c r="O4" s="70">
        <v>7279.4400000000005</v>
      </c>
      <c r="P4" s="70">
        <v>7394.0847776338851</v>
      </c>
      <c r="Q4" s="74">
        <v>114.64477763388459</v>
      </c>
      <c r="S4" s="51"/>
    </row>
    <row r="5" spans="1:19" s="62" customFormat="1">
      <c r="A5" s="187"/>
      <c r="B5" s="121"/>
      <c r="C5" s="45" t="s">
        <v>59</v>
      </c>
      <c r="D5" s="122">
        <v>1</v>
      </c>
      <c r="E5" s="72">
        <v>4.333333333333333</v>
      </c>
      <c r="F5" s="71">
        <v>52</v>
      </c>
      <c r="G5" s="143">
        <v>117</v>
      </c>
      <c r="H5" s="71">
        <v>6084</v>
      </c>
      <c r="I5" s="47">
        <v>4068.8261108486677</v>
      </c>
      <c r="J5" s="70">
        <v>12.206478332545958</v>
      </c>
      <c r="K5" s="70">
        <v>12.442893305347562</v>
      </c>
      <c r="L5" s="70">
        <v>1.0369077754456302</v>
      </c>
      <c r="M5" s="125">
        <v>60.07</v>
      </c>
      <c r="N5" s="152">
        <v>61.106907775445627</v>
      </c>
      <c r="O5" s="70">
        <v>720.84</v>
      </c>
      <c r="P5" s="70">
        <v>733.28289330534756</v>
      </c>
      <c r="Q5" s="74">
        <v>12.442893305347525</v>
      </c>
      <c r="S5" s="51"/>
    </row>
    <row r="6" spans="1:19" s="62" customFormat="1">
      <c r="A6" s="187"/>
      <c r="B6" s="121"/>
      <c r="C6" s="45" t="s">
        <v>127</v>
      </c>
      <c r="D6" s="122">
        <v>13</v>
      </c>
      <c r="E6" s="72">
        <v>4.333333333333333</v>
      </c>
      <c r="F6" s="71">
        <v>676</v>
      </c>
      <c r="G6" s="145">
        <v>40</v>
      </c>
      <c r="H6" s="71">
        <v>27040</v>
      </c>
      <c r="I6" s="47">
        <v>18083.671603771858</v>
      </c>
      <c r="J6" s="70">
        <v>54.251014811315372</v>
      </c>
      <c r="K6" s="70">
        <v>55.301748023766947</v>
      </c>
      <c r="L6" s="70">
        <v>0.35449838476773682</v>
      </c>
      <c r="M6" s="125">
        <v>33.729999999999997</v>
      </c>
      <c r="N6" s="152">
        <v>34.084498384767734</v>
      </c>
      <c r="O6" s="70">
        <v>5261.8799999999992</v>
      </c>
      <c r="P6" s="70">
        <v>5317.181748023766</v>
      </c>
      <c r="Q6" s="74">
        <v>55.301748023766777</v>
      </c>
      <c r="S6" s="51"/>
    </row>
    <row r="7" spans="1:19" s="62" customFormat="1">
      <c r="A7" s="187"/>
      <c r="B7" s="121"/>
      <c r="C7" s="45" t="s">
        <v>128</v>
      </c>
      <c r="D7" s="122">
        <v>2</v>
      </c>
      <c r="E7" s="72">
        <v>4.333333333333333</v>
      </c>
      <c r="F7" s="71">
        <v>208</v>
      </c>
      <c r="G7" s="145">
        <v>80</v>
      </c>
      <c r="H7" s="71">
        <v>16640</v>
      </c>
      <c r="I7" s="47">
        <v>11128.413294628836</v>
      </c>
      <c r="J7" s="70">
        <v>33.385239883886385</v>
      </c>
      <c r="K7" s="70">
        <v>34.031844937702736</v>
      </c>
      <c r="L7" s="70">
        <v>0.70899676953547364</v>
      </c>
      <c r="M7" s="125">
        <v>53.46</v>
      </c>
      <c r="N7" s="152">
        <v>54.168996769535475</v>
      </c>
      <c r="O7" s="70">
        <v>1283.04</v>
      </c>
      <c r="P7" s="70">
        <v>1300.0559224688513</v>
      </c>
      <c r="Q7" s="74">
        <v>17.015922468851386</v>
      </c>
      <c r="S7" s="51"/>
    </row>
    <row r="8" spans="1:19" s="62" customFormat="1">
      <c r="A8" s="187"/>
      <c r="B8" s="121"/>
      <c r="C8" s="45" t="s">
        <v>129</v>
      </c>
      <c r="D8" s="122">
        <v>5</v>
      </c>
      <c r="E8" s="72">
        <v>1</v>
      </c>
      <c r="F8" s="71">
        <v>60</v>
      </c>
      <c r="G8" s="143">
        <v>34</v>
      </c>
      <c r="H8" s="71">
        <v>2040</v>
      </c>
      <c r="I8" s="47">
        <v>1364.3006683319004</v>
      </c>
      <c r="J8" s="70">
        <v>4.0929020049956861</v>
      </c>
      <c r="K8" s="70">
        <v>4.1721732976510566</v>
      </c>
      <c r="L8" s="70">
        <v>6.9536221627517616E-2</v>
      </c>
      <c r="M8" s="125">
        <v>8.51</v>
      </c>
      <c r="N8" s="152">
        <v>8.5795362216275173</v>
      </c>
      <c r="O8" s="70">
        <v>510.59999999999997</v>
      </c>
      <c r="P8" s="70">
        <v>514.77217329765108</v>
      </c>
      <c r="Q8" s="74">
        <v>4.1721732976511134</v>
      </c>
      <c r="S8" s="51"/>
    </row>
    <row r="9" spans="1:19" s="62" customFormat="1">
      <c r="A9" s="187"/>
      <c r="B9" s="121"/>
      <c r="C9" s="45" t="s">
        <v>130</v>
      </c>
      <c r="D9" s="122">
        <v>1</v>
      </c>
      <c r="E9" s="72">
        <v>1</v>
      </c>
      <c r="F9" s="71">
        <v>12</v>
      </c>
      <c r="G9" s="143">
        <v>40</v>
      </c>
      <c r="H9" s="71">
        <v>480</v>
      </c>
      <c r="I9" s="47">
        <v>321.01192196044718</v>
      </c>
      <c r="J9" s="70">
        <v>0.96303576588133799</v>
      </c>
      <c r="K9" s="70">
        <v>0.98168783474142507</v>
      </c>
      <c r="L9" s="70">
        <v>8.1807319561785427E-2</v>
      </c>
      <c r="M9" s="125">
        <v>17.34</v>
      </c>
      <c r="N9" s="152">
        <v>17.421807319561786</v>
      </c>
      <c r="O9" s="70">
        <v>208.07999999999998</v>
      </c>
      <c r="P9" s="70">
        <v>209.06168783474143</v>
      </c>
      <c r="Q9" s="74">
        <v>0.98168783474145016</v>
      </c>
      <c r="S9" s="51"/>
    </row>
    <row r="10" spans="1:19" s="62" customFormat="1">
      <c r="A10" s="187"/>
      <c r="B10" s="121"/>
      <c r="C10" s="45" t="s">
        <v>131</v>
      </c>
      <c r="D10" s="122">
        <v>13</v>
      </c>
      <c r="E10" s="72">
        <v>2.1666666666666665</v>
      </c>
      <c r="F10" s="71">
        <v>338</v>
      </c>
      <c r="G10" s="143">
        <v>34</v>
      </c>
      <c r="H10" s="156">
        <v>11492</v>
      </c>
      <c r="I10" s="157">
        <v>7685.5604316030394</v>
      </c>
      <c r="J10" s="158">
        <v>23.056681294809032</v>
      </c>
      <c r="K10" s="158">
        <v>23.503242910100951</v>
      </c>
      <c r="L10" s="70">
        <v>0.15066181352628813</v>
      </c>
      <c r="M10" s="125">
        <v>17.739999999999998</v>
      </c>
      <c r="N10" s="155">
        <v>17.890661813526286</v>
      </c>
      <c r="O10" s="70">
        <v>2767.4399999999996</v>
      </c>
      <c r="P10" s="70">
        <v>2790.9432429101007</v>
      </c>
      <c r="Q10" s="74">
        <v>23.503242910101108</v>
      </c>
      <c r="S10" s="51"/>
    </row>
    <row r="11" spans="1:19" s="62" customFormat="1">
      <c r="A11" s="187"/>
      <c r="B11" s="121"/>
      <c r="C11" s="45" t="s">
        <v>132</v>
      </c>
      <c r="D11" s="122">
        <v>42</v>
      </c>
      <c r="E11" s="72">
        <v>2.1666666666666665</v>
      </c>
      <c r="F11" s="71">
        <v>2184</v>
      </c>
      <c r="G11" s="143">
        <v>51</v>
      </c>
      <c r="H11" s="156">
        <v>111384</v>
      </c>
      <c r="I11" s="157">
        <v>74490.816490921759</v>
      </c>
      <c r="J11" s="158">
        <v>223.47244947276445</v>
      </c>
      <c r="K11" s="158">
        <v>227.80066205174765</v>
      </c>
      <c r="L11" s="70">
        <v>0.22599272028943215</v>
      </c>
      <c r="M11" s="125">
        <v>22.1</v>
      </c>
      <c r="N11" s="155">
        <v>22.325992720289435</v>
      </c>
      <c r="O11" s="70">
        <v>11138.400000000001</v>
      </c>
      <c r="P11" s="70">
        <v>11252.300331025875</v>
      </c>
      <c r="Q11" s="74">
        <v>113.90033102587404</v>
      </c>
      <c r="S11" s="51"/>
    </row>
    <row r="12" spans="1:19" s="62" customFormat="1">
      <c r="A12" s="187"/>
      <c r="B12" s="121"/>
      <c r="C12" s="45" t="s">
        <v>133</v>
      </c>
      <c r="D12" s="122">
        <v>6</v>
      </c>
      <c r="E12" s="72">
        <v>2.1666666666666665</v>
      </c>
      <c r="F12" s="71">
        <v>468</v>
      </c>
      <c r="G12" s="143">
        <v>77</v>
      </c>
      <c r="H12" s="156">
        <v>36036</v>
      </c>
      <c r="I12" s="157">
        <v>24099.970041180572</v>
      </c>
      <c r="J12" s="158">
        <v>72.299910123541451</v>
      </c>
      <c r="K12" s="158">
        <v>73.700214193212489</v>
      </c>
      <c r="L12" s="70">
        <v>0.34120469533894665</v>
      </c>
      <c r="M12" s="125">
        <v>36.67</v>
      </c>
      <c r="N12" s="155">
        <v>37.011204695338947</v>
      </c>
      <c r="O12" s="70">
        <v>2640.2400000000002</v>
      </c>
      <c r="P12" s="70">
        <v>2664.8067380644043</v>
      </c>
      <c r="Q12" s="74">
        <v>24.566738064404035</v>
      </c>
      <c r="S12" s="51"/>
    </row>
    <row r="13" spans="1:19" s="62" customFormat="1">
      <c r="A13" s="187"/>
      <c r="B13" s="121"/>
      <c r="C13" s="45" t="s">
        <v>134</v>
      </c>
      <c r="D13" s="122">
        <v>2</v>
      </c>
      <c r="E13" s="72">
        <v>2.1666666666666665</v>
      </c>
      <c r="F13" s="71">
        <v>208</v>
      </c>
      <c r="G13" s="143">
        <v>97</v>
      </c>
      <c r="H13" s="156">
        <v>20176</v>
      </c>
      <c r="I13" s="157">
        <v>13493.201119737461</v>
      </c>
      <c r="J13" s="158">
        <v>40.479603359212234</v>
      </c>
      <c r="K13" s="158">
        <v>41.263611986964563</v>
      </c>
      <c r="L13" s="70">
        <v>0.42982929153088084</v>
      </c>
      <c r="M13" s="125">
        <v>42.1</v>
      </c>
      <c r="N13" s="155">
        <v>42.529829291530881</v>
      </c>
      <c r="O13" s="70">
        <v>1010.4000000000001</v>
      </c>
      <c r="P13" s="70">
        <v>1020.7159029967411</v>
      </c>
      <c r="Q13" s="74">
        <v>10.315902996740988</v>
      </c>
      <c r="S13" s="51"/>
    </row>
    <row r="14" spans="1:19" s="62" customFormat="1">
      <c r="A14" s="187"/>
      <c r="B14" s="121"/>
      <c r="C14" s="45" t="s">
        <v>135</v>
      </c>
      <c r="D14" s="122">
        <v>2</v>
      </c>
      <c r="E14" s="72">
        <v>2.1666666666666665</v>
      </c>
      <c r="F14" s="71">
        <v>52</v>
      </c>
      <c r="G14" s="145">
        <v>40</v>
      </c>
      <c r="H14" s="156">
        <v>2080</v>
      </c>
      <c r="I14" s="157">
        <v>1391.0516618286044</v>
      </c>
      <c r="J14" s="158">
        <v>4.1731549854857981</v>
      </c>
      <c r="K14" s="158">
        <v>4.253980617212842</v>
      </c>
      <c r="L14" s="70">
        <v>0.17724919238386841</v>
      </c>
      <c r="M14" s="125">
        <v>21.87</v>
      </c>
      <c r="N14" s="155">
        <v>22.04724919238387</v>
      </c>
      <c r="O14" s="70">
        <v>524.88</v>
      </c>
      <c r="P14" s="70">
        <v>529.13398061721284</v>
      </c>
      <c r="Q14" s="74">
        <v>4.2539806172128465</v>
      </c>
      <c r="S14" s="51"/>
    </row>
    <row r="15" spans="1:19" s="62" customFormat="1">
      <c r="A15" s="187"/>
      <c r="B15" s="121"/>
      <c r="C15" s="45" t="s">
        <v>136</v>
      </c>
      <c r="D15" s="122">
        <v>1</v>
      </c>
      <c r="E15" s="72">
        <v>2.1666666666666665</v>
      </c>
      <c r="F15" s="71">
        <v>52</v>
      </c>
      <c r="G15" s="145">
        <v>80</v>
      </c>
      <c r="H15" s="159">
        <v>4160</v>
      </c>
      <c r="I15" s="160">
        <v>2782.1033236572089</v>
      </c>
      <c r="J15" s="161">
        <v>8.3463099709715962</v>
      </c>
      <c r="K15" s="161">
        <v>8.5079612344256841</v>
      </c>
      <c r="L15" s="70">
        <v>0.35449838476773682</v>
      </c>
      <c r="M15" s="125">
        <v>33.729999999999997</v>
      </c>
      <c r="N15" s="162">
        <v>34.084498384767734</v>
      </c>
      <c r="O15" s="70">
        <v>404.76</v>
      </c>
      <c r="P15" s="70">
        <v>409.01398061721284</v>
      </c>
      <c r="Q15" s="74">
        <v>4.2539806172128465</v>
      </c>
      <c r="S15" s="51"/>
    </row>
    <row r="16" spans="1:19" s="62" customFormat="1">
      <c r="A16" s="187"/>
      <c r="B16" s="123"/>
      <c r="C16" s="45" t="s">
        <v>137</v>
      </c>
      <c r="D16" s="122">
        <v>94</v>
      </c>
      <c r="E16" s="72">
        <v>1</v>
      </c>
      <c r="F16" s="71">
        <v>1128</v>
      </c>
      <c r="G16" s="143">
        <v>34</v>
      </c>
      <c r="H16" s="71">
        <v>38352</v>
      </c>
      <c r="I16" s="47">
        <v>25648.852564639728</v>
      </c>
      <c r="J16" s="70">
        <v>76.946557693918891</v>
      </c>
      <c r="K16" s="70">
        <v>78.436857995839844</v>
      </c>
      <c r="L16" s="70">
        <v>6.9536221627517589E-2</v>
      </c>
      <c r="M16" s="125">
        <v>5.34</v>
      </c>
      <c r="N16" s="152">
        <v>5.4095362216275173</v>
      </c>
      <c r="O16" s="70">
        <v>6023.5199999999995</v>
      </c>
      <c r="P16" s="70">
        <v>6101.9568579958395</v>
      </c>
      <c r="Q16" s="74">
        <v>78.436857995840001</v>
      </c>
      <c r="S16" s="51"/>
    </row>
    <row r="17" spans="1:19" s="62" customFormat="1">
      <c r="A17" s="187"/>
      <c r="B17" s="121"/>
      <c r="D17" s="122"/>
      <c r="E17" s="72"/>
      <c r="F17" s="71"/>
      <c r="G17" s="143"/>
      <c r="H17" s="156"/>
      <c r="I17" s="157"/>
      <c r="J17" s="158"/>
      <c r="K17" s="158"/>
      <c r="L17" s="70"/>
      <c r="M17" s="125"/>
      <c r="N17" s="158"/>
      <c r="O17" s="70"/>
      <c r="P17" s="70"/>
      <c r="Q17" s="74"/>
      <c r="S17" s="163">
        <v>15.165500000000002</v>
      </c>
    </row>
    <row r="18" spans="1:19" s="62" customFormat="1">
      <c r="A18" s="187"/>
      <c r="B18" s="48"/>
      <c r="C18" s="126"/>
      <c r="D18" s="127"/>
      <c r="E18" s="120"/>
      <c r="F18" s="71"/>
      <c r="G18" s="124"/>
      <c r="H18" s="71"/>
      <c r="I18" s="47"/>
      <c r="J18" s="70"/>
      <c r="K18" s="70"/>
      <c r="L18" s="70"/>
      <c r="M18" s="125"/>
      <c r="N18" s="70"/>
      <c r="O18" s="70"/>
      <c r="P18" s="70"/>
      <c r="Q18" s="74"/>
    </row>
    <row r="19" spans="1:19" s="62" customFormat="1">
      <c r="A19" s="49"/>
      <c r="B19" s="87"/>
      <c r="C19" s="50" t="s">
        <v>16</v>
      </c>
      <c r="D19" s="52">
        <v>707</v>
      </c>
      <c r="E19" s="53"/>
      <c r="F19" s="54">
        <v>32738</v>
      </c>
      <c r="G19" s="55"/>
      <c r="H19" s="88">
        <v>1376024</v>
      </c>
      <c r="I19" s="56">
        <v>920250.22688271326</v>
      </c>
      <c r="J19" s="77"/>
      <c r="K19" s="77"/>
      <c r="L19" s="77"/>
      <c r="M19" s="77"/>
      <c r="N19" s="77"/>
      <c r="O19" s="76">
        <v>205683.48</v>
      </c>
      <c r="P19" s="76">
        <v>208282.44945808622</v>
      </c>
      <c r="Q19" s="76">
        <v>2598.9694580861724</v>
      </c>
    </row>
    <row r="20" spans="1:19" s="62" customFormat="1" ht="15" customHeight="1">
      <c r="A20" s="186" t="s">
        <v>14</v>
      </c>
      <c r="B20" s="48"/>
      <c r="C20" s="128" t="s">
        <v>98</v>
      </c>
      <c r="D20" s="59">
        <v>13</v>
      </c>
      <c r="E20" s="72">
        <v>4.333333333333333</v>
      </c>
      <c r="F20" s="71">
        <v>676</v>
      </c>
      <c r="G20" s="143">
        <v>29</v>
      </c>
      <c r="H20" s="71">
        <v>19604</v>
      </c>
      <c r="I20" s="47">
        <v>13110.661912734597</v>
      </c>
      <c r="J20" s="70">
        <v>39.331985738203642</v>
      </c>
      <c r="K20" s="70">
        <v>40.093767317231034</v>
      </c>
      <c r="L20" s="70">
        <v>5.9310306682294429E-2</v>
      </c>
      <c r="M20" s="70">
        <v>21</v>
      </c>
      <c r="N20" s="152">
        <v>21.059310306682296</v>
      </c>
      <c r="O20" s="70">
        <v>3276</v>
      </c>
      <c r="P20" s="70">
        <v>3285.2524078424381</v>
      </c>
      <c r="Q20" s="74">
        <v>9.2524078424380605</v>
      </c>
      <c r="S20" s="51"/>
    </row>
    <row r="21" spans="1:19" s="62" customFormat="1" ht="15" customHeight="1">
      <c r="A21" s="188"/>
      <c r="B21" s="48"/>
      <c r="C21" s="128" t="s">
        <v>138</v>
      </c>
      <c r="D21" s="59">
        <v>7</v>
      </c>
      <c r="E21" s="72">
        <v>4.333333333333333</v>
      </c>
      <c r="F21" s="71">
        <v>728</v>
      </c>
      <c r="G21" s="143">
        <v>29</v>
      </c>
      <c r="H21" s="71">
        <v>21112</v>
      </c>
      <c r="I21" s="47">
        <v>14119.174367560334</v>
      </c>
      <c r="J21" s="70">
        <v>42.357523102680844</v>
      </c>
      <c r="K21" s="70">
        <v>43.177903264710338</v>
      </c>
      <c r="L21" s="70">
        <v>5.9310306682294422E-2</v>
      </c>
      <c r="M21" s="70">
        <v>32.821400000000004</v>
      </c>
      <c r="N21" s="152">
        <v>32.880710306682296</v>
      </c>
      <c r="O21" s="70">
        <v>2756.9976000000001</v>
      </c>
      <c r="P21" s="70">
        <v>2761.9796657613128</v>
      </c>
      <c r="Q21" s="74">
        <v>4.9820657613126968</v>
      </c>
      <c r="S21" s="51"/>
    </row>
    <row r="22" spans="1:19" s="62" customFormat="1" ht="15" customHeight="1">
      <c r="A22" s="188"/>
      <c r="B22" s="48"/>
      <c r="C22" s="128" t="s">
        <v>139</v>
      </c>
      <c r="D22" s="59">
        <v>6</v>
      </c>
      <c r="E22" s="72">
        <v>4.333333333333333</v>
      </c>
      <c r="F22" s="71">
        <v>936</v>
      </c>
      <c r="G22" s="143">
        <v>29</v>
      </c>
      <c r="H22" s="71">
        <v>27144</v>
      </c>
      <c r="I22" s="47">
        <v>18153.224186863288</v>
      </c>
      <c r="J22" s="70">
        <v>54.459672560589659</v>
      </c>
      <c r="K22" s="70">
        <v>55.514447054627581</v>
      </c>
      <c r="L22" s="70">
        <v>5.9310306682294422E-2</v>
      </c>
      <c r="M22" s="70">
        <v>49.232100000000003</v>
      </c>
      <c r="N22" s="152">
        <v>49.291410306682295</v>
      </c>
      <c r="O22" s="70">
        <v>3544.7112000000002</v>
      </c>
      <c r="P22" s="70">
        <v>3548.9815420811256</v>
      </c>
      <c r="Q22" s="74">
        <v>4.2703420811253636</v>
      </c>
      <c r="S22" s="51"/>
    </row>
    <row r="23" spans="1:19" s="62" customFormat="1" ht="15" customHeight="1">
      <c r="A23" s="188"/>
      <c r="B23" s="48"/>
      <c r="C23" s="128" t="s">
        <v>140</v>
      </c>
      <c r="D23" s="59">
        <v>6</v>
      </c>
      <c r="E23" s="72">
        <v>4.333333333333333</v>
      </c>
      <c r="F23" s="71">
        <v>1248</v>
      </c>
      <c r="G23" s="143">
        <v>29</v>
      </c>
      <c r="H23" s="71">
        <v>36192</v>
      </c>
      <c r="I23" s="47">
        <v>24204.298915817715</v>
      </c>
      <c r="J23" s="70">
        <v>72.612896747452879</v>
      </c>
      <c r="K23" s="70">
        <v>74.019262739503446</v>
      </c>
      <c r="L23" s="70">
        <v>5.9310306682294429E-2</v>
      </c>
      <c r="M23" s="70">
        <v>65.642800000000008</v>
      </c>
      <c r="N23" s="152">
        <v>65.7021103066823</v>
      </c>
      <c r="O23" s="70">
        <v>4726.2816000000003</v>
      </c>
      <c r="P23" s="70">
        <v>4730.5519420811252</v>
      </c>
      <c r="Q23" s="74">
        <v>4.2703420811249089</v>
      </c>
      <c r="S23" s="51"/>
    </row>
    <row r="24" spans="1:19" s="62" customFormat="1" ht="15" customHeight="1">
      <c r="A24" s="188"/>
      <c r="B24" s="48"/>
      <c r="C24" s="128" t="s">
        <v>141</v>
      </c>
      <c r="D24" s="59">
        <v>2</v>
      </c>
      <c r="E24" s="72">
        <v>4.333333333333333</v>
      </c>
      <c r="F24" s="71">
        <v>520</v>
      </c>
      <c r="G24" s="143">
        <v>29</v>
      </c>
      <c r="H24" s="71">
        <v>15080</v>
      </c>
      <c r="I24" s="47">
        <v>10085.124548257381</v>
      </c>
      <c r="J24" s="70">
        <v>30.255373644772032</v>
      </c>
      <c r="K24" s="70">
        <v>30.841359474793101</v>
      </c>
      <c r="L24" s="70">
        <v>5.9310306682294422E-2</v>
      </c>
      <c r="M24" s="70">
        <v>82.053500000000014</v>
      </c>
      <c r="N24" s="152">
        <v>82.112810306682306</v>
      </c>
      <c r="O24" s="70">
        <v>1969.2840000000003</v>
      </c>
      <c r="P24" s="70">
        <v>1970.7074473603752</v>
      </c>
      <c r="Q24" s="74">
        <v>1.4234473603748938</v>
      </c>
      <c r="S24" s="51"/>
    </row>
    <row r="25" spans="1:19" s="62" customFormat="1" ht="15" customHeight="1">
      <c r="A25" s="188"/>
      <c r="B25" s="48"/>
      <c r="C25" s="128" t="s">
        <v>142</v>
      </c>
      <c r="D25" s="59">
        <v>4</v>
      </c>
      <c r="E25" s="72">
        <v>4.333333333333333</v>
      </c>
      <c r="F25" s="71">
        <v>1248</v>
      </c>
      <c r="G25" s="143">
        <v>29</v>
      </c>
      <c r="H25" s="71">
        <v>36192</v>
      </c>
      <c r="I25" s="47">
        <v>24204.298915817715</v>
      </c>
      <c r="J25" s="70">
        <v>72.612896747452879</v>
      </c>
      <c r="K25" s="70">
        <v>74.019262739503446</v>
      </c>
      <c r="L25" s="70">
        <v>5.9310306682294429E-2</v>
      </c>
      <c r="M25" s="70">
        <v>98.464200000000005</v>
      </c>
      <c r="N25" s="152">
        <v>98.523510306682297</v>
      </c>
      <c r="O25" s="70">
        <v>4726.2816000000003</v>
      </c>
      <c r="P25" s="70">
        <v>4729.1284947207505</v>
      </c>
      <c r="Q25" s="74">
        <v>2.8468947207502424</v>
      </c>
      <c r="S25" s="51"/>
    </row>
    <row r="26" spans="1:19" s="62" customFormat="1" ht="15" customHeight="1">
      <c r="A26" s="188"/>
      <c r="B26" s="48"/>
      <c r="C26" s="128" t="s">
        <v>143</v>
      </c>
      <c r="D26" s="59">
        <v>1</v>
      </c>
      <c r="E26" s="72">
        <v>4.333333333333333</v>
      </c>
      <c r="F26" s="71">
        <v>364</v>
      </c>
      <c r="G26" s="143">
        <v>29</v>
      </c>
      <c r="H26" s="71">
        <v>10556</v>
      </c>
      <c r="I26" s="47">
        <v>7059.5871837801669</v>
      </c>
      <c r="J26" s="70">
        <v>21.178761551340422</v>
      </c>
      <c r="K26" s="70">
        <v>21.588951632355169</v>
      </c>
      <c r="L26" s="70">
        <v>5.9310306682294422E-2</v>
      </c>
      <c r="M26" s="70">
        <v>114.87490000000001</v>
      </c>
      <c r="N26" s="152">
        <v>114.9342103066823</v>
      </c>
      <c r="O26" s="70">
        <v>1378.4988000000001</v>
      </c>
      <c r="P26" s="70">
        <v>1379.2105236801876</v>
      </c>
      <c r="Q26" s="74">
        <v>0.7117236801875606</v>
      </c>
      <c r="S26" s="51"/>
    </row>
    <row r="27" spans="1:19" s="62" customFormat="1" ht="15" customHeight="1">
      <c r="A27" s="188"/>
      <c r="B27" s="48"/>
      <c r="C27" s="45" t="s">
        <v>128</v>
      </c>
      <c r="D27" s="122">
        <v>2</v>
      </c>
      <c r="E27" s="72">
        <v>4.333333333333333</v>
      </c>
      <c r="F27" s="71">
        <v>208</v>
      </c>
      <c r="G27" s="143">
        <v>40</v>
      </c>
      <c r="H27" s="71">
        <v>8320</v>
      </c>
      <c r="I27" s="47">
        <v>5564.2066473144178</v>
      </c>
      <c r="J27" s="70">
        <v>16.692619941943192</v>
      </c>
      <c r="K27" s="70">
        <v>17.015922468851368</v>
      </c>
      <c r="L27" s="70">
        <v>0.35449838476773682</v>
      </c>
      <c r="M27" s="125">
        <v>73.436800000000005</v>
      </c>
      <c r="N27" s="152">
        <v>73.791298384767742</v>
      </c>
      <c r="O27" s="70">
        <v>1762.4832000000001</v>
      </c>
      <c r="P27" s="70">
        <v>1770.9911612344258</v>
      </c>
      <c r="Q27" s="74">
        <v>8.507961234425693</v>
      </c>
      <c r="S27" s="51"/>
    </row>
    <row r="28" spans="1:19" s="62" customFormat="1" ht="15" customHeight="1">
      <c r="A28" s="188"/>
      <c r="B28" s="48"/>
      <c r="C28" s="128"/>
      <c r="D28" s="59"/>
      <c r="E28" s="72"/>
      <c r="F28" s="129"/>
      <c r="G28" s="143"/>
      <c r="H28" s="71"/>
      <c r="I28" s="47"/>
      <c r="J28" s="70"/>
      <c r="K28" s="70"/>
      <c r="L28" s="70"/>
      <c r="M28" s="70"/>
      <c r="N28" s="70"/>
      <c r="O28" s="70"/>
      <c r="P28" s="70"/>
      <c r="Q28" s="74"/>
      <c r="S28" s="51"/>
    </row>
    <row r="29" spans="1:19" s="62" customFormat="1">
      <c r="A29" s="188"/>
      <c r="B29" s="48"/>
      <c r="C29" s="149"/>
      <c r="D29" s="164"/>
      <c r="E29" s="72"/>
      <c r="F29" s="130"/>
      <c r="G29" s="145"/>
      <c r="H29" s="71"/>
      <c r="I29" s="47"/>
      <c r="J29" s="70"/>
      <c r="K29" s="70"/>
      <c r="L29" s="70"/>
      <c r="M29" s="140"/>
      <c r="N29" s="70"/>
      <c r="O29" s="70"/>
      <c r="P29" s="70"/>
      <c r="Q29" s="74">
        <v>0</v>
      </c>
      <c r="S29" s="51"/>
    </row>
    <row r="30" spans="1:19" s="62" customFormat="1">
      <c r="A30" s="188"/>
      <c r="B30" s="48"/>
      <c r="C30" s="149" t="s">
        <v>105</v>
      </c>
      <c r="D30" s="122">
        <v>36</v>
      </c>
      <c r="E30" s="72">
        <v>1</v>
      </c>
      <c r="F30" s="71">
        <v>432</v>
      </c>
      <c r="G30" s="145">
        <v>175</v>
      </c>
      <c r="H30" s="71">
        <v>75600</v>
      </c>
      <c r="I30" s="47">
        <v>50559.377708770429</v>
      </c>
      <c r="J30" s="70">
        <v>151.67813312631071</v>
      </c>
      <c r="K30" s="70">
        <v>154.61583397177444</v>
      </c>
      <c r="L30" s="70">
        <v>0.35790702308281119</v>
      </c>
      <c r="M30" s="140">
        <v>20.65</v>
      </c>
      <c r="N30" s="152">
        <v>21.007907023082808</v>
      </c>
      <c r="O30" s="70">
        <v>8920.7999999999993</v>
      </c>
      <c r="P30" s="70">
        <v>9075.4158339717724</v>
      </c>
      <c r="Q30" s="74">
        <v>154.6158339717731</v>
      </c>
      <c r="S30" s="51"/>
    </row>
    <row r="31" spans="1:19" s="62" customFormat="1">
      <c r="A31" s="188"/>
      <c r="B31" s="48"/>
      <c r="C31" s="149" t="s">
        <v>154</v>
      </c>
      <c r="D31" s="122">
        <v>36</v>
      </c>
      <c r="E31" s="72">
        <v>1</v>
      </c>
      <c r="F31" s="159">
        <v>432</v>
      </c>
      <c r="G31" s="145"/>
      <c r="H31" s="159"/>
      <c r="I31" s="160"/>
      <c r="J31" s="161"/>
      <c r="K31" s="161"/>
      <c r="L31" s="161"/>
      <c r="M31" s="140">
        <v>11.100000000000001</v>
      </c>
      <c r="N31" s="162">
        <v>11.1</v>
      </c>
      <c r="O31" s="161">
        <v>4795.2000000000007</v>
      </c>
      <c r="P31" s="161">
        <v>4795.2</v>
      </c>
      <c r="Q31" s="74">
        <v>0</v>
      </c>
      <c r="S31" s="51"/>
    </row>
    <row r="32" spans="1:19" s="62" customFormat="1">
      <c r="A32" s="188"/>
      <c r="B32" s="48"/>
      <c r="C32" s="128" t="s">
        <v>106</v>
      </c>
      <c r="D32" s="165">
        <v>36</v>
      </c>
      <c r="E32" s="72">
        <v>3.33</v>
      </c>
      <c r="F32" s="71">
        <v>1438.56</v>
      </c>
      <c r="G32" s="145">
        <v>175</v>
      </c>
      <c r="H32" s="71">
        <v>251748</v>
      </c>
      <c r="I32" s="47">
        <v>168362.72777020553</v>
      </c>
      <c r="J32" s="70">
        <v>505.08818331061468</v>
      </c>
      <c r="K32" s="70">
        <v>514.87072712600889</v>
      </c>
      <c r="L32" s="70">
        <v>0.35790702308281119</v>
      </c>
      <c r="M32" s="153">
        <v>20.65</v>
      </c>
      <c r="N32" s="152">
        <v>21.007907023082808</v>
      </c>
      <c r="O32" s="70">
        <v>29706.263999999999</v>
      </c>
      <c r="P32" s="70">
        <v>30221.134727126006</v>
      </c>
      <c r="Q32" s="74">
        <v>514.87072712600639</v>
      </c>
      <c r="S32" s="51"/>
    </row>
    <row r="33" spans="1:19" s="62" customFormat="1">
      <c r="A33" s="188"/>
      <c r="B33" s="48"/>
      <c r="C33" s="128" t="s">
        <v>107</v>
      </c>
      <c r="D33" s="166"/>
      <c r="E33" s="72"/>
      <c r="F33" s="130">
        <v>1</v>
      </c>
      <c r="G33" s="145">
        <v>175</v>
      </c>
      <c r="H33" s="71">
        <v>175</v>
      </c>
      <c r="I33" s="47">
        <v>117.0355965480797</v>
      </c>
      <c r="J33" s="70">
        <v>0.35110678964423775</v>
      </c>
      <c r="K33" s="70">
        <v>0.35790702308281119</v>
      </c>
      <c r="L33" s="70">
        <v>0.35790702308281119</v>
      </c>
      <c r="M33" s="140">
        <v>20.65</v>
      </c>
      <c r="N33" s="152">
        <v>21.007907023082808</v>
      </c>
      <c r="O33" s="70"/>
      <c r="P33" s="70">
        <v>0</v>
      </c>
      <c r="Q33" s="74">
        <v>0</v>
      </c>
      <c r="S33" s="51"/>
    </row>
    <row r="34" spans="1:19" s="62" customFormat="1">
      <c r="A34" s="188"/>
      <c r="B34" s="48"/>
      <c r="C34" s="149"/>
      <c r="D34" s="170"/>
      <c r="E34" s="72"/>
      <c r="F34" s="130"/>
      <c r="G34" s="145"/>
      <c r="H34" s="71"/>
      <c r="I34" s="47"/>
      <c r="J34" s="70"/>
      <c r="K34" s="70"/>
      <c r="L34" s="70"/>
      <c r="M34" s="140"/>
      <c r="N34" s="70"/>
      <c r="O34" s="70"/>
      <c r="P34" s="70"/>
      <c r="Q34" s="74">
        <v>0</v>
      </c>
      <c r="S34" s="51"/>
    </row>
    <row r="35" spans="1:19" s="62" customFormat="1">
      <c r="A35" s="188"/>
      <c r="B35" s="48"/>
      <c r="C35" s="149" t="s">
        <v>108</v>
      </c>
      <c r="D35" s="170">
        <v>3</v>
      </c>
      <c r="E35" s="72">
        <v>1</v>
      </c>
      <c r="F35" s="71">
        <v>36</v>
      </c>
      <c r="G35" s="145">
        <v>250</v>
      </c>
      <c r="H35" s="71">
        <v>9000</v>
      </c>
      <c r="I35" s="47">
        <v>6018.9735367583844</v>
      </c>
      <c r="J35" s="70">
        <v>18.056920610275085</v>
      </c>
      <c r="K35" s="70">
        <v>18.406646901401718</v>
      </c>
      <c r="L35" s="70">
        <v>0.51129574726115878</v>
      </c>
      <c r="M35" s="140">
        <v>28.75</v>
      </c>
      <c r="N35" s="152">
        <v>29.261295747261158</v>
      </c>
      <c r="O35" s="70">
        <v>1035</v>
      </c>
      <c r="P35" s="70">
        <v>1053.4066469014017</v>
      </c>
      <c r="Q35" s="74">
        <v>18.4066469014017</v>
      </c>
      <c r="S35" s="51"/>
    </row>
    <row r="36" spans="1:19" s="62" customFormat="1">
      <c r="A36" s="188"/>
      <c r="B36" s="48"/>
      <c r="C36" s="149" t="s">
        <v>155</v>
      </c>
      <c r="D36" s="170">
        <v>3</v>
      </c>
      <c r="E36" s="72">
        <v>1</v>
      </c>
      <c r="F36" s="159">
        <v>36</v>
      </c>
      <c r="G36" s="145"/>
      <c r="H36" s="159"/>
      <c r="I36" s="160"/>
      <c r="J36" s="161"/>
      <c r="K36" s="161"/>
      <c r="L36" s="161"/>
      <c r="M36" s="140">
        <v>11.25</v>
      </c>
      <c r="N36" s="162">
        <v>11.25</v>
      </c>
      <c r="O36" s="161">
        <v>405</v>
      </c>
      <c r="P36" s="161">
        <v>405</v>
      </c>
      <c r="Q36" s="74">
        <v>0</v>
      </c>
      <c r="S36" s="51"/>
    </row>
    <row r="37" spans="1:19" s="62" customFormat="1">
      <c r="A37" s="188"/>
      <c r="B37" s="48"/>
      <c r="C37" s="128" t="s">
        <v>109</v>
      </c>
      <c r="D37" s="166">
        <v>3</v>
      </c>
      <c r="E37" s="72">
        <v>3.33</v>
      </c>
      <c r="F37" s="71">
        <v>119.88</v>
      </c>
      <c r="G37" s="143">
        <v>250</v>
      </c>
      <c r="H37" s="71">
        <v>29970</v>
      </c>
      <c r="I37" s="47">
        <v>20043.181877405419</v>
      </c>
      <c r="J37" s="70">
        <v>60.129545632216029</v>
      </c>
      <c r="K37" s="70">
        <v>61.294134181667715</v>
      </c>
      <c r="L37" s="70">
        <v>0.51129574726115878</v>
      </c>
      <c r="M37" s="140">
        <v>28.75</v>
      </c>
      <c r="N37" s="152">
        <v>29.261295747261158</v>
      </c>
      <c r="O37" s="70">
        <v>3446.55</v>
      </c>
      <c r="P37" s="70">
        <v>3507.8441341816679</v>
      </c>
      <c r="Q37" s="74">
        <v>61.294134181667687</v>
      </c>
      <c r="S37" s="51"/>
    </row>
    <row r="38" spans="1:19" s="62" customFormat="1">
      <c r="A38" s="188"/>
      <c r="B38" s="48"/>
      <c r="C38" s="128" t="s">
        <v>144</v>
      </c>
      <c r="D38" s="166"/>
      <c r="E38" s="72"/>
      <c r="F38" s="130">
        <v>1</v>
      </c>
      <c r="G38" s="143">
        <v>250</v>
      </c>
      <c r="H38" s="71">
        <v>250</v>
      </c>
      <c r="I38" s="47">
        <v>167.19370935439957</v>
      </c>
      <c r="J38" s="70">
        <v>0.50158112806319688</v>
      </c>
      <c r="K38" s="70">
        <v>0.51129574726115889</v>
      </c>
      <c r="L38" s="70">
        <v>0.51129574726115889</v>
      </c>
      <c r="M38" s="140">
        <v>28.75</v>
      </c>
      <c r="N38" s="152">
        <v>29.261295747261158</v>
      </c>
      <c r="O38" s="70"/>
      <c r="P38" s="70"/>
      <c r="Q38" s="74"/>
      <c r="S38" s="51"/>
    </row>
    <row r="39" spans="1:19" s="62" customFormat="1">
      <c r="A39" s="188"/>
      <c r="B39" s="48"/>
      <c r="C39" s="149"/>
      <c r="D39" s="170"/>
      <c r="E39" s="72"/>
      <c r="F39" s="130"/>
      <c r="G39" s="145"/>
      <c r="H39" s="71"/>
      <c r="I39" s="47"/>
      <c r="J39" s="70"/>
      <c r="K39" s="70"/>
      <c r="L39" s="70"/>
      <c r="M39" s="140"/>
      <c r="N39" s="70"/>
      <c r="O39" s="70"/>
      <c r="P39" s="70"/>
      <c r="Q39" s="74">
        <v>0</v>
      </c>
      <c r="S39" s="51"/>
    </row>
    <row r="40" spans="1:19" s="62" customFormat="1">
      <c r="A40" s="188"/>
      <c r="B40" s="48"/>
      <c r="C40" s="149" t="s">
        <v>112</v>
      </c>
      <c r="D40" s="170">
        <v>25</v>
      </c>
      <c r="E40" s="72">
        <v>1</v>
      </c>
      <c r="F40" s="71">
        <v>300</v>
      </c>
      <c r="G40" s="145">
        <v>324</v>
      </c>
      <c r="H40" s="71">
        <v>97200</v>
      </c>
      <c r="I40" s="47">
        <v>65004.914196990547</v>
      </c>
      <c r="J40" s="70">
        <v>195.01474259097091</v>
      </c>
      <c r="K40" s="70">
        <v>198.79178653513856</v>
      </c>
      <c r="L40" s="70">
        <v>0.66263928845046183</v>
      </c>
      <c r="M40" s="140">
        <v>34.74</v>
      </c>
      <c r="N40" s="152">
        <v>35.402639288450466</v>
      </c>
      <c r="O40" s="70">
        <v>10422</v>
      </c>
      <c r="P40" s="70">
        <v>10620.791786535139</v>
      </c>
      <c r="Q40" s="74">
        <v>198.79178653513918</v>
      </c>
      <c r="S40" s="51"/>
    </row>
    <row r="41" spans="1:19" s="62" customFormat="1">
      <c r="A41" s="188"/>
      <c r="B41" s="48"/>
      <c r="C41" s="149" t="s">
        <v>156</v>
      </c>
      <c r="D41" s="170">
        <v>25</v>
      </c>
      <c r="E41" s="72">
        <v>1</v>
      </c>
      <c r="F41" s="159">
        <v>300</v>
      </c>
      <c r="G41" s="145"/>
      <c r="H41" s="159"/>
      <c r="I41" s="160"/>
      <c r="J41" s="161"/>
      <c r="K41" s="161"/>
      <c r="L41" s="161"/>
      <c r="M41" s="140">
        <v>13.5</v>
      </c>
      <c r="N41" s="162">
        <v>13.5</v>
      </c>
      <c r="O41" s="161">
        <v>4050</v>
      </c>
      <c r="P41" s="161">
        <v>4050</v>
      </c>
      <c r="Q41" s="74">
        <v>0</v>
      </c>
      <c r="S41" s="51"/>
    </row>
    <row r="42" spans="1:19" s="62" customFormat="1">
      <c r="A42" s="188"/>
      <c r="B42" s="48"/>
      <c r="C42" s="149" t="s">
        <v>113</v>
      </c>
      <c r="D42" s="170">
        <v>25</v>
      </c>
      <c r="E42" s="72">
        <v>3.33</v>
      </c>
      <c r="F42" s="71">
        <v>999</v>
      </c>
      <c r="G42" s="145">
        <v>324</v>
      </c>
      <c r="H42" s="71">
        <v>323676</v>
      </c>
      <c r="I42" s="47">
        <v>216466.36427597853</v>
      </c>
      <c r="J42" s="70">
        <v>649.39909282793315</v>
      </c>
      <c r="K42" s="70">
        <v>661.97664916201143</v>
      </c>
      <c r="L42" s="70">
        <v>0.66263928845046194</v>
      </c>
      <c r="M42" s="140">
        <v>34.74</v>
      </c>
      <c r="N42" s="152">
        <v>35.402639288450466</v>
      </c>
      <c r="O42" s="70">
        <v>34705.26</v>
      </c>
      <c r="P42" s="70">
        <v>35367.23664916202</v>
      </c>
      <c r="Q42" s="74">
        <v>661.97664916201757</v>
      </c>
      <c r="S42" s="51"/>
    </row>
    <row r="43" spans="1:19" s="62" customFormat="1">
      <c r="A43" s="188"/>
      <c r="B43" s="48"/>
      <c r="C43" s="149" t="s">
        <v>114</v>
      </c>
      <c r="D43" s="170"/>
      <c r="E43" s="72"/>
      <c r="F43" s="71">
        <v>1</v>
      </c>
      <c r="G43" s="145">
        <v>324</v>
      </c>
      <c r="H43" s="71">
        <v>324</v>
      </c>
      <c r="I43" s="47">
        <v>216.68304732330182</v>
      </c>
      <c r="J43" s="70">
        <v>0.65004914196990304</v>
      </c>
      <c r="K43" s="70">
        <v>0.66263928845046183</v>
      </c>
      <c r="L43" s="70">
        <v>0.66263928845046183</v>
      </c>
      <c r="M43" s="140">
        <v>34.74</v>
      </c>
      <c r="N43" s="152">
        <v>35.402639288450466</v>
      </c>
      <c r="O43" s="70"/>
      <c r="P43" s="70"/>
      <c r="Q43" s="74"/>
      <c r="S43" s="51"/>
    </row>
    <row r="44" spans="1:19" s="62" customFormat="1">
      <c r="A44" s="188"/>
      <c r="B44" s="48"/>
      <c r="C44" s="149"/>
      <c r="D44" s="170"/>
      <c r="E44" s="72"/>
      <c r="F44" s="130"/>
      <c r="G44" s="145"/>
      <c r="H44" s="71"/>
      <c r="I44" s="47"/>
      <c r="J44" s="70"/>
      <c r="K44" s="70"/>
      <c r="L44" s="70"/>
      <c r="M44" s="140"/>
      <c r="N44" s="70">
        <v>0</v>
      </c>
      <c r="O44" s="70"/>
      <c r="P44" s="70"/>
      <c r="Q44" s="74">
        <v>0</v>
      </c>
      <c r="S44" s="51"/>
    </row>
    <row r="45" spans="1:19" s="62" customFormat="1">
      <c r="A45" s="139"/>
      <c r="B45" s="48"/>
      <c r="C45" s="149" t="s">
        <v>116</v>
      </c>
      <c r="D45" s="170">
        <v>19</v>
      </c>
      <c r="E45" s="72">
        <v>1</v>
      </c>
      <c r="F45" s="71">
        <v>228</v>
      </c>
      <c r="G45" s="145">
        <v>613</v>
      </c>
      <c r="H45" s="71">
        <v>139764</v>
      </c>
      <c r="I45" s="47">
        <v>93470.646376833203</v>
      </c>
      <c r="J45" s="70">
        <v>280.41193913049858</v>
      </c>
      <c r="K45" s="70">
        <v>285.84295528083442</v>
      </c>
      <c r="L45" s="70">
        <v>1.2536971722843615</v>
      </c>
      <c r="M45" s="140">
        <v>63.88</v>
      </c>
      <c r="N45" s="152">
        <v>65.133697172284357</v>
      </c>
      <c r="O45" s="70">
        <v>14564.64</v>
      </c>
      <c r="P45" s="70">
        <v>14850.482955280833</v>
      </c>
      <c r="Q45" s="74">
        <v>285.84295528083385</v>
      </c>
      <c r="S45" s="51"/>
    </row>
    <row r="46" spans="1:19" s="62" customFormat="1">
      <c r="A46" s="172"/>
      <c r="B46" s="48"/>
      <c r="C46" s="149" t="s">
        <v>157</v>
      </c>
      <c r="D46" s="170">
        <v>19</v>
      </c>
      <c r="E46" s="72">
        <v>1</v>
      </c>
      <c r="F46" s="159">
        <v>228</v>
      </c>
      <c r="G46" s="145"/>
      <c r="H46" s="159"/>
      <c r="I46" s="160"/>
      <c r="J46" s="161"/>
      <c r="K46" s="161"/>
      <c r="L46" s="161"/>
      <c r="M46" s="140">
        <v>24.749999999999993</v>
      </c>
      <c r="N46" s="162">
        <v>24.749999999999993</v>
      </c>
      <c r="O46" s="161">
        <v>5642.9999999999982</v>
      </c>
      <c r="P46" s="161">
        <v>5642.9999999999982</v>
      </c>
      <c r="Q46" s="74">
        <v>0</v>
      </c>
      <c r="S46" s="51"/>
    </row>
    <row r="47" spans="1:19" s="62" customFormat="1">
      <c r="A47" s="139"/>
      <c r="B47" s="48"/>
      <c r="C47" s="128" t="s">
        <v>117</v>
      </c>
      <c r="D47" s="166">
        <v>19</v>
      </c>
      <c r="E47" s="72">
        <v>3.33</v>
      </c>
      <c r="F47" s="71">
        <v>759.24</v>
      </c>
      <c r="G47" s="145">
        <v>613</v>
      </c>
      <c r="H47" s="71">
        <v>465414.12</v>
      </c>
      <c r="I47" s="47">
        <v>311257.25243485457</v>
      </c>
      <c r="J47" s="70">
        <v>933.7717573045602</v>
      </c>
      <c r="K47" s="70">
        <v>951.85704108517859</v>
      </c>
      <c r="L47" s="70">
        <v>1.2536971722843615</v>
      </c>
      <c r="M47" s="140">
        <v>63.88</v>
      </c>
      <c r="N47" s="152">
        <v>65.133697172284357</v>
      </c>
      <c r="O47" s="70">
        <v>48500.251199999999</v>
      </c>
      <c r="P47" s="70">
        <v>49452.108241085181</v>
      </c>
      <c r="Q47" s="74">
        <v>951.85704108518257</v>
      </c>
      <c r="S47" s="51"/>
    </row>
    <row r="48" spans="1:19" s="62" customFormat="1">
      <c r="A48" s="139"/>
      <c r="B48" s="48"/>
      <c r="C48" s="128" t="s">
        <v>118</v>
      </c>
      <c r="D48" s="166"/>
      <c r="E48" s="72"/>
      <c r="F48" s="71">
        <v>1</v>
      </c>
      <c r="G48" s="145">
        <v>613</v>
      </c>
      <c r="H48" s="71">
        <v>613</v>
      </c>
      <c r="I48" s="47">
        <v>409.95897533698775</v>
      </c>
      <c r="J48" s="70">
        <v>1.2298769260109585</v>
      </c>
      <c r="K48" s="70">
        <v>1.2536971722843615</v>
      </c>
      <c r="L48" s="70">
        <v>1.2536971722843615</v>
      </c>
      <c r="M48" s="140">
        <v>63.88</v>
      </c>
      <c r="N48" s="152">
        <v>65.133697172284357</v>
      </c>
      <c r="O48" s="70"/>
      <c r="P48" s="70"/>
      <c r="Q48" s="74"/>
      <c r="S48" s="51"/>
    </row>
    <row r="49" spans="1:19" s="62" customFormat="1">
      <c r="A49" s="139"/>
      <c r="B49" s="48"/>
      <c r="C49" s="128"/>
      <c r="D49" s="166"/>
      <c r="E49" s="72"/>
      <c r="F49" s="71"/>
      <c r="G49" s="145"/>
      <c r="H49" s="71"/>
      <c r="I49" s="47"/>
      <c r="J49" s="70"/>
      <c r="K49" s="70"/>
      <c r="L49" s="70"/>
      <c r="M49" s="140"/>
      <c r="N49" s="70"/>
      <c r="O49" s="70"/>
      <c r="P49" s="70"/>
      <c r="Q49" s="74">
        <v>0</v>
      </c>
      <c r="S49" s="51"/>
    </row>
    <row r="50" spans="1:19" s="62" customFormat="1">
      <c r="A50" s="139"/>
      <c r="B50" s="48"/>
      <c r="C50" s="149" t="s">
        <v>119</v>
      </c>
      <c r="D50" s="170">
        <v>12</v>
      </c>
      <c r="E50" s="72">
        <v>1</v>
      </c>
      <c r="F50" s="71">
        <v>144</v>
      </c>
      <c r="G50" s="145">
        <v>840</v>
      </c>
      <c r="H50" s="112">
        <v>120960</v>
      </c>
      <c r="I50" s="47">
        <v>80895.004334032681</v>
      </c>
      <c r="J50" s="70">
        <v>242.68501300209712</v>
      </c>
      <c r="K50" s="70">
        <v>247.38533435483907</v>
      </c>
      <c r="L50" s="70">
        <v>1.7179537107974936</v>
      </c>
      <c r="M50" s="140">
        <v>92.389999999999986</v>
      </c>
      <c r="N50" s="152">
        <v>94.107953710797474</v>
      </c>
      <c r="O50" s="70">
        <v>13304.159999999998</v>
      </c>
      <c r="P50" s="70">
        <v>13551.545334354836</v>
      </c>
      <c r="Q50" s="74">
        <v>247.38533435483805</v>
      </c>
      <c r="S50" s="51"/>
    </row>
    <row r="51" spans="1:19" s="62" customFormat="1">
      <c r="A51" s="172"/>
      <c r="B51" s="48"/>
      <c r="C51" s="149" t="s">
        <v>158</v>
      </c>
      <c r="D51" s="170">
        <v>12</v>
      </c>
      <c r="E51" s="72">
        <v>1</v>
      </c>
      <c r="F51" s="159">
        <v>144</v>
      </c>
      <c r="G51" s="145"/>
      <c r="H51" s="112"/>
      <c r="I51" s="160"/>
      <c r="J51" s="161"/>
      <c r="K51" s="161"/>
      <c r="L51" s="161"/>
      <c r="M51" s="140">
        <v>35.999999999999986</v>
      </c>
      <c r="N51" s="162">
        <v>35.999999999999986</v>
      </c>
      <c r="O51" s="161">
        <v>5183.9999999999982</v>
      </c>
      <c r="P51" s="161">
        <v>5183.9999999999982</v>
      </c>
      <c r="Q51" s="74">
        <v>0</v>
      </c>
      <c r="S51" s="51"/>
    </row>
    <row r="52" spans="1:19" s="62" customFormat="1">
      <c r="A52" s="139"/>
      <c r="B52" s="48"/>
      <c r="C52" s="149" t="s">
        <v>120</v>
      </c>
      <c r="D52" s="170">
        <v>12</v>
      </c>
      <c r="E52" s="72">
        <v>3.33</v>
      </c>
      <c r="F52" s="71">
        <v>479.52</v>
      </c>
      <c r="G52" s="145">
        <v>840</v>
      </c>
      <c r="H52" s="112">
        <v>402796.79999999999</v>
      </c>
      <c r="I52" s="47">
        <v>269380.36443232885</v>
      </c>
      <c r="J52" s="70">
        <v>808.14109329698351</v>
      </c>
      <c r="K52" s="70">
        <v>823.79316340161415</v>
      </c>
      <c r="L52" s="70">
        <v>1.7179537107974938</v>
      </c>
      <c r="M52" s="140">
        <v>92.39</v>
      </c>
      <c r="N52" s="152">
        <v>94.107953710797489</v>
      </c>
      <c r="O52" s="70">
        <v>44302.852800000001</v>
      </c>
      <c r="P52" s="70">
        <v>45126.645963401606</v>
      </c>
      <c r="Q52" s="74">
        <v>823.79316340160585</v>
      </c>
      <c r="S52" s="51"/>
    </row>
    <row r="53" spans="1:19" s="62" customFormat="1">
      <c r="A53" s="139"/>
      <c r="B53" s="48"/>
      <c r="C53" s="149" t="s">
        <v>121</v>
      </c>
      <c r="D53" s="170"/>
      <c r="E53" s="72"/>
      <c r="F53" s="130">
        <v>1</v>
      </c>
      <c r="G53" s="145">
        <v>840</v>
      </c>
      <c r="H53" s="112">
        <v>840</v>
      </c>
      <c r="I53" s="47">
        <v>561.77086343078247</v>
      </c>
      <c r="J53" s="70">
        <v>1.6853125902923412</v>
      </c>
      <c r="K53" s="70">
        <v>1.7179537107974936</v>
      </c>
      <c r="L53" s="70">
        <v>1.7179537107974936</v>
      </c>
      <c r="M53" s="140">
        <v>92.39</v>
      </c>
      <c r="N53" s="152">
        <v>94.107953710797489</v>
      </c>
      <c r="O53" s="70"/>
      <c r="P53" s="70"/>
      <c r="Q53" s="74">
        <v>0</v>
      </c>
      <c r="S53" s="51"/>
    </row>
    <row r="54" spans="1:19" s="62" customFormat="1">
      <c r="A54" s="139"/>
      <c r="B54" s="48"/>
      <c r="C54" s="149"/>
      <c r="D54" s="170"/>
      <c r="E54" s="72"/>
      <c r="F54" s="130"/>
      <c r="G54" s="145"/>
      <c r="H54" s="112"/>
      <c r="I54" s="47"/>
      <c r="J54" s="70"/>
      <c r="K54" s="70"/>
      <c r="L54" s="70"/>
      <c r="M54" s="140"/>
      <c r="N54" s="70"/>
      <c r="O54" s="70"/>
      <c r="P54" s="70"/>
      <c r="Q54" s="74">
        <v>0</v>
      </c>
      <c r="S54" s="51"/>
    </row>
    <row r="55" spans="1:19" s="62" customFormat="1">
      <c r="A55" s="139"/>
      <c r="B55" s="48"/>
      <c r="C55" s="149" t="s">
        <v>112</v>
      </c>
      <c r="D55" s="170">
        <v>2</v>
      </c>
      <c r="E55" s="72">
        <v>1</v>
      </c>
      <c r="F55" s="71">
        <v>24</v>
      </c>
      <c r="G55" s="145">
        <v>324</v>
      </c>
      <c r="H55" s="71">
        <v>7776</v>
      </c>
      <c r="I55" s="47">
        <v>5200.3931357592437</v>
      </c>
      <c r="J55" s="70">
        <v>15.601179407277673</v>
      </c>
      <c r="K55" s="70">
        <v>15.903342922811085</v>
      </c>
      <c r="L55" s="70">
        <v>0.66263928845046183</v>
      </c>
      <c r="M55" s="140">
        <v>34.74</v>
      </c>
      <c r="N55" s="152">
        <v>35.402639288450466</v>
      </c>
      <c r="O55" s="70">
        <v>833.76</v>
      </c>
      <c r="P55" s="70">
        <v>849.66334292281113</v>
      </c>
      <c r="Q55" s="74">
        <v>15.903342922811134</v>
      </c>
      <c r="S55" s="51"/>
    </row>
    <row r="56" spans="1:19" s="62" customFormat="1">
      <c r="A56" s="173"/>
      <c r="B56" s="48"/>
      <c r="C56" s="149" t="s">
        <v>156</v>
      </c>
      <c r="D56" s="170">
        <v>25</v>
      </c>
      <c r="E56" s="72">
        <v>1</v>
      </c>
      <c r="F56" s="159">
        <v>24</v>
      </c>
      <c r="G56" s="145"/>
      <c r="H56" s="159"/>
      <c r="I56" s="160"/>
      <c r="J56" s="161"/>
      <c r="K56" s="161"/>
      <c r="L56" s="161"/>
      <c r="M56" s="140">
        <v>13.5</v>
      </c>
      <c r="N56" s="162">
        <v>13.5</v>
      </c>
      <c r="O56" s="161">
        <v>4050</v>
      </c>
      <c r="P56" s="161">
        <v>4050</v>
      </c>
      <c r="Q56" s="74">
        <v>0</v>
      </c>
      <c r="S56" s="51"/>
    </row>
    <row r="57" spans="1:19" s="62" customFormat="1">
      <c r="A57" s="139"/>
      <c r="B57" s="48"/>
      <c r="C57" s="149" t="s">
        <v>145</v>
      </c>
      <c r="D57" s="170">
        <v>2</v>
      </c>
      <c r="E57" s="72">
        <v>7.66</v>
      </c>
      <c r="F57" s="71">
        <v>183.84</v>
      </c>
      <c r="G57" s="145">
        <v>324</v>
      </c>
      <c r="H57" s="71">
        <v>59564.160000000003</v>
      </c>
      <c r="I57" s="47">
        <v>39835.011419915812</v>
      </c>
      <c r="J57" s="70">
        <v>119.50503425974699</v>
      </c>
      <c r="K57" s="70">
        <v>121.81960678873293</v>
      </c>
      <c r="L57" s="70">
        <v>0.66263928845046194</v>
      </c>
      <c r="M57" s="140">
        <v>34.74</v>
      </c>
      <c r="N57" s="152">
        <v>35.402639288450466</v>
      </c>
      <c r="O57" s="70">
        <v>6386.6016</v>
      </c>
      <c r="P57" s="70">
        <v>6508.4212067887347</v>
      </c>
      <c r="Q57" s="74">
        <v>121.81960678873475</v>
      </c>
      <c r="S57" s="51"/>
    </row>
    <row r="58" spans="1:19" s="62" customFormat="1">
      <c r="A58" s="139"/>
      <c r="B58" s="48"/>
      <c r="C58" s="128"/>
      <c r="D58" s="166"/>
      <c r="E58" s="72"/>
      <c r="F58" s="129"/>
      <c r="G58" s="144"/>
      <c r="H58" s="112"/>
      <c r="I58" s="47"/>
      <c r="J58" s="70"/>
      <c r="K58" s="70"/>
      <c r="L58" s="70"/>
      <c r="M58" s="70"/>
      <c r="N58" s="70"/>
      <c r="O58" s="70"/>
      <c r="P58" s="70"/>
      <c r="Q58" s="74">
        <v>0</v>
      </c>
      <c r="S58" s="51"/>
    </row>
    <row r="59" spans="1:19" s="62" customFormat="1">
      <c r="A59" s="139"/>
      <c r="B59" s="48"/>
      <c r="C59" s="149" t="s">
        <v>116</v>
      </c>
      <c r="D59" s="170">
        <v>1</v>
      </c>
      <c r="E59" s="72">
        <v>1</v>
      </c>
      <c r="F59" s="71">
        <v>12</v>
      </c>
      <c r="G59" s="145">
        <v>613</v>
      </c>
      <c r="H59" s="71">
        <v>7356</v>
      </c>
      <c r="I59" s="47">
        <v>4919.5077040438528</v>
      </c>
      <c r="J59" s="70">
        <v>14.758523112131503</v>
      </c>
      <c r="K59" s="70">
        <v>15.044366067412337</v>
      </c>
      <c r="L59" s="70">
        <v>1.2536971722843615</v>
      </c>
      <c r="M59" s="140">
        <v>63.88</v>
      </c>
      <c r="N59" s="162">
        <v>65.133697172284357</v>
      </c>
      <c r="O59" s="70">
        <v>766.56000000000006</v>
      </c>
      <c r="P59" s="70">
        <v>781.60436606741223</v>
      </c>
      <c r="Q59" s="74">
        <v>15.04436606741217</v>
      </c>
      <c r="S59" s="51"/>
    </row>
    <row r="60" spans="1:19" s="62" customFormat="1">
      <c r="A60" s="173"/>
      <c r="B60" s="48"/>
      <c r="C60" s="149" t="s">
        <v>157</v>
      </c>
      <c r="D60" s="170">
        <v>19</v>
      </c>
      <c r="E60" s="72">
        <v>1</v>
      </c>
      <c r="F60" s="159">
        <v>12</v>
      </c>
      <c r="G60" s="145"/>
      <c r="H60" s="159"/>
      <c r="I60" s="160"/>
      <c r="J60" s="161"/>
      <c r="K60" s="161"/>
      <c r="L60" s="161"/>
      <c r="M60" s="140">
        <v>24.749999999999993</v>
      </c>
      <c r="N60" s="162">
        <v>24.749999999999993</v>
      </c>
      <c r="O60" s="161">
        <v>5642.9999999999982</v>
      </c>
      <c r="P60" s="161">
        <v>5642.9999999999982</v>
      </c>
      <c r="Q60" s="74">
        <v>0</v>
      </c>
      <c r="S60" s="51"/>
    </row>
    <row r="61" spans="1:19" s="62" customFormat="1">
      <c r="A61" s="139"/>
      <c r="B61" s="48"/>
      <c r="C61" s="128" t="s">
        <v>117</v>
      </c>
      <c r="D61" s="166">
        <v>1</v>
      </c>
      <c r="E61" s="72">
        <v>7.66</v>
      </c>
      <c r="F61" s="71">
        <v>91.92</v>
      </c>
      <c r="G61" s="145">
        <v>613</v>
      </c>
      <c r="H61" s="71">
        <v>56346.96</v>
      </c>
      <c r="I61" s="47">
        <v>37683.42901297591</v>
      </c>
      <c r="J61" s="70">
        <v>113.05028703892731</v>
      </c>
      <c r="K61" s="70">
        <v>115.2398440763785</v>
      </c>
      <c r="L61" s="70">
        <v>1.2536971722843615</v>
      </c>
      <c r="M61" s="140">
        <v>63.88</v>
      </c>
      <c r="N61" s="152">
        <v>65.133697172284357</v>
      </c>
      <c r="O61" s="70">
        <v>5871.8496000000005</v>
      </c>
      <c r="P61" s="70">
        <v>5987.0894440763777</v>
      </c>
      <c r="Q61" s="74">
        <v>115.23984407637727</v>
      </c>
      <c r="S61" s="51"/>
    </row>
    <row r="62" spans="1:19" s="62" customFormat="1">
      <c r="A62" s="139"/>
      <c r="B62" s="48"/>
      <c r="C62" s="128"/>
      <c r="D62" s="166"/>
      <c r="E62" s="72"/>
      <c r="F62" s="129"/>
      <c r="G62" s="144"/>
      <c r="H62" s="112"/>
      <c r="I62" s="47"/>
      <c r="J62" s="70"/>
      <c r="K62" s="70"/>
      <c r="L62" s="70"/>
      <c r="M62" s="70"/>
      <c r="N62" s="70"/>
      <c r="O62" s="70"/>
      <c r="P62" s="70"/>
      <c r="Q62" s="74"/>
      <c r="S62" s="51"/>
    </row>
    <row r="63" spans="1:19" s="62" customFormat="1">
      <c r="A63" s="139"/>
      <c r="B63" s="48"/>
      <c r="C63" s="149" t="s">
        <v>119</v>
      </c>
      <c r="D63" s="170">
        <v>1</v>
      </c>
      <c r="E63" s="72">
        <v>1</v>
      </c>
      <c r="F63" s="71">
        <v>12</v>
      </c>
      <c r="G63" s="145">
        <v>840</v>
      </c>
      <c r="H63" s="112">
        <v>10080</v>
      </c>
      <c r="I63" s="47">
        <v>6741.2503611693901</v>
      </c>
      <c r="J63" s="70">
        <v>20.223751083508095</v>
      </c>
      <c r="K63" s="70">
        <v>20.615444529569924</v>
      </c>
      <c r="L63" s="70">
        <v>1.7179537107974936</v>
      </c>
      <c r="M63" s="140">
        <v>92.39</v>
      </c>
      <c r="N63" s="152">
        <v>94.107953710797489</v>
      </c>
      <c r="O63" s="70">
        <v>1108.68</v>
      </c>
      <c r="P63" s="70">
        <v>1129.29544452957</v>
      </c>
      <c r="Q63" s="74"/>
      <c r="S63" s="51"/>
    </row>
    <row r="64" spans="1:19" s="62" customFormat="1">
      <c r="A64" s="173"/>
      <c r="B64" s="48"/>
      <c r="C64" s="149" t="s">
        <v>158</v>
      </c>
      <c r="D64" s="170">
        <v>12</v>
      </c>
      <c r="E64" s="72">
        <v>1</v>
      </c>
      <c r="F64" s="159">
        <v>12</v>
      </c>
      <c r="G64" s="145"/>
      <c r="H64" s="112"/>
      <c r="I64" s="160"/>
      <c r="J64" s="161"/>
      <c r="K64" s="161"/>
      <c r="L64" s="161"/>
      <c r="M64" s="140">
        <v>35.999999999999986</v>
      </c>
      <c r="N64" s="162">
        <v>35.999999999999986</v>
      </c>
      <c r="O64" s="161">
        <v>5183.9999999999982</v>
      </c>
      <c r="P64" s="161">
        <v>5183.9999999999982</v>
      </c>
      <c r="Q64" s="74">
        <v>0</v>
      </c>
      <c r="S64" s="51"/>
    </row>
    <row r="65" spans="1:19" s="62" customFormat="1">
      <c r="A65" s="139"/>
      <c r="B65" s="48"/>
      <c r="C65" s="149" t="s">
        <v>146</v>
      </c>
      <c r="D65" s="170">
        <v>1</v>
      </c>
      <c r="E65" s="72">
        <v>11.99</v>
      </c>
      <c r="F65" s="71">
        <v>143.88</v>
      </c>
      <c r="G65" s="145">
        <v>840</v>
      </c>
      <c r="H65" s="112">
        <v>120859.2</v>
      </c>
      <c r="I65" s="47">
        <v>80827.591830420992</v>
      </c>
      <c r="J65" s="70">
        <v>242.48277549126206</v>
      </c>
      <c r="K65" s="70">
        <v>247.17917990954339</v>
      </c>
      <c r="L65" s="70">
        <v>1.7179537107974938</v>
      </c>
      <c r="M65" s="140">
        <v>92.39</v>
      </c>
      <c r="N65" s="152">
        <v>94.107953710797489</v>
      </c>
      <c r="O65" s="70">
        <v>13293.073200000001</v>
      </c>
      <c r="P65" s="70">
        <v>13540.252379909542</v>
      </c>
      <c r="Q65" s="74"/>
      <c r="S65" s="51"/>
    </row>
    <row r="66" spans="1:19" s="62" customFormat="1">
      <c r="A66" s="139"/>
      <c r="B66" s="48"/>
      <c r="C66" s="128"/>
      <c r="D66" s="166"/>
      <c r="E66" s="72"/>
      <c r="F66" s="129"/>
      <c r="G66" s="144"/>
      <c r="H66" s="112"/>
      <c r="I66" s="47"/>
      <c r="J66" s="70"/>
      <c r="K66" s="70"/>
      <c r="L66" s="70"/>
      <c r="M66" s="70"/>
      <c r="N66" s="70"/>
      <c r="O66" s="70"/>
      <c r="P66" s="70"/>
      <c r="Q66" s="74"/>
      <c r="S66" s="51"/>
    </row>
    <row r="67" spans="1:19" s="62" customFormat="1">
      <c r="A67" s="139"/>
      <c r="B67" s="48"/>
      <c r="C67" s="149" t="s">
        <v>105</v>
      </c>
      <c r="D67" s="122">
        <v>49</v>
      </c>
      <c r="E67" s="72">
        <v>1</v>
      </c>
      <c r="F67" s="71">
        <v>588</v>
      </c>
      <c r="G67" s="145">
        <v>175</v>
      </c>
      <c r="H67" s="71">
        <v>102900</v>
      </c>
      <c r="I67" s="47">
        <v>68816.930770270861</v>
      </c>
      <c r="J67" s="70">
        <v>206.45079231081181</v>
      </c>
      <c r="K67" s="70">
        <v>210.44932957269299</v>
      </c>
      <c r="L67" s="70">
        <v>0.35790702308281119</v>
      </c>
      <c r="M67" s="177">
        <v>30</v>
      </c>
      <c r="N67" s="152">
        <v>30.357907023082809</v>
      </c>
      <c r="O67" s="70">
        <v>17640</v>
      </c>
      <c r="P67" s="70">
        <v>17850.44932957269</v>
      </c>
      <c r="Q67" s="74">
        <v>210.44932957268975</v>
      </c>
      <c r="S67" s="51"/>
    </row>
    <row r="68" spans="1:19" s="62" customFormat="1">
      <c r="A68" s="139"/>
      <c r="B68" s="48"/>
      <c r="C68" s="128" t="s">
        <v>147</v>
      </c>
      <c r="D68" s="165">
        <v>49</v>
      </c>
      <c r="E68" s="72">
        <v>1.17</v>
      </c>
      <c r="F68" s="71">
        <v>687.96</v>
      </c>
      <c r="G68" s="145">
        <v>175</v>
      </c>
      <c r="H68" s="71">
        <v>120393</v>
      </c>
      <c r="I68" s="47">
        <v>80515.809001216912</v>
      </c>
      <c r="J68" s="70">
        <v>241.54742700364983</v>
      </c>
      <c r="K68" s="70">
        <v>246.22571560005079</v>
      </c>
      <c r="L68" s="70">
        <v>0.35790702308281119</v>
      </c>
      <c r="M68" s="153">
        <v>18.899999999999999</v>
      </c>
      <c r="N68" s="152">
        <v>19.257907023082808</v>
      </c>
      <c r="O68" s="70">
        <v>13002.443999999998</v>
      </c>
      <c r="P68" s="70">
        <v>13248.669715600048</v>
      </c>
      <c r="Q68" s="74">
        <v>246.22571560005053</v>
      </c>
      <c r="S68" s="51"/>
    </row>
    <row r="69" spans="1:19" s="62" customFormat="1">
      <c r="A69" s="139"/>
      <c r="B69" s="48"/>
      <c r="C69" s="128"/>
      <c r="D69" s="166"/>
      <c r="E69" s="72"/>
      <c r="F69" s="129"/>
      <c r="G69" s="144"/>
      <c r="H69" s="112"/>
      <c r="I69" s="47"/>
      <c r="J69" s="70"/>
      <c r="K69" s="70"/>
      <c r="L69" s="70"/>
      <c r="M69" s="70"/>
      <c r="N69" s="70"/>
      <c r="O69" s="70"/>
      <c r="P69" s="70"/>
      <c r="Q69" s="74"/>
      <c r="S69" s="51"/>
    </row>
    <row r="70" spans="1:19" s="62" customFormat="1">
      <c r="A70" s="139"/>
      <c r="B70" s="48"/>
      <c r="C70" s="149" t="s">
        <v>108</v>
      </c>
      <c r="D70" s="170">
        <v>2</v>
      </c>
      <c r="E70" s="72">
        <v>1</v>
      </c>
      <c r="F70" s="71">
        <v>24</v>
      </c>
      <c r="G70" s="145">
        <v>250</v>
      </c>
      <c r="H70" s="71">
        <v>6000</v>
      </c>
      <c r="I70" s="47">
        <v>4012.6490245055893</v>
      </c>
      <c r="J70" s="70">
        <v>12.037947073516722</v>
      </c>
      <c r="K70" s="70">
        <v>12.271097934267811</v>
      </c>
      <c r="L70" s="70">
        <v>0.51129574726115878</v>
      </c>
      <c r="M70" s="177">
        <v>37.5</v>
      </c>
      <c r="N70" s="152">
        <v>38.011295747261158</v>
      </c>
      <c r="O70" s="70">
        <v>900</v>
      </c>
      <c r="P70" s="70">
        <v>912.2710979342678</v>
      </c>
      <c r="Q70" s="74">
        <v>12.2710979342678</v>
      </c>
      <c r="S70" s="51"/>
    </row>
    <row r="71" spans="1:19" s="62" customFormat="1">
      <c r="A71" s="139"/>
      <c r="B71" s="48"/>
      <c r="C71" s="128" t="s">
        <v>148</v>
      </c>
      <c r="D71" s="166">
        <v>2</v>
      </c>
      <c r="E71" s="72">
        <v>1.17</v>
      </c>
      <c r="F71" s="71">
        <v>28.08</v>
      </c>
      <c r="G71" s="143">
        <v>250</v>
      </c>
      <c r="H71" s="71">
        <v>7020</v>
      </c>
      <c r="I71" s="47">
        <v>4694.7993586715393</v>
      </c>
      <c r="J71" s="70">
        <v>14.084398076014566</v>
      </c>
      <c r="K71" s="70">
        <v>14.357184583093339</v>
      </c>
      <c r="L71" s="70">
        <v>0.51129574726115878</v>
      </c>
      <c r="M71" s="140">
        <v>26.25</v>
      </c>
      <c r="N71" s="152">
        <v>26.761295747261158</v>
      </c>
      <c r="O71" s="70">
        <v>737.09999999999991</v>
      </c>
      <c r="P71" s="70">
        <v>751.45718458309329</v>
      </c>
      <c r="Q71" s="74">
        <v>14.357184583093385</v>
      </c>
      <c r="S71" s="51"/>
    </row>
    <row r="72" spans="1:19" s="62" customFormat="1">
      <c r="A72" s="139"/>
      <c r="B72" s="48"/>
      <c r="C72" s="128"/>
      <c r="D72" s="166"/>
      <c r="E72" s="72"/>
      <c r="F72" s="129"/>
      <c r="G72" s="144"/>
      <c r="H72" s="112"/>
      <c r="I72" s="47"/>
      <c r="J72" s="70"/>
      <c r="K72" s="70"/>
      <c r="L72" s="70"/>
      <c r="M72" s="70"/>
      <c r="N72" s="152"/>
      <c r="O72" s="70"/>
      <c r="P72" s="70"/>
      <c r="Q72" s="74"/>
      <c r="S72" s="51"/>
    </row>
    <row r="73" spans="1:19" s="62" customFormat="1">
      <c r="A73" s="139"/>
      <c r="B73" s="48"/>
      <c r="C73" s="149" t="s">
        <v>112</v>
      </c>
      <c r="D73" s="170">
        <v>31</v>
      </c>
      <c r="E73" s="72">
        <v>1</v>
      </c>
      <c r="F73" s="71">
        <v>372</v>
      </c>
      <c r="G73" s="145">
        <v>324</v>
      </c>
      <c r="H73" s="71">
        <v>120528</v>
      </c>
      <c r="I73" s="47">
        <v>80606.093604268288</v>
      </c>
      <c r="J73" s="70">
        <v>241.81828081280395</v>
      </c>
      <c r="K73" s="70">
        <v>246.50181530357182</v>
      </c>
      <c r="L73" s="70">
        <v>0.66263928845046183</v>
      </c>
      <c r="M73" s="177">
        <v>45</v>
      </c>
      <c r="N73" s="152">
        <v>45.662639288450464</v>
      </c>
      <c r="O73" s="70">
        <v>16740</v>
      </c>
      <c r="P73" s="70">
        <v>16986.501815303571</v>
      </c>
      <c r="Q73" s="74"/>
      <c r="S73" s="51"/>
    </row>
    <row r="74" spans="1:19" s="62" customFormat="1">
      <c r="A74" s="139"/>
      <c r="B74" s="48"/>
      <c r="C74" s="149" t="s">
        <v>149</v>
      </c>
      <c r="D74" s="170">
        <v>31</v>
      </c>
      <c r="E74" s="72">
        <v>1.17</v>
      </c>
      <c r="F74" s="71">
        <v>435.23999999999995</v>
      </c>
      <c r="G74" s="145">
        <v>324</v>
      </c>
      <c r="H74" s="71">
        <v>141017.75999999998</v>
      </c>
      <c r="I74" s="47">
        <v>94309.129516993882</v>
      </c>
      <c r="J74" s="70">
        <v>282.9273885509806</v>
      </c>
      <c r="K74" s="70">
        <v>288.40712390517899</v>
      </c>
      <c r="L74" s="70">
        <v>0.66263928845046183</v>
      </c>
      <c r="M74" s="140">
        <v>31.5</v>
      </c>
      <c r="N74" s="152">
        <v>32.162639288450464</v>
      </c>
      <c r="O74" s="70">
        <v>13710.059999999998</v>
      </c>
      <c r="P74" s="70">
        <v>13998.467123905179</v>
      </c>
      <c r="Q74" s="74"/>
      <c r="S74" s="51"/>
    </row>
    <row r="75" spans="1:19" s="62" customFormat="1">
      <c r="A75" s="139"/>
      <c r="B75" s="48"/>
      <c r="C75" s="128"/>
      <c r="D75" s="166"/>
      <c r="E75" s="72"/>
      <c r="F75" s="129"/>
      <c r="G75" s="144"/>
      <c r="H75" s="112"/>
      <c r="I75" s="47"/>
      <c r="J75" s="70"/>
      <c r="K75" s="70"/>
      <c r="L75" s="70"/>
      <c r="M75" s="70"/>
      <c r="N75" s="152"/>
      <c r="O75" s="70"/>
      <c r="P75" s="70"/>
      <c r="Q75" s="74"/>
      <c r="S75" s="51"/>
    </row>
    <row r="76" spans="1:19" s="62" customFormat="1">
      <c r="A76" s="139"/>
      <c r="B76" s="48"/>
      <c r="C76" s="149" t="s">
        <v>116</v>
      </c>
      <c r="D76" s="170">
        <v>6</v>
      </c>
      <c r="E76" s="72">
        <v>1</v>
      </c>
      <c r="F76" s="71">
        <v>72</v>
      </c>
      <c r="G76" s="145">
        <v>613</v>
      </c>
      <c r="H76" s="71">
        <v>44136</v>
      </c>
      <c r="I76" s="47">
        <v>29517.046224263115</v>
      </c>
      <c r="J76" s="70">
        <v>88.551138672789008</v>
      </c>
      <c r="K76" s="70">
        <v>90.266196404474016</v>
      </c>
      <c r="L76" s="70">
        <v>1.2536971722843613</v>
      </c>
      <c r="M76" s="177">
        <v>82.5</v>
      </c>
      <c r="N76" s="152">
        <v>83.753697172284362</v>
      </c>
      <c r="O76" s="70">
        <v>5940</v>
      </c>
      <c r="P76" s="70">
        <v>6030.2661964044737</v>
      </c>
      <c r="Q76" s="74">
        <v>90.266196404473703</v>
      </c>
      <c r="S76" s="51"/>
    </row>
    <row r="77" spans="1:19" s="62" customFormat="1">
      <c r="A77" s="139"/>
      <c r="B77" s="48"/>
      <c r="C77" s="128" t="s">
        <v>150</v>
      </c>
      <c r="D77" s="166">
        <v>6</v>
      </c>
      <c r="E77" s="72">
        <v>1.17</v>
      </c>
      <c r="F77" s="71">
        <v>84.24</v>
      </c>
      <c r="G77" s="145">
        <v>613</v>
      </c>
      <c r="H77" s="71">
        <v>51639.119999999995</v>
      </c>
      <c r="I77" s="47">
        <v>34534.944082387839</v>
      </c>
      <c r="J77" s="70">
        <v>103.60483224716313</v>
      </c>
      <c r="K77" s="70">
        <v>105.61144979323458</v>
      </c>
      <c r="L77" s="70">
        <v>1.2536971722843613</v>
      </c>
      <c r="M77" s="140">
        <v>57.75</v>
      </c>
      <c r="N77" s="152">
        <v>59.003697172284362</v>
      </c>
      <c r="O77" s="70">
        <v>4864.8599999999997</v>
      </c>
      <c r="P77" s="70">
        <v>4970.4714497932346</v>
      </c>
      <c r="Q77" s="74">
        <v>105.6114497932349</v>
      </c>
      <c r="S77" s="51"/>
    </row>
    <row r="78" spans="1:19" s="62" customFormat="1">
      <c r="A78" s="139"/>
      <c r="B78" s="48"/>
      <c r="C78" s="128"/>
      <c r="D78" s="166"/>
      <c r="E78" s="72"/>
      <c r="F78" s="129"/>
      <c r="G78" s="144"/>
      <c r="H78" s="112"/>
      <c r="I78" s="47"/>
      <c r="J78" s="70"/>
      <c r="K78" s="70"/>
      <c r="L78" s="70"/>
      <c r="M78" s="70"/>
      <c r="N78" s="152"/>
      <c r="O78" s="70"/>
      <c r="P78" s="70"/>
      <c r="Q78" s="74"/>
      <c r="S78" s="51"/>
    </row>
    <row r="79" spans="1:19" s="62" customFormat="1">
      <c r="A79" s="139"/>
      <c r="B79" s="48"/>
      <c r="C79" s="110" t="s">
        <v>153</v>
      </c>
      <c r="D79" s="176">
        <v>94</v>
      </c>
      <c r="E79" s="72">
        <v>1</v>
      </c>
      <c r="F79" s="71">
        <v>12</v>
      </c>
      <c r="G79" s="71">
        <v>125</v>
      </c>
      <c r="H79" s="71">
        <v>1500</v>
      </c>
      <c r="I79" s="47">
        <v>1003.1622561263973</v>
      </c>
      <c r="J79" s="70">
        <v>3.0094867683791806</v>
      </c>
      <c r="K79" s="70">
        <v>3.0677744835669527</v>
      </c>
      <c r="L79" s="70">
        <v>0.25564787363057939</v>
      </c>
      <c r="M79" s="178">
        <v>30</v>
      </c>
      <c r="N79" s="152">
        <v>30.255647873630579</v>
      </c>
      <c r="O79" s="70">
        <v>33840</v>
      </c>
      <c r="P79" s="70">
        <v>34128.370801455298</v>
      </c>
      <c r="Q79" s="74"/>
      <c r="S79" s="51"/>
    </row>
    <row r="80" spans="1:19" s="62" customFormat="1">
      <c r="A80" s="139"/>
      <c r="B80" s="48"/>
      <c r="C80" s="128"/>
      <c r="D80" s="166"/>
      <c r="E80" s="72"/>
      <c r="F80" s="129"/>
      <c r="G80" s="144"/>
      <c r="H80" s="112"/>
      <c r="I80" s="47"/>
      <c r="J80" s="70"/>
      <c r="K80" s="70"/>
      <c r="L80" s="70"/>
      <c r="M80" s="70"/>
      <c r="N80" s="152"/>
      <c r="O80" s="70"/>
      <c r="P80" s="70"/>
      <c r="Q80" s="74"/>
      <c r="S80" s="51"/>
    </row>
    <row r="81" spans="1:19" s="62" customFormat="1">
      <c r="A81" s="139"/>
      <c r="B81" s="48"/>
      <c r="C81" s="128"/>
      <c r="D81" s="166"/>
      <c r="E81" s="72"/>
      <c r="F81" s="129"/>
      <c r="G81" s="144"/>
      <c r="H81" s="112"/>
      <c r="I81" s="47"/>
      <c r="J81" s="70"/>
      <c r="K81" s="70"/>
      <c r="L81" s="70"/>
      <c r="M81" s="70"/>
      <c r="N81" s="152"/>
      <c r="O81" s="70"/>
      <c r="P81" s="70"/>
      <c r="Q81" s="74"/>
      <c r="S81" s="51"/>
    </row>
    <row r="82" spans="1:19" s="62" customFormat="1">
      <c r="A82" s="139"/>
      <c r="B82" s="48"/>
      <c r="C82" s="128"/>
      <c r="D82" s="166"/>
      <c r="E82" s="72"/>
      <c r="F82" s="129"/>
      <c r="G82" s="143"/>
      <c r="H82" s="71"/>
      <c r="I82" s="47"/>
      <c r="J82" s="70"/>
      <c r="K82" s="70"/>
      <c r="L82" s="70"/>
      <c r="M82" s="70"/>
      <c r="N82" s="70"/>
      <c r="O82" s="70"/>
      <c r="P82" s="70"/>
      <c r="Q82" s="74"/>
      <c r="S82" s="51"/>
    </row>
    <row r="83" spans="1:19" s="62" customFormat="1">
      <c r="A83" s="49"/>
      <c r="B83" s="26"/>
      <c r="C83" s="50"/>
      <c r="D83" s="52">
        <v>328</v>
      </c>
      <c r="E83" s="52">
        <v>62.316666666666656</v>
      </c>
      <c r="F83" s="52">
        <v>14828.359999999999</v>
      </c>
      <c r="G83" s="146">
        <v>13252</v>
      </c>
      <c r="H83" s="52">
        <v>2949647.12</v>
      </c>
      <c r="I83" s="52">
        <v>1972649.7731172866</v>
      </c>
      <c r="J83" s="76"/>
      <c r="K83" s="76"/>
      <c r="L83" s="76"/>
      <c r="M83" s="76"/>
      <c r="N83" s="76"/>
      <c r="O83" s="141">
        <v>403637.50439999998</v>
      </c>
      <c r="P83" s="141">
        <v>409630.86635560845</v>
      </c>
      <c r="Q83" s="141">
        <v>4902.2875905053515</v>
      </c>
    </row>
    <row r="84" spans="1:19">
      <c r="C84" s="66"/>
      <c r="D84" s="167">
        <v>1035</v>
      </c>
      <c r="E84" s="67"/>
      <c r="F84" s="107">
        <v>47566.36</v>
      </c>
      <c r="G84" s="67"/>
      <c r="H84" s="67">
        <v>4325671.12</v>
      </c>
      <c r="I84" s="67">
        <v>2892900</v>
      </c>
      <c r="J84" s="70"/>
      <c r="K84" s="78"/>
      <c r="L84" s="78"/>
      <c r="M84" s="78"/>
      <c r="N84" s="78"/>
      <c r="O84" s="78">
        <v>609320.98439999996</v>
      </c>
      <c r="P84" s="78">
        <v>617913.31581369461</v>
      </c>
      <c r="Q84" s="78">
        <v>7501.2570485915239</v>
      </c>
    </row>
    <row r="85" spans="1:19">
      <c r="D85" s="168"/>
      <c r="G85" s="147"/>
      <c r="J85" s="58"/>
      <c r="P85" s="63"/>
    </row>
    <row r="86" spans="1:19">
      <c r="D86" s="168"/>
      <c r="G86" s="147"/>
      <c r="J86" s="58"/>
      <c r="P86" s="63"/>
    </row>
    <row r="87" spans="1:19">
      <c r="A87" s="79"/>
      <c r="B87" s="80"/>
      <c r="C87" s="83" t="s">
        <v>91</v>
      </c>
      <c r="D87" s="169"/>
      <c r="E87" s="79"/>
      <c r="F87" s="79"/>
      <c r="G87" s="148"/>
      <c r="H87" s="79"/>
      <c r="I87" s="81"/>
      <c r="J87" s="82"/>
      <c r="K87" s="79"/>
      <c r="L87" s="79"/>
      <c r="M87" s="79"/>
      <c r="N87" s="79"/>
      <c r="O87" s="62"/>
      <c r="P87" s="106"/>
      <c r="Q87" s="62"/>
    </row>
    <row r="88" spans="1:19" s="62" customFormat="1">
      <c r="A88" s="187"/>
      <c r="B88" s="48"/>
      <c r="C88" s="110" t="s">
        <v>151</v>
      </c>
      <c r="D88" s="170">
        <v>0</v>
      </c>
      <c r="E88" s="72">
        <v>4.333333333333333</v>
      </c>
      <c r="F88" s="71">
        <v>52</v>
      </c>
      <c r="G88" s="71">
        <v>117</v>
      </c>
      <c r="H88" s="71">
        <v>6084</v>
      </c>
      <c r="I88" s="47">
        <v>4068.8261108486677</v>
      </c>
      <c r="J88" s="70">
        <v>12.206478332545958</v>
      </c>
      <c r="K88" s="70">
        <v>12.442893305347562</v>
      </c>
      <c r="L88" s="70">
        <v>1.0369077754456302</v>
      </c>
      <c r="M88" s="95">
        <v>57.53</v>
      </c>
      <c r="N88" s="152">
        <v>58.566907775445628</v>
      </c>
      <c r="O88" s="70"/>
      <c r="P88" s="70"/>
      <c r="Q88" s="70"/>
    </row>
    <row r="89" spans="1:19" s="62" customFormat="1">
      <c r="A89" s="187"/>
      <c r="B89" s="48"/>
      <c r="C89" s="110" t="s">
        <v>152</v>
      </c>
      <c r="D89" s="170">
        <v>0</v>
      </c>
      <c r="E89" s="72">
        <v>4.333333333333333</v>
      </c>
      <c r="F89" s="71">
        <v>52</v>
      </c>
      <c r="G89" s="71">
        <v>157</v>
      </c>
      <c r="H89" s="71">
        <v>8164</v>
      </c>
      <c r="I89" s="47">
        <v>5459.8777726772723</v>
      </c>
      <c r="J89" s="70">
        <v>16.379633318031757</v>
      </c>
      <c r="K89" s="70">
        <v>16.696873922560407</v>
      </c>
      <c r="L89" s="70">
        <v>1.3914061602133672</v>
      </c>
      <c r="M89" s="95">
        <v>62.97</v>
      </c>
      <c r="N89" s="152">
        <v>64.361406160213363</v>
      </c>
      <c r="O89" s="70"/>
      <c r="P89" s="70"/>
      <c r="Q89" s="70"/>
    </row>
    <row r="90" spans="1:19" s="62" customFormat="1">
      <c r="A90" s="187"/>
      <c r="B90" s="48"/>
      <c r="C90" s="110" t="s">
        <v>101</v>
      </c>
      <c r="D90" s="170">
        <v>0</v>
      </c>
      <c r="E90" s="72">
        <v>1</v>
      </c>
      <c r="F90" s="71">
        <v>12</v>
      </c>
      <c r="G90" s="71">
        <v>34</v>
      </c>
      <c r="H90" s="71">
        <v>408</v>
      </c>
      <c r="I90" s="47">
        <v>272.86013366638008</v>
      </c>
      <c r="J90" s="70">
        <v>0.8185804009991372</v>
      </c>
      <c r="K90" s="70">
        <v>0.83443465953021123</v>
      </c>
      <c r="L90" s="70">
        <v>6.9536221627517603E-2</v>
      </c>
      <c r="M90" s="95">
        <v>8.51</v>
      </c>
      <c r="N90" s="152">
        <v>8.5795362216275173</v>
      </c>
      <c r="O90" s="70"/>
      <c r="P90" s="70"/>
      <c r="Q90" s="70"/>
    </row>
    <row r="91" spans="1:19" s="62" customFormat="1">
      <c r="A91" s="187"/>
      <c r="B91" s="48"/>
      <c r="C91" s="110" t="s">
        <v>102</v>
      </c>
      <c r="D91" s="170">
        <v>0</v>
      </c>
      <c r="E91" s="72">
        <v>2</v>
      </c>
      <c r="F91" s="71">
        <v>24</v>
      </c>
      <c r="G91" s="71">
        <v>34</v>
      </c>
      <c r="H91" s="71">
        <v>816</v>
      </c>
      <c r="I91" s="47">
        <v>545.72026733276016</v>
      </c>
      <c r="J91" s="70">
        <v>1.6371608019982744</v>
      </c>
      <c r="K91" s="70">
        <v>1.6688693190604225</v>
      </c>
      <c r="L91" s="70">
        <v>0.13907244325503521</v>
      </c>
      <c r="M91" s="95">
        <v>17.02</v>
      </c>
      <c r="N91" s="152">
        <v>17.159072443255035</v>
      </c>
      <c r="O91" s="70"/>
      <c r="P91" s="70"/>
      <c r="Q91" s="70"/>
    </row>
    <row r="92" spans="1:19" s="62" customFormat="1">
      <c r="A92" s="173"/>
      <c r="B92" s="48"/>
      <c r="C92" s="110" t="s">
        <v>159</v>
      </c>
      <c r="D92" s="170">
        <v>0</v>
      </c>
      <c r="E92" s="72">
        <v>4.33</v>
      </c>
      <c r="F92" s="159">
        <v>51.96</v>
      </c>
      <c r="G92" s="159">
        <v>97</v>
      </c>
      <c r="H92" s="159">
        <v>5040.12</v>
      </c>
      <c r="I92" s="160">
        <v>3370.7054335651851</v>
      </c>
      <c r="J92" s="161">
        <v>10.112116300695517</v>
      </c>
      <c r="K92" s="161">
        <v>10.307967686743646</v>
      </c>
      <c r="L92" s="161">
        <v>0.85899730722863721</v>
      </c>
      <c r="M92" s="95">
        <v>54.2</v>
      </c>
      <c r="N92" s="162">
        <v>55.058997307228637</v>
      </c>
      <c r="O92" s="161"/>
      <c r="P92" s="161"/>
      <c r="Q92" s="161"/>
    </row>
    <row r="93" spans="1:19" s="62" customFormat="1">
      <c r="A93" s="173"/>
      <c r="B93" s="48"/>
      <c r="C93" s="110" t="s">
        <v>160</v>
      </c>
      <c r="D93" s="170">
        <v>0</v>
      </c>
      <c r="E93" s="72">
        <v>4.33</v>
      </c>
      <c r="F93" s="159">
        <v>51.96</v>
      </c>
      <c r="G93" s="159">
        <v>157</v>
      </c>
      <c r="H93" s="159">
        <v>8157.72</v>
      </c>
      <c r="I93" s="160">
        <v>5455.67786669829</v>
      </c>
      <c r="J93" s="161">
        <v>16.36703360009481</v>
      </c>
      <c r="K93" s="161">
        <v>16.684030173389207</v>
      </c>
      <c r="L93" s="161">
        <v>1.3903358477824339</v>
      </c>
      <c r="M93" s="95">
        <v>65.930000000000007</v>
      </c>
      <c r="N93" s="162">
        <v>67.320335847782445</v>
      </c>
      <c r="O93" s="161"/>
      <c r="P93" s="161"/>
      <c r="Q93" s="161"/>
    </row>
    <row r="94" spans="1:19" s="62" customFormat="1">
      <c r="A94" s="173"/>
      <c r="B94" s="48"/>
      <c r="C94" s="110" t="s">
        <v>165</v>
      </c>
      <c r="D94" s="170">
        <v>0</v>
      </c>
      <c r="E94" s="72">
        <v>1</v>
      </c>
      <c r="F94" s="159">
        <v>12</v>
      </c>
      <c r="G94" s="159">
        <v>40</v>
      </c>
      <c r="H94" s="159">
        <v>480</v>
      </c>
      <c r="I94" s="160">
        <v>321.01192196044718</v>
      </c>
      <c r="J94" s="161">
        <v>0.96303576588133799</v>
      </c>
      <c r="K94" s="161">
        <v>0.98168783474142507</v>
      </c>
      <c r="L94" s="161">
        <v>1.0007011567190878</v>
      </c>
      <c r="M94" s="161">
        <v>9.64</v>
      </c>
      <c r="N94" s="162">
        <v>10.640701156719089</v>
      </c>
      <c r="O94" s="161"/>
      <c r="P94" s="161"/>
      <c r="Q94" s="161"/>
    </row>
    <row r="95" spans="1:19" s="62" customFormat="1">
      <c r="A95" s="173"/>
      <c r="B95" s="48"/>
      <c r="C95" s="110" t="s">
        <v>161</v>
      </c>
      <c r="D95" s="170"/>
      <c r="E95" s="72">
        <v>1</v>
      </c>
      <c r="F95" s="159">
        <v>12</v>
      </c>
      <c r="G95" s="159">
        <v>34</v>
      </c>
      <c r="H95" s="159">
        <v>408</v>
      </c>
      <c r="I95" s="160">
        <v>272.86013366638008</v>
      </c>
      <c r="J95" s="161">
        <v>0.8185804009991372</v>
      </c>
      <c r="K95" s="161">
        <v>0.83443465953021123</v>
      </c>
      <c r="L95" s="161">
        <v>0.85059598321122454</v>
      </c>
      <c r="M95" s="161">
        <v>15.34</v>
      </c>
      <c r="N95" s="162">
        <v>16.190595983211225</v>
      </c>
      <c r="O95" s="161"/>
      <c r="P95" s="161"/>
      <c r="Q95" s="161"/>
    </row>
    <row r="96" spans="1:19" s="62" customFormat="1">
      <c r="A96" s="139"/>
      <c r="B96" s="48"/>
      <c r="C96" s="142" t="s">
        <v>99</v>
      </c>
      <c r="D96" s="170">
        <v>0</v>
      </c>
      <c r="E96" s="72">
        <v>1</v>
      </c>
      <c r="F96" s="71">
        <v>12</v>
      </c>
      <c r="G96" s="71">
        <v>34</v>
      </c>
      <c r="H96" s="71">
        <v>408</v>
      </c>
      <c r="I96" s="47">
        <v>272.86013366638008</v>
      </c>
      <c r="J96" s="70">
        <v>0.8185804009991372</v>
      </c>
      <c r="K96" s="70">
        <v>0.83443465953021123</v>
      </c>
      <c r="L96" s="70">
        <v>6.9536221627517603E-2</v>
      </c>
      <c r="M96" s="95">
        <v>5.34</v>
      </c>
      <c r="N96" s="152">
        <v>5.4095362216275173</v>
      </c>
      <c r="O96" s="70"/>
      <c r="P96" s="70"/>
      <c r="Q96" s="70"/>
    </row>
    <row r="97" spans="1:17" s="62" customFormat="1">
      <c r="A97" s="139"/>
      <c r="B97" s="48"/>
      <c r="C97" s="113"/>
      <c r="D97" s="170"/>
      <c r="E97" s="72"/>
      <c r="F97" s="71"/>
      <c r="G97" s="71"/>
      <c r="H97" s="71"/>
      <c r="I97" s="47"/>
      <c r="J97" s="70"/>
      <c r="K97" s="70"/>
      <c r="L97" s="70"/>
      <c r="M97" s="95"/>
      <c r="N97" s="70"/>
      <c r="O97" s="70"/>
      <c r="P97" s="70"/>
      <c r="Q97" s="70"/>
    </row>
    <row r="98" spans="1:17" s="62" customFormat="1">
      <c r="A98" s="132"/>
      <c r="B98" s="133"/>
      <c r="C98" s="113"/>
      <c r="D98" s="171"/>
      <c r="E98" s="134"/>
      <c r="F98" s="135"/>
      <c r="G98" s="135"/>
      <c r="H98" s="135"/>
      <c r="I98" s="136"/>
      <c r="J98" s="137"/>
      <c r="K98" s="137"/>
      <c r="L98" s="137"/>
      <c r="M98" s="138"/>
      <c r="N98" s="137"/>
      <c r="O98" s="70"/>
      <c r="P98" s="70"/>
      <c r="Q98" s="70"/>
    </row>
    <row r="99" spans="1:17" s="62" customFormat="1">
      <c r="A99" s="187"/>
      <c r="B99" s="48"/>
      <c r="C99" s="110" t="s">
        <v>103</v>
      </c>
      <c r="D99" s="166">
        <v>0</v>
      </c>
      <c r="E99" s="72">
        <v>1</v>
      </c>
      <c r="F99" s="71">
        <v>12</v>
      </c>
      <c r="G99" s="71">
        <v>125</v>
      </c>
      <c r="H99" s="71">
        <v>1500</v>
      </c>
      <c r="I99" s="47">
        <v>1003.1622561263973</v>
      </c>
      <c r="J99" s="70">
        <v>3.0094867683791806</v>
      </c>
      <c r="K99" s="70">
        <v>3.0677744835669527</v>
      </c>
      <c r="L99" s="70">
        <v>0.25564787363057939</v>
      </c>
      <c r="M99" s="70">
        <v>23.45</v>
      </c>
      <c r="N99" s="152">
        <v>23.705647873630578</v>
      </c>
      <c r="O99" s="70"/>
      <c r="P99" s="70"/>
      <c r="Q99" s="70"/>
    </row>
    <row r="100" spans="1:17" s="62" customFormat="1">
      <c r="A100" s="187"/>
      <c r="B100" s="48"/>
      <c r="C100" s="110" t="s">
        <v>104</v>
      </c>
      <c r="D100" s="166">
        <v>0</v>
      </c>
      <c r="E100" s="72">
        <v>1</v>
      </c>
      <c r="F100" s="71">
        <v>12</v>
      </c>
      <c r="G100" s="71">
        <v>125</v>
      </c>
      <c r="H100" s="71">
        <v>1500</v>
      </c>
      <c r="I100" s="47">
        <v>1003.1622561263973</v>
      </c>
      <c r="J100" s="70">
        <v>3.0094867683791806</v>
      </c>
      <c r="K100" s="70">
        <v>3.0677744835669527</v>
      </c>
      <c r="L100" s="70">
        <v>0.25564787363057939</v>
      </c>
      <c r="M100" s="70">
        <v>23.45</v>
      </c>
      <c r="N100" s="152">
        <v>23.705647873630578</v>
      </c>
      <c r="O100" s="70"/>
      <c r="P100" s="70"/>
      <c r="Q100" s="70"/>
    </row>
    <row r="101" spans="1:17" s="62" customFormat="1">
      <c r="A101" s="187"/>
      <c r="B101" s="48"/>
      <c r="C101" s="150" t="s">
        <v>107</v>
      </c>
      <c r="D101" s="166">
        <v>0</v>
      </c>
      <c r="E101" s="72">
        <v>1</v>
      </c>
      <c r="F101" s="159">
        <v>12</v>
      </c>
      <c r="G101" s="159">
        <v>175</v>
      </c>
      <c r="H101" s="112">
        <v>2100</v>
      </c>
      <c r="I101" s="160">
        <v>1404.4271585769563</v>
      </c>
      <c r="J101" s="161">
        <v>4.2132814757308532</v>
      </c>
      <c r="K101" s="161">
        <v>4.2948842769937343</v>
      </c>
      <c r="L101" s="161">
        <v>0.35790702308281119</v>
      </c>
      <c r="M101" s="161">
        <v>20.65</v>
      </c>
      <c r="N101" s="162">
        <v>21.007907023082808</v>
      </c>
      <c r="O101" s="161"/>
      <c r="P101" s="161"/>
      <c r="Q101" s="161"/>
    </row>
    <row r="102" spans="1:17" s="62" customFormat="1">
      <c r="A102" s="187"/>
      <c r="B102" s="48"/>
      <c r="C102" s="150" t="s">
        <v>162</v>
      </c>
      <c r="D102" s="166">
        <v>0</v>
      </c>
      <c r="E102" s="72">
        <v>1</v>
      </c>
      <c r="F102" s="159">
        <v>12</v>
      </c>
      <c r="G102" s="159">
        <v>175</v>
      </c>
      <c r="H102" s="112">
        <v>2100</v>
      </c>
      <c r="I102" s="160">
        <v>1404.4271585769563</v>
      </c>
      <c r="J102" s="161">
        <v>4.2132814757308532</v>
      </c>
      <c r="K102" s="161">
        <v>4.2948842769937343</v>
      </c>
      <c r="L102" s="161">
        <v>0.35790702308281119</v>
      </c>
      <c r="M102" s="161">
        <v>42.74</v>
      </c>
      <c r="N102" s="162">
        <v>43.097907023082811</v>
      </c>
      <c r="O102" s="161"/>
      <c r="P102" s="161"/>
      <c r="Q102" s="161"/>
    </row>
    <row r="103" spans="1:17" s="62" customFormat="1">
      <c r="A103" s="187"/>
      <c r="B103" s="48"/>
      <c r="C103" s="150" t="s">
        <v>110</v>
      </c>
      <c r="D103" s="166">
        <v>0</v>
      </c>
      <c r="E103" s="72">
        <v>1</v>
      </c>
      <c r="F103" s="71">
        <v>12</v>
      </c>
      <c r="G103" s="71">
        <v>250</v>
      </c>
      <c r="H103" s="112">
        <v>3000</v>
      </c>
      <c r="I103" s="47">
        <v>2006.3245122527946</v>
      </c>
      <c r="J103" s="70">
        <v>6.0189735367583612</v>
      </c>
      <c r="K103" s="70">
        <v>6.1355489671339054</v>
      </c>
      <c r="L103" s="70">
        <v>0.51129574726115878</v>
      </c>
      <c r="M103" s="70">
        <v>28.75</v>
      </c>
      <c r="N103" s="152">
        <v>29.261295747261158</v>
      </c>
      <c r="O103" s="70"/>
      <c r="P103" s="70"/>
      <c r="Q103" s="70"/>
    </row>
    <row r="104" spans="1:17" s="62" customFormat="1">
      <c r="A104" s="187"/>
      <c r="B104" s="48"/>
      <c r="C104" s="150" t="s">
        <v>111</v>
      </c>
      <c r="D104" s="166">
        <v>0</v>
      </c>
      <c r="E104" s="72">
        <v>1</v>
      </c>
      <c r="F104" s="71">
        <v>12</v>
      </c>
      <c r="G104" s="71">
        <v>250</v>
      </c>
      <c r="H104" s="112">
        <v>3000</v>
      </c>
      <c r="I104" s="47">
        <v>2006.3245122527946</v>
      </c>
      <c r="J104" s="70">
        <v>6.0189735367583612</v>
      </c>
      <c r="K104" s="70">
        <v>6.1355489671339054</v>
      </c>
      <c r="L104" s="70">
        <v>0.51129574726115878</v>
      </c>
      <c r="M104" s="70">
        <v>59.72</v>
      </c>
      <c r="N104" s="152">
        <v>60.231295747261157</v>
      </c>
      <c r="O104" s="70"/>
      <c r="P104" s="70"/>
      <c r="Q104" s="70"/>
    </row>
    <row r="105" spans="1:17" s="62" customFormat="1">
      <c r="A105" s="187"/>
      <c r="B105" s="48"/>
      <c r="C105" s="45" t="s">
        <v>114</v>
      </c>
      <c r="D105" s="166">
        <v>0</v>
      </c>
      <c r="E105" s="72">
        <v>1</v>
      </c>
      <c r="F105" s="71">
        <v>12</v>
      </c>
      <c r="G105" s="71">
        <v>324</v>
      </c>
      <c r="H105" s="112">
        <v>3888</v>
      </c>
      <c r="I105" s="47">
        <v>2600.1965678796219</v>
      </c>
      <c r="J105" s="70">
        <v>7.8005897036388365</v>
      </c>
      <c r="K105" s="70">
        <v>7.9516714614055424</v>
      </c>
      <c r="L105" s="70">
        <v>0.66263928845046183</v>
      </c>
      <c r="M105" s="70">
        <v>34.74</v>
      </c>
      <c r="N105" s="152">
        <v>35.402639288450466</v>
      </c>
      <c r="O105" s="70"/>
      <c r="P105" s="70"/>
      <c r="Q105" s="70"/>
    </row>
    <row r="106" spans="1:17" s="62" customFormat="1">
      <c r="A106" s="187"/>
      <c r="B106" s="48"/>
      <c r="C106" s="45" t="s">
        <v>115</v>
      </c>
      <c r="D106" s="166">
        <v>0</v>
      </c>
      <c r="E106" s="72">
        <v>1</v>
      </c>
      <c r="F106" s="71">
        <v>12</v>
      </c>
      <c r="G106" s="71">
        <v>324</v>
      </c>
      <c r="H106" s="112">
        <v>3888</v>
      </c>
      <c r="I106" s="47">
        <v>2600.1965678796219</v>
      </c>
      <c r="J106" s="70">
        <v>7.8005897036388365</v>
      </c>
      <c r="K106" s="70">
        <v>7.9516714614055424</v>
      </c>
      <c r="L106" s="70">
        <v>0.66263928845046183</v>
      </c>
      <c r="M106" s="70">
        <v>66.19</v>
      </c>
      <c r="N106" s="152">
        <v>66.852639288450462</v>
      </c>
      <c r="O106" s="70"/>
      <c r="P106" s="70"/>
      <c r="Q106" s="70"/>
    </row>
    <row r="107" spans="1:17" s="62" customFormat="1">
      <c r="A107" s="187"/>
      <c r="B107" s="48"/>
      <c r="C107" s="45" t="s">
        <v>118</v>
      </c>
      <c r="D107" s="166">
        <v>0</v>
      </c>
      <c r="E107" s="72">
        <v>1</v>
      </c>
      <c r="F107" s="159">
        <v>12</v>
      </c>
      <c r="G107" s="159">
        <v>613</v>
      </c>
      <c r="H107" s="112">
        <v>7356</v>
      </c>
      <c r="I107" s="160">
        <v>4919.5077040438528</v>
      </c>
      <c r="J107" s="161">
        <v>14.758523112131503</v>
      </c>
      <c r="K107" s="161">
        <v>15.044366067412337</v>
      </c>
      <c r="L107" s="161">
        <v>1.2536971722843615</v>
      </c>
      <c r="M107" s="161">
        <v>63.88</v>
      </c>
      <c r="N107" s="162">
        <v>65.133697172284357</v>
      </c>
      <c r="O107" s="70"/>
      <c r="P107" s="70"/>
      <c r="Q107" s="70"/>
    </row>
    <row r="108" spans="1:17" s="62" customFormat="1">
      <c r="A108" s="139"/>
      <c r="B108" s="48"/>
      <c r="C108" s="45" t="s">
        <v>163</v>
      </c>
      <c r="D108" s="166">
        <v>0</v>
      </c>
      <c r="E108" s="72">
        <v>1</v>
      </c>
      <c r="F108" s="159">
        <v>12</v>
      </c>
      <c r="G108" s="159">
        <v>613</v>
      </c>
      <c r="H108" s="112">
        <v>7356</v>
      </c>
      <c r="I108" s="160">
        <v>4919.5077040438528</v>
      </c>
      <c r="J108" s="161">
        <v>14.758523112131503</v>
      </c>
      <c r="K108" s="161">
        <v>15.044366067412337</v>
      </c>
      <c r="L108" s="161">
        <v>1.2536971722843615</v>
      </c>
      <c r="M108" s="161">
        <v>98.1</v>
      </c>
      <c r="N108" s="162">
        <v>99.353697172284356</v>
      </c>
      <c r="O108" s="70"/>
      <c r="P108" s="70"/>
      <c r="Q108" s="70"/>
    </row>
    <row r="109" spans="1:17" s="62" customFormat="1">
      <c r="A109" s="139"/>
      <c r="B109" s="48"/>
      <c r="C109" s="45" t="s">
        <v>121</v>
      </c>
      <c r="D109" s="166">
        <v>0</v>
      </c>
      <c r="E109" s="72">
        <v>1</v>
      </c>
      <c r="F109" s="159">
        <v>12</v>
      </c>
      <c r="G109" s="159">
        <v>840</v>
      </c>
      <c r="H109" s="112">
        <v>10080</v>
      </c>
      <c r="I109" s="160">
        <v>6741.2503611693901</v>
      </c>
      <c r="J109" s="161">
        <v>20.223751083508095</v>
      </c>
      <c r="K109" s="161">
        <v>20.615444529569924</v>
      </c>
      <c r="L109" s="161">
        <v>1.7179537107974936</v>
      </c>
      <c r="M109" s="161">
        <v>92.39</v>
      </c>
      <c r="N109" s="162">
        <v>94.107953710797489</v>
      </c>
      <c r="O109" s="70"/>
      <c r="P109" s="70"/>
      <c r="Q109" s="70"/>
    </row>
    <row r="110" spans="1:17" s="62" customFormat="1">
      <c r="A110" s="139"/>
      <c r="B110" s="48"/>
      <c r="C110" s="45" t="s">
        <v>164</v>
      </c>
      <c r="D110" s="166">
        <v>0</v>
      </c>
      <c r="E110" s="72">
        <v>1</v>
      </c>
      <c r="F110" s="159">
        <v>12</v>
      </c>
      <c r="G110" s="159">
        <v>840</v>
      </c>
      <c r="H110" s="112">
        <v>10080</v>
      </c>
      <c r="I110" s="160">
        <v>6741.2503611693901</v>
      </c>
      <c r="J110" s="161">
        <v>20.223751083508095</v>
      </c>
      <c r="K110" s="161">
        <v>20.615444529569924</v>
      </c>
      <c r="L110" s="161">
        <v>1.7179537107974936</v>
      </c>
      <c r="M110" s="161">
        <v>146.41999999999999</v>
      </c>
      <c r="N110" s="162">
        <v>148.13795371079749</v>
      </c>
      <c r="O110" s="70"/>
      <c r="P110" s="70"/>
      <c r="Q110" s="70"/>
    </row>
    <row r="111" spans="1:17" s="62" customFormat="1">
      <c r="A111" s="139"/>
      <c r="B111" s="48"/>
      <c r="C111" s="131"/>
      <c r="D111" s="59"/>
      <c r="E111" s="72"/>
      <c r="F111" s="71"/>
      <c r="G111" s="71"/>
      <c r="H111" s="112"/>
      <c r="I111" s="47"/>
      <c r="J111" s="70"/>
      <c r="K111" s="70"/>
      <c r="L111" s="70"/>
      <c r="M111" s="70"/>
      <c r="N111" s="70"/>
      <c r="O111" s="70"/>
      <c r="P111" s="70"/>
      <c r="Q111" s="70"/>
    </row>
    <row r="112" spans="1:17" s="62" customFormat="1">
      <c r="A112" s="119"/>
      <c r="B112" s="111"/>
      <c r="C112" s="113"/>
      <c r="D112" s="13"/>
      <c r="E112" s="108"/>
      <c r="F112" s="84"/>
      <c r="G112" s="84"/>
      <c r="H112" s="84"/>
      <c r="I112" s="109"/>
      <c r="J112" s="94"/>
      <c r="K112" s="94"/>
      <c r="L112" s="94"/>
      <c r="M112" s="94"/>
      <c r="N112" s="94"/>
      <c r="O112" s="70"/>
      <c r="P112" s="70"/>
      <c r="Q112" s="70"/>
    </row>
    <row r="113" spans="1:16">
      <c r="A113" s="65"/>
      <c r="C113" s="90"/>
      <c r="D113" s="39"/>
      <c r="E113" s="32"/>
      <c r="F113" s="59"/>
      <c r="G113" s="71"/>
      <c r="H113" s="59"/>
      <c r="J113" s="70"/>
      <c r="K113" s="95"/>
      <c r="L113" s="95"/>
      <c r="M113" s="95"/>
      <c r="N113" s="95"/>
      <c r="P113" s="63"/>
    </row>
    <row r="114" spans="1:16">
      <c r="A114" s="65"/>
      <c r="C114" s="68"/>
      <c r="P114" s="63"/>
    </row>
    <row r="115" spans="1:16">
      <c r="A115" s="65"/>
      <c r="C115" s="68"/>
      <c r="P115" s="63"/>
    </row>
    <row r="116" spans="1:16">
      <c r="A116" s="65"/>
      <c r="C116" s="189" t="s">
        <v>86</v>
      </c>
      <c r="D116" s="189"/>
      <c r="E116" s="89"/>
      <c r="F116" s="89"/>
      <c r="H116" s="93" t="s">
        <v>94</v>
      </c>
    </row>
    <row r="117" spans="1:16">
      <c r="A117" s="65"/>
      <c r="D117" s="57" t="s">
        <v>16</v>
      </c>
      <c r="E117" s="38"/>
      <c r="F117" s="38"/>
      <c r="H117" s="91" t="s">
        <v>100</v>
      </c>
      <c r="J117" s="42"/>
      <c r="O117" s="61"/>
    </row>
    <row r="118" spans="1:16">
      <c r="A118" s="65"/>
      <c r="C118" s="60" t="s">
        <v>32</v>
      </c>
      <c r="D118" s="69">
        <v>1446.45</v>
      </c>
      <c r="E118" s="59"/>
      <c r="F118" s="59"/>
      <c r="G118" s="46"/>
      <c r="H118" s="92" t="s">
        <v>95</v>
      </c>
      <c r="J118" s="42"/>
      <c r="O118" s="61"/>
    </row>
    <row r="119" spans="1:16">
      <c r="A119" s="65"/>
      <c r="C119" s="60" t="s">
        <v>33</v>
      </c>
      <c r="D119" s="37">
        <v>2892900</v>
      </c>
      <c r="E119" s="37"/>
      <c r="F119" s="37"/>
      <c r="G119" s="37"/>
      <c r="H119" s="117" t="s">
        <v>96</v>
      </c>
      <c r="J119" s="42"/>
    </row>
    <row r="120" spans="1:16">
      <c r="A120" s="65"/>
      <c r="C120" s="60" t="s">
        <v>4</v>
      </c>
      <c r="D120" s="37">
        <v>47566.36</v>
      </c>
      <c r="E120" s="59"/>
      <c r="F120" s="59"/>
      <c r="G120" s="59"/>
      <c r="H120" s="118" t="s">
        <v>97</v>
      </c>
      <c r="J120" s="42"/>
      <c r="O120" s="61"/>
    </row>
    <row r="121" spans="1:16">
      <c r="C121" s="43" t="s">
        <v>11</v>
      </c>
      <c r="D121" s="36">
        <v>0.66877483741759824</v>
      </c>
      <c r="E121" s="36"/>
      <c r="F121" s="36"/>
      <c r="G121" s="36"/>
      <c r="H121" s="31"/>
      <c r="J121" s="42"/>
      <c r="M121" s="41"/>
      <c r="N121" s="41"/>
      <c r="O121" s="40"/>
    </row>
    <row r="122" spans="1:16">
      <c r="G122" s="45"/>
      <c r="H122" s="33"/>
      <c r="J122" s="42"/>
      <c r="M122" s="44"/>
      <c r="N122" s="30"/>
      <c r="O122" s="63"/>
    </row>
    <row r="123" spans="1:16">
      <c r="D123" s="35"/>
      <c r="E123" s="34"/>
      <c r="G123" s="45"/>
      <c r="H123" s="33"/>
      <c r="J123" s="42"/>
      <c r="M123" s="44"/>
      <c r="N123" s="30"/>
      <c r="O123" s="63"/>
    </row>
    <row r="124" spans="1:16">
      <c r="D124" s="35"/>
      <c r="E124" s="34"/>
      <c r="G124" s="45"/>
      <c r="H124" s="33"/>
      <c r="J124" s="42"/>
      <c r="M124" s="44"/>
      <c r="N124" s="30"/>
      <c r="O124" s="63"/>
    </row>
    <row r="125" spans="1:16">
      <c r="D125" s="60"/>
      <c r="I125" s="60"/>
    </row>
    <row r="126" spans="1:16">
      <c r="D126" s="60"/>
      <c r="E126" s="42"/>
      <c r="I126" s="60"/>
    </row>
    <row r="127" spans="1:16">
      <c r="D127" s="60"/>
      <c r="I127" s="60"/>
    </row>
    <row r="128" spans="1:16">
      <c r="D128" s="60"/>
      <c r="I128" s="60"/>
    </row>
    <row r="129" spans="4:4">
      <c r="D129" s="60"/>
    </row>
  </sheetData>
  <mergeCells count="5">
    <mergeCell ref="C116:D116"/>
    <mergeCell ref="A88:A91"/>
    <mergeCell ref="A2:A18"/>
    <mergeCell ref="A99:A107"/>
    <mergeCell ref="A20:A44"/>
  </mergeCells>
  <phoneticPr fontId="0" type="noConversion"/>
  <pageMargins left="0.25" right="0.25" top="0.75" bottom="0.75" header="0.44" footer="0.42"/>
  <pageSetup scale="50" fitToHeight="0" orientation="landscape" horizontalDpi="4294967293" r:id="rId1"/>
  <headerFooter>
    <oddHeader>&amp;C&amp;"-,Bold"&amp;12Excess Disposal, Inc.&amp;"-,Regular"
Disposal Fee Staff Calculations</oddHeader>
    <oddFooter>&amp;L&amp;F - &amp;A&amp;C&amp;D&amp;R&amp;P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2018-02-28T08:00:00+00:00</OpenedDate>
    <SignificantOrder xmlns="dc463f71-b30c-4ab2-9473-d307f9d35888">false</SignificantOrder>
    <Date1 xmlns="dc463f71-b30c-4ab2-9473-d307f9d35888">2018-02-28T08:00:00+00:00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Excess Disposal, Inc.</CaseCompanyNames>
    <Nickname xmlns="http://schemas.microsoft.com/sharepoint/v3" xsi:nil="true"/>
    <DocketNumber xmlns="dc463f71-b30c-4ab2-9473-d307f9d35888">180180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F53084BDAB58F40A2EC21F0139680E5" ma:contentTypeVersion="68" ma:contentTypeDescription="" ma:contentTypeScope="" ma:versionID="24378de622b7bea705f9d7739388cd5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24ACE1-9886-4887-BADF-6F9565AED20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dc463f71-b30c-4ab2-9473-d307f9d35888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492DC1-1670-430A-BFB1-A8E5F13C10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6CE9AD-CF9A-466D-82CE-8ED4BA508D5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85C83E7-3459-42A8-9303-5A3B9AAB831F}"/>
</file>

<file path=customXml/itemProps5.xml><?xml version="1.0" encoding="utf-8"?>
<ds:datastoreItem xmlns:ds="http://schemas.openxmlformats.org/officeDocument/2006/customXml" ds:itemID="{703B0FE3-00D8-45A0-AFD8-5A9E7FDABA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References</vt:lpstr>
      <vt:lpstr>Staff Calculations</vt:lpstr>
      <vt:lpstr>Calculations</vt:lpstr>
      <vt:lpstr>Calculations!Print_Area</vt:lpstr>
      <vt:lpstr>'Staff Calculations'!Print_Area</vt:lpstr>
      <vt:lpstr>Calculations!Print_Titles</vt:lpstr>
      <vt:lpstr>'Staff Calculations'!Print_Titles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Weldon</cp:lastModifiedBy>
  <cp:lastPrinted>2018-02-11T00:35:18Z</cp:lastPrinted>
  <dcterms:created xsi:type="dcterms:W3CDTF">2013-10-29T22:33:54Z</dcterms:created>
  <dcterms:modified xsi:type="dcterms:W3CDTF">2018-02-11T01:14:29Z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0x0101006E56B4D1795A2E4DB2F0B01679ED314A008F53084BDAB58F40A2EC21F0139680E5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