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row Launch\Rate Filing 2-2018\Items to WUTC 1-29-18\"/>
    </mc:Choice>
  </mc:AlternateContent>
  <bookViews>
    <workbookView xWindow="2925" yWindow="-165" windowWidth="21810" windowHeight="12030" tabRatio="887" firstSheet="1" activeTab="1"/>
  </bookViews>
  <sheets>
    <sheet name="Semi Annual " sheetId="2" r:id="rId1"/>
    <sheet name="Pro Forma" sheetId="3" r:id="rId2"/>
    <sheet name="Allocation Statistics" sheetId="4" r:id="rId3"/>
    <sheet name="Restaing Adjustments" sheetId="5" r:id="rId4"/>
    <sheet name="Profroma Adjustments" sheetId="11" r:id="rId5"/>
    <sheet name="Accounting" sheetId="6" r:id="rId6"/>
    <sheet name="Legal " sheetId="7" r:id="rId7"/>
    <sheet name="Prior Rate Case Costs" sheetId="9" r:id="rId8"/>
    <sheet name="Depreciation" sheetId="8" r:id="rId9"/>
    <sheet name="Bad Debts" sheetId="10" r:id="rId10"/>
    <sheet name="Payroll" sheetId="12" r:id="rId11"/>
    <sheet name="Price Out" sheetId="13" r:id="rId12"/>
  </sheets>
  <externalReferences>
    <externalReference r:id="rId13"/>
  </externalReferences>
  <definedNames>
    <definedName name="_xlnm.Print_Area" localSheetId="5">Accounting!$A$2:$K$37</definedName>
    <definedName name="_xlnm.Print_Area" localSheetId="2">'Allocation Statistics'!$A$1:$H$26</definedName>
    <definedName name="_xlnm.Print_Area" localSheetId="9">'Bad Debts'!$A$1:$L$42</definedName>
    <definedName name="_xlnm.Print_Area" localSheetId="8">Depreciation!$A$12:$AD$282</definedName>
    <definedName name="_xlnm.Print_Area" localSheetId="6">'Legal '!$A$2:$K$38</definedName>
    <definedName name="_xlnm.Print_Area" localSheetId="10">Payroll!$A$6:$O$67</definedName>
    <definedName name="_xlnm.Print_Area" localSheetId="11">'Price Out'!$A$1:$O$26</definedName>
    <definedName name="_xlnm.Print_Area" localSheetId="7">'Prior Rate Case Costs'!$A$1:$J$21</definedName>
    <definedName name="_xlnm.Print_Area" localSheetId="1">'Pro Forma'!$A$6:$L$62</definedName>
    <definedName name="_xlnm.Print_Area" localSheetId="3">'Restaing Adjustments'!$A$8:$R$60</definedName>
    <definedName name="_xlnm.Print_Area" localSheetId="0">'Semi Annual '!$A$5:$I$196</definedName>
    <definedName name="_xlnm.Print_Titles" localSheetId="5">Accounting!$1:$1</definedName>
    <definedName name="_xlnm.Print_Titles" localSheetId="8">Depreciation!$1:$12</definedName>
    <definedName name="_xlnm.Print_Titles" localSheetId="6">'Legal '!$1:$1</definedName>
    <definedName name="_xlnm.Print_Titles" localSheetId="10">Payroll!$1:$5</definedName>
    <definedName name="_xlnm.Print_Titles" localSheetId="1">'Pro Forma'!$1:$5</definedName>
    <definedName name="_xlnm.Print_Titles" localSheetId="3">'Restaing Adjustments'!$1:$7</definedName>
    <definedName name="_xlnm.Print_Titles" localSheetId="0">'Semi Annual '!$1:$4</definedName>
  </definedNames>
  <calcPr calcId="162913"/>
</workbook>
</file>

<file path=xl/calcChain.xml><?xml version="1.0" encoding="utf-8"?>
<calcChain xmlns="http://schemas.openxmlformats.org/spreadsheetml/2006/main">
  <c r="J39" i="3" l="1"/>
  <c r="I39" i="3"/>
  <c r="M282" i="8"/>
  <c r="N282" i="8"/>
  <c r="N281" i="8"/>
  <c r="M281" i="8"/>
  <c r="N280" i="8"/>
  <c r="M280" i="8"/>
  <c r="N279" i="8"/>
  <c r="M279" i="8"/>
  <c r="N278" i="8"/>
  <c r="M278" i="8"/>
  <c r="N277" i="8"/>
  <c r="M277" i="8"/>
  <c r="P173" i="8"/>
  <c r="Q173" i="8"/>
  <c r="W173" i="8"/>
  <c r="Y173" i="8"/>
  <c r="AB173" i="8"/>
  <c r="AB235" i="8"/>
  <c r="Y235" i="8"/>
  <c r="W235" i="8"/>
  <c r="P235" i="8"/>
  <c r="M159" i="8"/>
  <c r="M158" i="8"/>
  <c r="M157" i="8"/>
  <c r="M156" i="8"/>
  <c r="M155" i="8"/>
  <c r="M154" i="8"/>
  <c r="M153" i="8"/>
  <c r="P76" i="8"/>
  <c r="Q76" i="8"/>
  <c r="W76" i="8"/>
  <c r="Y76" i="8"/>
  <c r="AB76" i="8"/>
  <c r="T234" i="8"/>
  <c r="T172" i="8"/>
  <c r="T75" i="8"/>
  <c r="T73" i="8"/>
  <c r="T171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T126" i="8"/>
  <c r="M126" i="8"/>
  <c r="M87" i="8"/>
  <c r="M179" i="8"/>
  <c r="M82" i="8"/>
  <c r="M81" i="8"/>
  <c r="M177" i="8"/>
  <c r="M176" i="8"/>
  <c r="M80" i="8"/>
  <c r="M79" i="8"/>
  <c r="M84" i="8"/>
  <c r="E6" i="13" l="1"/>
  <c r="J43" i="3" l="1"/>
  <c r="I43" i="3"/>
  <c r="F14" i="4"/>
  <c r="D14" i="4"/>
  <c r="C62" i="3" l="1"/>
  <c r="K54" i="3"/>
  <c r="L9" i="3"/>
  <c r="L58" i="3"/>
  <c r="L57" i="3"/>
  <c r="L54" i="3"/>
  <c r="L43" i="3"/>
  <c r="L41" i="3"/>
  <c r="L38" i="3"/>
  <c r="L37" i="3"/>
  <c r="L35" i="3"/>
  <c r="L34" i="3"/>
  <c r="L30" i="3"/>
  <c r="L28" i="3"/>
  <c r="L27" i="3"/>
  <c r="L25" i="3"/>
  <c r="L23" i="3"/>
  <c r="L21" i="3"/>
  <c r="L10" i="3"/>
  <c r="J27" i="3"/>
  <c r="I27" i="3"/>
  <c r="I28" i="3"/>
  <c r="I30" i="3"/>
  <c r="I41" i="3"/>
  <c r="I50" i="3"/>
  <c r="I54" i="3"/>
  <c r="I23" i="3"/>
  <c r="I21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5" i="3"/>
  <c r="G14" i="3"/>
  <c r="G13" i="3"/>
  <c r="G12" i="3"/>
  <c r="G11" i="3"/>
  <c r="G10" i="3"/>
  <c r="G9" i="3"/>
  <c r="G8" i="3"/>
  <c r="F59" i="3"/>
  <c r="F31" i="3"/>
  <c r="F27" i="3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5" i="11"/>
  <c r="G14" i="11"/>
  <c r="G13" i="11"/>
  <c r="G12" i="11"/>
  <c r="G11" i="11"/>
  <c r="G10" i="11"/>
  <c r="G9" i="11"/>
  <c r="G8" i="11"/>
  <c r="D31" i="11"/>
  <c r="D27" i="11"/>
  <c r="D59" i="11" s="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B17" i="11"/>
  <c r="A10" i="11"/>
  <c r="A11" i="11" s="1"/>
  <c r="A12" i="11" s="1"/>
  <c r="A13" i="11" s="1"/>
  <c r="A14" i="11" s="1"/>
  <c r="F61" i="3" l="1"/>
  <c r="O67" i="12"/>
  <c r="N67" i="12"/>
  <c r="N62" i="12"/>
  <c r="N61" i="12"/>
  <c r="N59" i="12"/>
  <c r="N58" i="12"/>
  <c r="N57" i="12"/>
  <c r="N56" i="12"/>
  <c r="N53" i="12"/>
  <c r="N52" i="12"/>
  <c r="N51" i="12"/>
  <c r="N44" i="12"/>
  <c r="N43" i="12"/>
  <c r="N42" i="12"/>
  <c r="N41" i="12"/>
  <c r="N39" i="12"/>
  <c r="O37" i="12"/>
  <c r="O36" i="12"/>
  <c r="N35" i="12"/>
  <c r="N34" i="12"/>
  <c r="N33" i="12"/>
  <c r="N32" i="12"/>
  <c r="N31" i="12"/>
  <c r="N30" i="12"/>
  <c r="O27" i="12"/>
  <c r="N22" i="12"/>
  <c r="O21" i="12"/>
  <c r="N20" i="12"/>
  <c r="N19" i="12"/>
  <c r="N17" i="12"/>
  <c r="N15" i="12"/>
  <c r="N13" i="12"/>
  <c r="O11" i="12"/>
  <c r="O10" i="12"/>
  <c r="I37" i="3" l="1"/>
  <c r="H30" i="10"/>
  <c r="H40" i="10"/>
  <c r="H39" i="10"/>
  <c r="H24" i="13" l="1"/>
  <c r="H21" i="13"/>
  <c r="H15" i="13"/>
  <c r="H11" i="13"/>
  <c r="H5" i="13"/>
  <c r="E24" i="13"/>
  <c r="D24" i="13"/>
  <c r="I53" i="3" l="1"/>
  <c r="L53" i="3" s="1"/>
  <c r="I44" i="3"/>
  <c r="L44" i="3" s="1"/>
  <c r="I26" i="3"/>
  <c r="L26" i="3" s="1"/>
  <c r="I52" i="3"/>
  <c r="L52" i="3" s="1"/>
  <c r="I42" i="3"/>
  <c r="L42" i="3" s="1"/>
  <c r="I51" i="3"/>
  <c r="L51" i="3" s="1"/>
  <c r="I40" i="3"/>
  <c r="L40" i="3" s="1"/>
  <c r="I49" i="3"/>
  <c r="L49" i="3" s="1"/>
  <c r="I36" i="3"/>
  <c r="L36" i="3" s="1"/>
  <c r="I22" i="3"/>
  <c r="L22" i="3" s="1"/>
  <c r="I48" i="3"/>
  <c r="L48" i="3" s="1"/>
  <c r="I33" i="3"/>
  <c r="L33" i="3" s="1"/>
  <c r="I47" i="3"/>
  <c r="L47" i="3" s="1"/>
  <c r="I32" i="3"/>
  <c r="L32" i="3" s="1"/>
  <c r="I20" i="3"/>
  <c r="L20" i="3" s="1"/>
  <c r="I56" i="3"/>
  <c r="L56" i="3" s="1"/>
  <c r="I46" i="3"/>
  <c r="L46" i="3" s="1"/>
  <c r="I31" i="3"/>
  <c r="L31" i="3" s="1"/>
  <c r="I19" i="3"/>
  <c r="L19" i="3" s="1"/>
  <c r="I55" i="3"/>
  <c r="L55" i="3" s="1"/>
  <c r="I45" i="3"/>
  <c r="L45" i="3" s="1"/>
  <c r="I29" i="3"/>
  <c r="L29" i="3" s="1"/>
  <c r="I24" i="3"/>
  <c r="L24" i="3" s="1"/>
  <c r="E15" i="13"/>
  <c r="E11" i="13"/>
  <c r="M24" i="13" l="1"/>
  <c r="K24" i="13"/>
  <c r="E23" i="13"/>
  <c r="M23" i="13" s="1"/>
  <c r="D23" i="13"/>
  <c r="E22" i="13"/>
  <c r="M22" i="13" s="1"/>
  <c r="D22" i="13"/>
  <c r="H22" i="13" s="1"/>
  <c r="M21" i="13"/>
  <c r="K21" i="13"/>
  <c r="E18" i="13"/>
  <c r="M18" i="13" s="1"/>
  <c r="D18" i="13"/>
  <c r="H18" i="13" s="1"/>
  <c r="E17" i="13"/>
  <c r="M17" i="13" s="1"/>
  <c r="D17" i="13"/>
  <c r="K16" i="13"/>
  <c r="E16" i="13"/>
  <c r="M16" i="13" s="1"/>
  <c r="D16" i="13"/>
  <c r="H16" i="13" s="1"/>
  <c r="M15" i="13"/>
  <c r="K15" i="13"/>
  <c r="E14" i="13"/>
  <c r="M14" i="13" s="1"/>
  <c r="D14" i="13"/>
  <c r="E13" i="13"/>
  <c r="M13" i="13" s="1"/>
  <c r="D13" i="13"/>
  <c r="E12" i="13"/>
  <c r="M12" i="13" s="1"/>
  <c r="D12" i="13"/>
  <c r="M11" i="13"/>
  <c r="K11" i="13"/>
  <c r="E8" i="13"/>
  <c r="M8" i="13" s="1"/>
  <c r="D8" i="13"/>
  <c r="E7" i="13"/>
  <c r="M7" i="13" s="1"/>
  <c r="D7" i="13"/>
  <c r="H7" i="13" s="1"/>
  <c r="M6" i="13"/>
  <c r="D6" i="13"/>
  <c r="M5" i="13"/>
  <c r="K5" i="13"/>
  <c r="K67" i="12"/>
  <c r="I67" i="12"/>
  <c r="G67" i="12"/>
  <c r="E67" i="12"/>
  <c r="M66" i="12"/>
  <c r="L66" i="12"/>
  <c r="M65" i="12"/>
  <c r="L65" i="12"/>
  <c r="M64" i="12"/>
  <c r="L64" i="12"/>
  <c r="M63" i="12"/>
  <c r="L6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F48" i="12"/>
  <c r="L48" i="12" s="1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D24" i="12"/>
  <c r="L24" i="12" s="1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L13" i="12"/>
  <c r="M12" i="12"/>
  <c r="L12" i="12"/>
  <c r="M11" i="12"/>
  <c r="L11" i="12"/>
  <c r="M10" i="12"/>
  <c r="L10" i="12"/>
  <c r="M9" i="12"/>
  <c r="L9" i="12"/>
  <c r="M8" i="12"/>
  <c r="L8" i="12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M7" i="12"/>
  <c r="L7" i="12"/>
  <c r="C7" i="12"/>
  <c r="M6" i="12"/>
  <c r="M67" i="12" s="1"/>
  <c r="L6" i="12"/>
  <c r="K13" i="13" l="1"/>
  <c r="H13" i="13"/>
  <c r="I25" i="13"/>
  <c r="K7" i="13"/>
  <c r="K17" i="13"/>
  <c r="H17" i="13"/>
  <c r="K8" i="13"/>
  <c r="H8" i="13"/>
  <c r="K14" i="13"/>
  <c r="H14" i="13"/>
  <c r="K22" i="13"/>
  <c r="I19" i="13"/>
  <c r="K23" i="13"/>
  <c r="H23" i="13"/>
  <c r="K6" i="13"/>
  <c r="H6" i="13"/>
  <c r="I9" i="13" s="1"/>
  <c r="K18" i="13"/>
  <c r="K12" i="13"/>
  <c r="H12" i="13"/>
  <c r="K26" i="13"/>
  <c r="M26" i="13"/>
  <c r="H32" i="10"/>
  <c r="H29" i="10"/>
  <c r="Q37" i="5" s="1"/>
  <c r="Q59" i="5" s="1"/>
  <c r="F29" i="10"/>
  <c r="E29" i="10"/>
  <c r="D29" i="10"/>
  <c r="H18" i="10"/>
  <c r="H34" i="10" s="1"/>
  <c r="O24" i="13" l="1"/>
  <c r="O13" i="13"/>
  <c r="O8" i="13"/>
  <c r="O18" i="13"/>
  <c r="I26" i="13"/>
  <c r="N26" i="13"/>
  <c r="H33" i="10"/>
  <c r="H35" i="10" s="1"/>
  <c r="H41" i="10" l="1"/>
  <c r="AB271" i="8" l="1"/>
  <c r="Z271" i="8"/>
  <c r="P271" i="8"/>
  <c r="AM270" i="8"/>
  <c r="AL270" i="8"/>
  <c r="AJ270" i="8"/>
  <c r="AI270" i="8"/>
  <c r="AH270" i="8"/>
  <c r="AG270" i="8"/>
  <c r="AF270" i="8"/>
  <c r="U270" i="8"/>
  <c r="S270" i="8"/>
  <c r="I270" i="8"/>
  <c r="AK270" i="8" s="1"/>
  <c r="AM269" i="8"/>
  <c r="AL269" i="8"/>
  <c r="AJ269" i="8"/>
  <c r="AI269" i="8"/>
  <c r="AG269" i="8"/>
  <c r="AF269" i="8"/>
  <c r="AA269" i="8"/>
  <c r="AA271" i="8" s="1"/>
  <c r="U269" i="8"/>
  <c r="R269" i="8"/>
  <c r="R271" i="8" s="1"/>
  <c r="I269" i="8"/>
  <c r="AH269" i="8" s="1"/>
  <c r="AB267" i="8"/>
  <c r="Y267" i="8"/>
  <c r="W267" i="8"/>
  <c r="Q267" i="8"/>
  <c r="P267" i="8"/>
  <c r="AM266" i="8"/>
  <c r="AL266" i="8"/>
  <c r="AJ266" i="8"/>
  <c r="AI266" i="8"/>
  <c r="AG266" i="8"/>
  <c r="AF266" i="8"/>
  <c r="U266" i="8"/>
  <c r="R266" i="8"/>
  <c r="S266" i="8" s="1"/>
  <c r="I266" i="8"/>
  <c r="AK266" i="8" s="1"/>
  <c r="AM265" i="8"/>
  <c r="AL265" i="8"/>
  <c r="AJ265" i="8"/>
  <c r="AI265" i="8"/>
  <c r="AG265" i="8"/>
  <c r="AF265" i="8"/>
  <c r="U265" i="8"/>
  <c r="R265" i="8"/>
  <c r="S265" i="8" s="1"/>
  <c r="I265" i="8"/>
  <c r="AM264" i="8"/>
  <c r="AL264" i="8"/>
  <c r="AJ264" i="8"/>
  <c r="AI264" i="8"/>
  <c r="AG264" i="8"/>
  <c r="AF264" i="8"/>
  <c r="U264" i="8"/>
  <c r="R264" i="8"/>
  <c r="S264" i="8" s="1"/>
  <c r="I264" i="8"/>
  <c r="AK264" i="8" s="1"/>
  <c r="AM263" i="8"/>
  <c r="AL263" i="8"/>
  <c r="AJ263" i="8"/>
  <c r="AI263" i="8"/>
  <c r="AH263" i="8"/>
  <c r="AG263" i="8"/>
  <c r="AF263" i="8"/>
  <c r="U263" i="8"/>
  <c r="R263" i="8"/>
  <c r="S263" i="8" s="1"/>
  <c r="I263" i="8"/>
  <c r="AK263" i="8" s="1"/>
  <c r="AM262" i="8"/>
  <c r="AL262" i="8"/>
  <c r="AJ262" i="8"/>
  <c r="AI262" i="8"/>
  <c r="AG262" i="8"/>
  <c r="AF262" i="8"/>
  <c r="U262" i="8"/>
  <c r="R262" i="8"/>
  <c r="S262" i="8" s="1"/>
  <c r="I262" i="8"/>
  <c r="AK262" i="8" s="1"/>
  <c r="AM261" i="8"/>
  <c r="AL261" i="8"/>
  <c r="AJ261" i="8"/>
  <c r="AI261" i="8"/>
  <c r="AG261" i="8"/>
  <c r="AF261" i="8"/>
  <c r="U261" i="8"/>
  <c r="R261" i="8"/>
  <c r="S261" i="8" s="1"/>
  <c r="I261" i="8"/>
  <c r="AK261" i="8" s="1"/>
  <c r="AM260" i="8"/>
  <c r="AL260" i="8"/>
  <c r="AJ260" i="8"/>
  <c r="AI260" i="8"/>
  <c r="AG260" i="8"/>
  <c r="AF260" i="8"/>
  <c r="U260" i="8"/>
  <c r="R260" i="8"/>
  <c r="S260" i="8" s="1"/>
  <c r="I260" i="8"/>
  <c r="AK260" i="8" s="1"/>
  <c r="AM259" i="8"/>
  <c r="AL259" i="8"/>
  <c r="AJ259" i="8"/>
  <c r="AI259" i="8"/>
  <c r="AG259" i="8"/>
  <c r="AF259" i="8"/>
  <c r="U259" i="8"/>
  <c r="R259" i="8"/>
  <c r="S259" i="8" s="1"/>
  <c r="I259" i="8"/>
  <c r="AK259" i="8" s="1"/>
  <c r="AM258" i="8"/>
  <c r="AL258" i="8"/>
  <c r="AJ258" i="8"/>
  <c r="AI258" i="8"/>
  <c r="AG258" i="8"/>
  <c r="AF258" i="8"/>
  <c r="U258" i="8"/>
  <c r="R258" i="8"/>
  <c r="S258" i="8" s="1"/>
  <c r="I258" i="8"/>
  <c r="AK258" i="8" s="1"/>
  <c r="AM257" i="8"/>
  <c r="AL257" i="8"/>
  <c r="AJ257" i="8"/>
  <c r="AI257" i="8"/>
  <c r="AG257" i="8"/>
  <c r="AF257" i="8"/>
  <c r="U257" i="8"/>
  <c r="R257" i="8"/>
  <c r="I257" i="8"/>
  <c r="AK257" i="8" s="1"/>
  <c r="AM256" i="8"/>
  <c r="AL256" i="8"/>
  <c r="AJ256" i="8"/>
  <c r="AI256" i="8"/>
  <c r="AG256" i="8"/>
  <c r="AF256" i="8"/>
  <c r="U256" i="8"/>
  <c r="R256" i="8"/>
  <c r="S256" i="8" s="1"/>
  <c r="I256" i="8"/>
  <c r="AK256" i="8" s="1"/>
  <c r="AB253" i="8"/>
  <c r="Y253" i="8"/>
  <c r="W253" i="8"/>
  <c r="Q253" i="8"/>
  <c r="P253" i="8"/>
  <c r="AM252" i="8"/>
  <c r="AL252" i="8"/>
  <c r="AJ252" i="8"/>
  <c r="AI252" i="8"/>
  <c r="AG252" i="8"/>
  <c r="AF252" i="8"/>
  <c r="U252" i="8"/>
  <c r="R252" i="8"/>
  <c r="S252" i="8" s="1"/>
  <c r="I252" i="8"/>
  <c r="AK252" i="8" s="1"/>
  <c r="AM251" i="8"/>
  <c r="AL251" i="8"/>
  <c r="AJ251" i="8"/>
  <c r="AI251" i="8"/>
  <c r="AH251" i="8"/>
  <c r="AG251" i="8"/>
  <c r="AF251" i="8"/>
  <c r="U251" i="8"/>
  <c r="R251" i="8"/>
  <c r="S251" i="8" s="1"/>
  <c r="I251" i="8"/>
  <c r="AK251" i="8" s="1"/>
  <c r="AM250" i="8"/>
  <c r="AL250" i="8"/>
  <c r="AJ250" i="8"/>
  <c r="AI250" i="8"/>
  <c r="AG250" i="8"/>
  <c r="AF250" i="8"/>
  <c r="U250" i="8"/>
  <c r="R250" i="8"/>
  <c r="S250" i="8" s="1"/>
  <c r="I250" i="8"/>
  <c r="AK250" i="8" s="1"/>
  <c r="AM249" i="8"/>
  <c r="AL249" i="8"/>
  <c r="AJ249" i="8"/>
  <c r="AI249" i="8"/>
  <c r="AG249" i="8"/>
  <c r="AF249" i="8"/>
  <c r="U249" i="8"/>
  <c r="R249" i="8"/>
  <c r="S249" i="8" s="1"/>
  <c r="I249" i="8"/>
  <c r="AK249" i="8" s="1"/>
  <c r="AM248" i="8"/>
  <c r="AL248" i="8"/>
  <c r="AJ248" i="8"/>
  <c r="AI248" i="8"/>
  <c r="AG248" i="8"/>
  <c r="AF248" i="8"/>
  <c r="U248" i="8"/>
  <c r="R248" i="8"/>
  <c r="S248" i="8" s="1"/>
  <c r="I248" i="8"/>
  <c r="AK248" i="8" s="1"/>
  <c r="AM247" i="8"/>
  <c r="AL247" i="8"/>
  <c r="AJ247" i="8"/>
  <c r="AI247" i="8"/>
  <c r="AG247" i="8"/>
  <c r="AF247" i="8"/>
  <c r="U247" i="8"/>
  <c r="R247" i="8"/>
  <c r="S247" i="8" s="1"/>
  <c r="I247" i="8"/>
  <c r="AK247" i="8" s="1"/>
  <c r="AM246" i="8"/>
  <c r="AL246" i="8"/>
  <c r="AJ246" i="8"/>
  <c r="AI246" i="8"/>
  <c r="AG246" i="8"/>
  <c r="AF246" i="8"/>
  <c r="U246" i="8"/>
  <c r="R246" i="8"/>
  <c r="S246" i="8" s="1"/>
  <c r="I246" i="8"/>
  <c r="AK246" i="8" s="1"/>
  <c r="AM245" i="8"/>
  <c r="AL245" i="8"/>
  <c r="AJ245" i="8"/>
  <c r="AI245" i="8"/>
  <c r="AH245" i="8"/>
  <c r="AG245" i="8"/>
  <c r="AF245" i="8"/>
  <c r="U245" i="8"/>
  <c r="R245" i="8"/>
  <c r="S245" i="8" s="1"/>
  <c r="I245" i="8"/>
  <c r="AK245" i="8" s="1"/>
  <c r="AM244" i="8"/>
  <c r="AL244" i="8"/>
  <c r="AJ244" i="8"/>
  <c r="AI244" i="8"/>
  <c r="AG244" i="8"/>
  <c r="AF244" i="8"/>
  <c r="U244" i="8"/>
  <c r="R244" i="8"/>
  <c r="S244" i="8" s="1"/>
  <c r="I244" i="8"/>
  <c r="AH244" i="8" s="1"/>
  <c r="AM243" i="8"/>
  <c r="AL243" i="8"/>
  <c r="AJ243" i="8"/>
  <c r="AI243" i="8"/>
  <c r="AG243" i="8"/>
  <c r="AF243" i="8"/>
  <c r="U243" i="8"/>
  <c r="R243" i="8"/>
  <c r="S243" i="8" s="1"/>
  <c r="I243" i="8"/>
  <c r="AK243" i="8" s="1"/>
  <c r="AM242" i="8"/>
  <c r="AL242" i="8"/>
  <c r="AJ242" i="8"/>
  <c r="AI242" i="8"/>
  <c r="AG242" i="8"/>
  <c r="AF242" i="8"/>
  <c r="U242" i="8"/>
  <c r="R242" i="8"/>
  <c r="S242" i="8" s="1"/>
  <c r="I242" i="8"/>
  <c r="AM241" i="8"/>
  <c r="AL241" i="8"/>
  <c r="AJ241" i="8"/>
  <c r="AI241" i="8"/>
  <c r="AG241" i="8"/>
  <c r="AF241" i="8"/>
  <c r="U241" i="8"/>
  <c r="R241" i="8"/>
  <c r="S241" i="8" s="1"/>
  <c r="I241" i="8"/>
  <c r="AK241" i="8" s="1"/>
  <c r="AM240" i="8"/>
  <c r="AL240" i="8"/>
  <c r="AJ240" i="8"/>
  <c r="AI240" i="8"/>
  <c r="AG240" i="8"/>
  <c r="AF240" i="8"/>
  <c r="U240" i="8"/>
  <c r="R240" i="8"/>
  <c r="I240" i="8"/>
  <c r="AH240" i="8" s="1"/>
  <c r="AM239" i="8"/>
  <c r="AL239" i="8"/>
  <c r="AJ239" i="8"/>
  <c r="AI239" i="8"/>
  <c r="AG239" i="8"/>
  <c r="AF239" i="8"/>
  <c r="U239" i="8"/>
  <c r="R239" i="8"/>
  <c r="S239" i="8" s="1"/>
  <c r="I239" i="8"/>
  <c r="AK239" i="8" s="1"/>
  <c r="Q235" i="8"/>
  <c r="AM234" i="8"/>
  <c r="AL234" i="8"/>
  <c r="AJ234" i="8"/>
  <c r="AI234" i="8"/>
  <c r="AG234" i="8"/>
  <c r="AF234" i="8"/>
  <c r="U234" i="8"/>
  <c r="V234" i="8" s="1"/>
  <c r="R234" i="8"/>
  <c r="I234" i="8"/>
  <c r="AM172" i="8"/>
  <c r="AL172" i="8"/>
  <c r="AJ172" i="8"/>
  <c r="AI172" i="8"/>
  <c r="AG172" i="8"/>
  <c r="AF172" i="8"/>
  <c r="U172" i="8"/>
  <c r="X172" i="8" s="1"/>
  <c r="R172" i="8"/>
  <c r="AE172" i="8" s="1"/>
  <c r="I172" i="8"/>
  <c r="AM75" i="8"/>
  <c r="AL75" i="8"/>
  <c r="AJ75" i="8"/>
  <c r="AI75" i="8"/>
  <c r="AH75" i="8"/>
  <c r="AG75" i="8"/>
  <c r="AF75" i="8"/>
  <c r="U75" i="8"/>
  <c r="R75" i="8"/>
  <c r="S75" i="8" s="1"/>
  <c r="I75" i="8"/>
  <c r="AK75" i="8" s="1"/>
  <c r="AM171" i="8"/>
  <c r="AL171" i="8"/>
  <c r="AJ171" i="8"/>
  <c r="AI171" i="8"/>
  <c r="AG171" i="8"/>
  <c r="AF171" i="8"/>
  <c r="U171" i="8"/>
  <c r="R171" i="8"/>
  <c r="I171" i="8"/>
  <c r="AH171" i="8" s="1"/>
  <c r="AM72" i="8"/>
  <c r="AL72" i="8"/>
  <c r="AJ72" i="8"/>
  <c r="AI72" i="8"/>
  <c r="AG72" i="8"/>
  <c r="AF72" i="8"/>
  <c r="U72" i="8"/>
  <c r="R72" i="8"/>
  <c r="S72" i="8" s="1"/>
  <c r="I72" i="8"/>
  <c r="AM170" i="8"/>
  <c r="AL170" i="8"/>
  <c r="AJ170" i="8"/>
  <c r="AI170" i="8"/>
  <c r="AG170" i="8"/>
  <c r="AF170" i="8"/>
  <c r="U170" i="8"/>
  <c r="R170" i="8"/>
  <c r="S170" i="8" s="1"/>
  <c r="I170" i="8"/>
  <c r="AK170" i="8" s="1"/>
  <c r="AM233" i="8"/>
  <c r="AL233" i="8"/>
  <c r="AJ233" i="8"/>
  <c r="AI233" i="8"/>
  <c r="AG233" i="8"/>
  <c r="AF233" i="8"/>
  <c r="U233" i="8"/>
  <c r="R233" i="8"/>
  <c r="S233" i="8" s="1"/>
  <c r="I233" i="8"/>
  <c r="AK233" i="8" s="1"/>
  <c r="AM168" i="8"/>
  <c r="AL168" i="8"/>
  <c r="AJ168" i="8"/>
  <c r="AI168" i="8"/>
  <c r="AG168" i="8"/>
  <c r="AF168" i="8"/>
  <c r="U168" i="8"/>
  <c r="R168" i="8"/>
  <c r="S168" i="8" s="1"/>
  <c r="I168" i="8"/>
  <c r="AK168" i="8" s="1"/>
  <c r="AM167" i="8"/>
  <c r="AL167" i="8"/>
  <c r="AJ167" i="8"/>
  <c r="AI167" i="8"/>
  <c r="AG167" i="8"/>
  <c r="AF167" i="8"/>
  <c r="U167" i="8"/>
  <c r="R167" i="8"/>
  <c r="S167" i="8" s="1"/>
  <c r="I167" i="8"/>
  <c r="AK167" i="8" s="1"/>
  <c r="AM74" i="8"/>
  <c r="AL74" i="8"/>
  <c r="AJ74" i="8"/>
  <c r="AI74" i="8"/>
  <c r="AG74" i="8"/>
  <c r="AF74" i="8"/>
  <c r="U74" i="8"/>
  <c r="R74" i="8"/>
  <c r="S74" i="8" s="1"/>
  <c r="I74" i="8"/>
  <c r="AH74" i="8" s="1"/>
  <c r="AM73" i="8"/>
  <c r="AL73" i="8"/>
  <c r="AJ73" i="8"/>
  <c r="AI73" i="8"/>
  <c r="AG73" i="8"/>
  <c r="AF73" i="8"/>
  <c r="U73" i="8"/>
  <c r="R73" i="8"/>
  <c r="S73" i="8" s="1"/>
  <c r="I73" i="8"/>
  <c r="AK73" i="8" s="1"/>
  <c r="AM169" i="8"/>
  <c r="AL169" i="8"/>
  <c r="AJ169" i="8"/>
  <c r="AI169" i="8"/>
  <c r="AG169" i="8"/>
  <c r="AF169" i="8"/>
  <c r="U169" i="8"/>
  <c r="R169" i="8"/>
  <c r="S169" i="8" s="1"/>
  <c r="I169" i="8"/>
  <c r="AH169" i="8" s="1"/>
  <c r="AM163" i="8"/>
  <c r="AL163" i="8"/>
  <c r="AJ163" i="8"/>
  <c r="AI163" i="8"/>
  <c r="AG163" i="8"/>
  <c r="AF163" i="8"/>
  <c r="U163" i="8"/>
  <c r="R163" i="8"/>
  <c r="S163" i="8" s="1"/>
  <c r="I163" i="8"/>
  <c r="AK163" i="8" s="1"/>
  <c r="AM232" i="8"/>
  <c r="AL232" i="8"/>
  <c r="AJ232" i="8"/>
  <c r="AI232" i="8"/>
  <c r="AG232" i="8"/>
  <c r="AF232" i="8"/>
  <c r="U232" i="8"/>
  <c r="R232" i="8"/>
  <c r="S232" i="8" s="1"/>
  <c r="I232" i="8"/>
  <c r="AH232" i="8" s="1"/>
  <c r="AM230" i="8"/>
  <c r="AL230" i="8"/>
  <c r="AJ230" i="8"/>
  <c r="AI230" i="8"/>
  <c r="AG230" i="8"/>
  <c r="AF230" i="8"/>
  <c r="U230" i="8"/>
  <c r="R230" i="8"/>
  <c r="S230" i="8" s="1"/>
  <c r="I230" i="8"/>
  <c r="AK230" i="8" s="1"/>
  <c r="AM166" i="8"/>
  <c r="AL166" i="8"/>
  <c r="AJ166" i="8"/>
  <c r="AI166" i="8"/>
  <c r="AG166" i="8"/>
  <c r="AF166" i="8"/>
  <c r="U166" i="8"/>
  <c r="R166" i="8"/>
  <c r="S166" i="8" s="1"/>
  <c r="I166" i="8"/>
  <c r="AK166" i="8" s="1"/>
  <c r="AM231" i="8"/>
  <c r="AL231" i="8"/>
  <c r="AJ231" i="8"/>
  <c r="AI231" i="8"/>
  <c r="AG231" i="8"/>
  <c r="AF231" i="8"/>
  <c r="U231" i="8"/>
  <c r="R231" i="8"/>
  <c r="S231" i="8" s="1"/>
  <c r="I231" i="8"/>
  <c r="AM71" i="8"/>
  <c r="AL71" i="8"/>
  <c r="AJ71" i="8"/>
  <c r="AI71" i="8"/>
  <c r="AG71" i="8"/>
  <c r="AF71" i="8"/>
  <c r="U71" i="8"/>
  <c r="R71" i="8"/>
  <c r="S71" i="8" s="1"/>
  <c r="I71" i="8"/>
  <c r="AM229" i="8"/>
  <c r="AL229" i="8"/>
  <c r="AJ229" i="8"/>
  <c r="AI229" i="8"/>
  <c r="AG229" i="8"/>
  <c r="AF229" i="8"/>
  <c r="U229" i="8"/>
  <c r="R229" i="8"/>
  <c r="S229" i="8" s="1"/>
  <c r="I229" i="8"/>
  <c r="AK229" i="8" s="1"/>
  <c r="AM164" i="8"/>
  <c r="AL164" i="8"/>
  <c r="AJ164" i="8"/>
  <c r="AI164" i="8"/>
  <c r="AG164" i="8"/>
  <c r="AF164" i="8"/>
  <c r="U164" i="8"/>
  <c r="R164" i="8"/>
  <c r="S164" i="8" s="1"/>
  <c r="I164" i="8"/>
  <c r="AK164" i="8" s="1"/>
  <c r="AM228" i="8"/>
  <c r="AL228" i="8"/>
  <c r="AJ228" i="8"/>
  <c r="AI228" i="8"/>
  <c r="AG228" i="8"/>
  <c r="AF228" i="8"/>
  <c r="U228" i="8"/>
  <c r="R228" i="8"/>
  <c r="S228" i="8" s="1"/>
  <c r="I228" i="8"/>
  <c r="AK228" i="8" s="1"/>
  <c r="AM227" i="8"/>
  <c r="AL227" i="8"/>
  <c r="AJ227" i="8"/>
  <c r="AI227" i="8"/>
  <c r="AG227" i="8"/>
  <c r="AF227" i="8"/>
  <c r="U227" i="8"/>
  <c r="R227" i="8"/>
  <c r="S227" i="8" s="1"/>
  <c r="I227" i="8"/>
  <c r="AK227" i="8" s="1"/>
  <c r="AM165" i="8"/>
  <c r="AL165" i="8"/>
  <c r="AJ165" i="8"/>
  <c r="AI165" i="8"/>
  <c r="AG165" i="8"/>
  <c r="AF165" i="8"/>
  <c r="U165" i="8"/>
  <c r="R165" i="8"/>
  <c r="S165" i="8" s="1"/>
  <c r="I165" i="8"/>
  <c r="AM162" i="8"/>
  <c r="AL162" i="8"/>
  <c r="AJ162" i="8"/>
  <c r="AI162" i="8"/>
  <c r="AG162" i="8"/>
  <c r="AF162" i="8"/>
  <c r="U162" i="8"/>
  <c r="R162" i="8"/>
  <c r="S162" i="8" s="1"/>
  <c r="I162" i="8"/>
  <c r="AK162" i="8" s="1"/>
  <c r="AM161" i="8"/>
  <c r="AL161" i="8"/>
  <c r="AJ161" i="8"/>
  <c r="AI161" i="8"/>
  <c r="AG161" i="8"/>
  <c r="AF161" i="8"/>
  <c r="U161" i="8"/>
  <c r="R161" i="8"/>
  <c r="S161" i="8" s="1"/>
  <c r="I161" i="8"/>
  <c r="AM160" i="8"/>
  <c r="AL160" i="8"/>
  <c r="AJ160" i="8"/>
  <c r="AI160" i="8"/>
  <c r="AG160" i="8"/>
  <c r="AF160" i="8"/>
  <c r="U160" i="8"/>
  <c r="R160" i="8"/>
  <c r="S160" i="8" s="1"/>
  <c r="I160" i="8"/>
  <c r="AK160" i="8" s="1"/>
  <c r="AM159" i="8"/>
  <c r="AL159" i="8"/>
  <c r="AJ159" i="8"/>
  <c r="AI159" i="8"/>
  <c r="AG159" i="8"/>
  <c r="AF159" i="8"/>
  <c r="U159" i="8"/>
  <c r="R159" i="8"/>
  <c r="S159" i="8" s="1"/>
  <c r="I159" i="8"/>
  <c r="AH159" i="8" s="1"/>
  <c r="AM158" i="8"/>
  <c r="AL158" i="8"/>
  <c r="AJ158" i="8"/>
  <c r="AI158" i="8"/>
  <c r="AG158" i="8"/>
  <c r="AF158" i="8"/>
  <c r="U158" i="8"/>
  <c r="R158" i="8"/>
  <c r="S158" i="8" s="1"/>
  <c r="I158" i="8"/>
  <c r="AK158" i="8" s="1"/>
  <c r="AM157" i="8"/>
  <c r="AL157" i="8"/>
  <c r="AJ157" i="8"/>
  <c r="AI157" i="8"/>
  <c r="AG157" i="8"/>
  <c r="AF157" i="8"/>
  <c r="U157" i="8"/>
  <c r="R157" i="8"/>
  <c r="S157" i="8" s="1"/>
  <c r="I157" i="8"/>
  <c r="AH157" i="8" s="1"/>
  <c r="AM156" i="8"/>
  <c r="AL156" i="8"/>
  <c r="AJ156" i="8"/>
  <c r="AI156" i="8"/>
  <c r="AG156" i="8"/>
  <c r="AF156" i="8"/>
  <c r="U156" i="8"/>
  <c r="R156" i="8"/>
  <c r="S156" i="8" s="1"/>
  <c r="I156" i="8"/>
  <c r="AK156" i="8" s="1"/>
  <c r="AM155" i="8"/>
  <c r="AL155" i="8"/>
  <c r="AJ155" i="8"/>
  <c r="AI155" i="8"/>
  <c r="AG155" i="8"/>
  <c r="AF155" i="8"/>
  <c r="U155" i="8"/>
  <c r="R155" i="8"/>
  <c r="S155" i="8" s="1"/>
  <c r="I155" i="8"/>
  <c r="AH155" i="8" s="1"/>
  <c r="AM154" i="8"/>
  <c r="AL154" i="8"/>
  <c r="AJ154" i="8"/>
  <c r="AI154" i="8"/>
  <c r="AG154" i="8"/>
  <c r="AF154" i="8"/>
  <c r="U154" i="8"/>
  <c r="R154" i="8"/>
  <c r="S154" i="8" s="1"/>
  <c r="I154" i="8"/>
  <c r="AK154" i="8" s="1"/>
  <c r="AM153" i="8"/>
  <c r="AL153" i="8"/>
  <c r="AJ153" i="8"/>
  <c r="AI153" i="8"/>
  <c r="AG153" i="8"/>
  <c r="AF153" i="8"/>
  <c r="U153" i="8"/>
  <c r="R153" i="8"/>
  <c r="S153" i="8" s="1"/>
  <c r="I153" i="8"/>
  <c r="AH153" i="8" s="1"/>
  <c r="AM226" i="8"/>
  <c r="AL226" i="8"/>
  <c r="AJ226" i="8"/>
  <c r="AI226" i="8"/>
  <c r="AG226" i="8"/>
  <c r="AF226" i="8"/>
  <c r="U226" i="8"/>
  <c r="R226" i="8"/>
  <c r="S226" i="8" s="1"/>
  <c r="I226" i="8"/>
  <c r="AH226" i="8" s="1"/>
  <c r="AM225" i="8"/>
  <c r="AL225" i="8"/>
  <c r="AJ225" i="8"/>
  <c r="AI225" i="8"/>
  <c r="AG225" i="8"/>
  <c r="AF225" i="8"/>
  <c r="U225" i="8"/>
  <c r="R225" i="8"/>
  <c r="I225" i="8"/>
  <c r="AK225" i="8" s="1"/>
  <c r="AM224" i="8"/>
  <c r="AL224" i="8"/>
  <c r="AJ224" i="8"/>
  <c r="AI224" i="8"/>
  <c r="AG224" i="8"/>
  <c r="AF224" i="8"/>
  <c r="U224" i="8"/>
  <c r="R224" i="8"/>
  <c r="S224" i="8" s="1"/>
  <c r="I224" i="8"/>
  <c r="AH224" i="8" s="1"/>
  <c r="AM223" i="8"/>
  <c r="AL223" i="8"/>
  <c r="AJ223" i="8"/>
  <c r="AI223" i="8"/>
  <c r="AG223" i="8"/>
  <c r="AF223" i="8"/>
  <c r="U223" i="8"/>
  <c r="R223" i="8"/>
  <c r="S223" i="8" s="1"/>
  <c r="I223" i="8"/>
  <c r="AK223" i="8" s="1"/>
  <c r="AM222" i="8"/>
  <c r="AL222" i="8"/>
  <c r="AJ222" i="8"/>
  <c r="AI222" i="8"/>
  <c r="AG222" i="8"/>
  <c r="AF222" i="8"/>
  <c r="U222" i="8"/>
  <c r="R222" i="8"/>
  <c r="S222" i="8" s="1"/>
  <c r="I222" i="8"/>
  <c r="AH222" i="8" s="1"/>
  <c r="AM221" i="8"/>
  <c r="AL221" i="8"/>
  <c r="AJ221" i="8"/>
  <c r="AI221" i="8"/>
  <c r="AG221" i="8"/>
  <c r="AF221" i="8"/>
  <c r="U221" i="8"/>
  <c r="R221" i="8"/>
  <c r="S221" i="8" s="1"/>
  <c r="I221" i="8"/>
  <c r="AK221" i="8" s="1"/>
  <c r="AM220" i="8"/>
  <c r="AL220" i="8"/>
  <c r="AJ220" i="8"/>
  <c r="AI220" i="8"/>
  <c r="AG220" i="8"/>
  <c r="AF220" i="8"/>
  <c r="U220" i="8"/>
  <c r="R220" i="8"/>
  <c r="S220" i="8" s="1"/>
  <c r="I220" i="8"/>
  <c r="AK220" i="8" s="1"/>
  <c r="AM219" i="8"/>
  <c r="AL219" i="8"/>
  <c r="AJ219" i="8"/>
  <c r="AI219" i="8"/>
  <c r="AG219" i="8"/>
  <c r="AF219" i="8"/>
  <c r="U219" i="8"/>
  <c r="R219" i="8"/>
  <c r="S219" i="8" s="1"/>
  <c r="I219" i="8"/>
  <c r="AM218" i="8"/>
  <c r="AL218" i="8"/>
  <c r="AJ218" i="8"/>
  <c r="AI218" i="8"/>
  <c r="AH218" i="8"/>
  <c r="AG218" i="8"/>
  <c r="AF218" i="8"/>
  <c r="U218" i="8"/>
  <c r="R218" i="8"/>
  <c r="S218" i="8" s="1"/>
  <c r="I218" i="8"/>
  <c r="AK218" i="8" s="1"/>
  <c r="AM217" i="8"/>
  <c r="AL217" i="8"/>
  <c r="AJ217" i="8"/>
  <c r="AI217" i="8"/>
  <c r="AG217" i="8"/>
  <c r="AF217" i="8"/>
  <c r="U217" i="8"/>
  <c r="R217" i="8"/>
  <c r="S217" i="8" s="1"/>
  <c r="I217" i="8"/>
  <c r="AM216" i="8"/>
  <c r="AL216" i="8"/>
  <c r="AJ216" i="8"/>
  <c r="AI216" i="8"/>
  <c r="AG216" i="8"/>
  <c r="AF216" i="8"/>
  <c r="U216" i="8"/>
  <c r="R216" i="8"/>
  <c r="S216" i="8" s="1"/>
  <c r="I216" i="8"/>
  <c r="AH216" i="8" s="1"/>
  <c r="AM215" i="8"/>
  <c r="AL215" i="8"/>
  <c r="AJ215" i="8"/>
  <c r="AI215" i="8"/>
  <c r="AG215" i="8"/>
  <c r="AF215" i="8"/>
  <c r="U215" i="8"/>
  <c r="R215" i="8"/>
  <c r="S215" i="8" s="1"/>
  <c r="I215" i="8"/>
  <c r="AM214" i="8"/>
  <c r="AL214" i="8"/>
  <c r="AJ214" i="8"/>
  <c r="AI214" i="8"/>
  <c r="AG214" i="8"/>
  <c r="AF214" i="8"/>
  <c r="U214" i="8"/>
  <c r="R214" i="8"/>
  <c r="S214" i="8" s="1"/>
  <c r="I214" i="8"/>
  <c r="AH214" i="8" s="1"/>
  <c r="AM213" i="8"/>
  <c r="AL213" i="8"/>
  <c r="AJ213" i="8"/>
  <c r="AI213" i="8"/>
  <c r="AG213" i="8"/>
  <c r="AF213" i="8"/>
  <c r="U213" i="8"/>
  <c r="R213" i="8"/>
  <c r="S213" i="8" s="1"/>
  <c r="I213" i="8"/>
  <c r="AM212" i="8"/>
  <c r="AL212" i="8"/>
  <c r="AJ212" i="8"/>
  <c r="AI212" i="8"/>
  <c r="AG212" i="8"/>
  <c r="AF212" i="8"/>
  <c r="U212" i="8"/>
  <c r="R212" i="8"/>
  <c r="S212" i="8" s="1"/>
  <c r="I212" i="8"/>
  <c r="AH212" i="8" s="1"/>
  <c r="AM211" i="8"/>
  <c r="AL211" i="8"/>
  <c r="AJ211" i="8"/>
  <c r="AI211" i="8"/>
  <c r="AH211" i="8"/>
  <c r="AG211" i="8"/>
  <c r="AF211" i="8"/>
  <c r="U211" i="8"/>
  <c r="R211" i="8"/>
  <c r="S211" i="8" s="1"/>
  <c r="I211" i="8"/>
  <c r="AK211" i="8" s="1"/>
  <c r="AM210" i="8"/>
  <c r="AL210" i="8"/>
  <c r="AJ210" i="8"/>
  <c r="AI210" i="8"/>
  <c r="AG210" i="8"/>
  <c r="AF210" i="8"/>
  <c r="U210" i="8"/>
  <c r="R210" i="8"/>
  <c r="S210" i="8" s="1"/>
  <c r="I210" i="8"/>
  <c r="AH210" i="8" s="1"/>
  <c r="AM209" i="8"/>
  <c r="AL209" i="8"/>
  <c r="AJ209" i="8"/>
  <c r="AI209" i="8"/>
  <c r="AG209" i="8"/>
  <c r="AF209" i="8"/>
  <c r="U209" i="8"/>
  <c r="R209" i="8"/>
  <c r="S209" i="8" s="1"/>
  <c r="I209" i="8"/>
  <c r="AK209" i="8" s="1"/>
  <c r="AM208" i="8"/>
  <c r="AL208" i="8"/>
  <c r="AJ208" i="8"/>
  <c r="AI208" i="8"/>
  <c r="AG208" i="8"/>
  <c r="AF208" i="8"/>
  <c r="U208" i="8"/>
  <c r="R208" i="8"/>
  <c r="S208" i="8" s="1"/>
  <c r="I208" i="8"/>
  <c r="AK208" i="8" s="1"/>
  <c r="AM207" i="8"/>
  <c r="AL207" i="8"/>
  <c r="AJ207" i="8"/>
  <c r="AI207" i="8"/>
  <c r="AG207" i="8"/>
  <c r="AF207" i="8"/>
  <c r="U207" i="8"/>
  <c r="R207" i="8"/>
  <c r="S207" i="8" s="1"/>
  <c r="I207" i="8"/>
  <c r="AK207" i="8" s="1"/>
  <c r="AM206" i="8"/>
  <c r="AL206" i="8"/>
  <c r="AJ206" i="8"/>
  <c r="AI206" i="8"/>
  <c r="AG206" i="8"/>
  <c r="AF206" i="8"/>
  <c r="U206" i="8"/>
  <c r="R206" i="8"/>
  <c r="S206" i="8" s="1"/>
  <c r="I206" i="8"/>
  <c r="AK206" i="8" s="1"/>
  <c r="AM205" i="8"/>
  <c r="AL205" i="8"/>
  <c r="AJ205" i="8"/>
  <c r="AI205" i="8"/>
  <c r="AG205" i="8"/>
  <c r="AF205" i="8"/>
  <c r="U205" i="8"/>
  <c r="R205" i="8"/>
  <c r="S205" i="8" s="1"/>
  <c r="I205" i="8"/>
  <c r="AK205" i="8" s="1"/>
  <c r="AM204" i="8"/>
  <c r="AL204" i="8"/>
  <c r="AJ204" i="8"/>
  <c r="AI204" i="8"/>
  <c r="AG204" i="8"/>
  <c r="AF204" i="8"/>
  <c r="U204" i="8"/>
  <c r="R204" i="8"/>
  <c r="S204" i="8" s="1"/>
  <c r="I204" i="8"/>
  <c r="AK204" i="8" s="1"/>
  <c r="AM152" i="8"/>
  <c r="AL152" i="8"/>
  <c r="AJ152" i="8"/>
  <c r="AI152" i="8"/>
  <c r="AG152" i="8"/>
  <c r="AF152" i="8"/>
  <c r="U152" i="8"/>
  <c r="R152" i="8"/>
  <c r="S152" i="8" s="1"/>
  <c r="I152" i="8"/>
  <c r="AM151" i="8"/>
  <c r="AL151" i="8"/>
  <c r="AJ151" i="8"/>
  <c r="AI151" i="8"/>
  <c r="AG151" i="8"/>
  <c r="AF151" i="8"/>
  <c r="U151" i="8"/>
  <c r="R151" i="8"/>
  <c r="S151" i="8" s="1"/>
  <c r="I151" i="8"/>
  <c r="AK151" i="8" s="1"/>
  <c r="AM203" i="8"/>
  <c r="AL203" i="8"/>
  <c r="AJ203" i="8"/>
  <c r="AI203" i="8"/>
  <c r="AG203" i="8"/>
  <c r="AF203" i="8"/>
  <c r="U203" i="8"/>
  <c r="R203" i="8"/>
  <c r="S203" i="8" s="1"/>
  <c r="I203" i="8"/>
  <c r="AH203" i="8" s="1"/>
  <c r="AM70" i="8"/>
  <c r="AL70" i="8"/>
  <c r="AJ70" i="8"/>
  <c r="AI70" i="8"/>
  <c r="AG70" i="8"/>
  <c r="AF70" i="8"/>
  <c r="U70" i="8"/>
  <c r="R70" i="8"/>
  <c r="S70" i="8" s="1"/>
  <c r="I70" i="8"/>
  <c r="AK70" i="8" s="1"/>
  <c r="AM150" i="8"/>
  <c r="AL150" i="8"/>
  <c r="AJ150" i="8"/>
  <c r="AI150" i="8"/>
  <c r="AG150" i="8"/>
  <c r="AF150" i="8"/>
  <c r="U150" i="8"/>
  <c r="R150" i="8"/>
  <c r="S150" i="8" s="1"/>
  <c r="I150" i="8"/>
  <c r="AH150" i="8" s="1"/>
  <c r="AM202" i="8"/>
  <c r="AL202" i="8"/>
  <c r="AJ202" i="8"/>
  <c r="AI202" i="8"/>
  <c r="AG202" i="8"/>
  <c r="AF202" i="8"/>
  <c r="U202" i="8"/>
  <c r="R202" i="8"/>
  <c r="S202" i="8" s="1"/>
  <c r="I202" i="8"/>
  <c r="AK202" i="8" s="1"/>
  <c r="AM149" i="8"/>
  <c r="AL149" i="8"/>
  <c r="AJ149" i="8"/>
  <c r="AI149" i="8"/>
  <c r="AG149" i="8"/>
  <c r="AF149" i="8"/>
  <c r="U149" i="8"/>
  <c r="R149" i="8"/>
  <c r="S149" i="8" s="1"/>
  <c r="I149" i="8"/>
  <c r="AM69" i="8"/>
  <c r="AL69" i="8"/>
  <c r="AJ69" i="8"/>
  <c r="AI69" i="8"/>
  <c r="AG69" i="8"/>
  <c r="AF69" i="8"/>
  <c r="U69" i="8"/>
  <c r="R69" i="8"/>
  <c r="S69" i="8" s="1"/>
  <c r="I69" i="8"/>
  <c r="AH69" i="8" s="1"/>
  <c r="AM148" i="8"/>
  <c r="AL148" i="8"/>
  <c r="AJ148" i="8"/>
  <c r="AI148" i="8"/>
  <c r="AG148" i="8"/>
  <c r="AF148" i="8"/>
  <c r="U148" i="8"/>
  <c r="R148" i="8"/>
  <c r="S148" i="8" s="1"/>
  <c r="I148" i="8"/>
  <c r="AM68" i="8"/>
  <c r="AL68" i="8"/>
  <c r="AJ68" i="8"/>
  <c r="AI68" i="8"/>
  <c r="AG68" i="8"/>
  <c r="AF68" i="8"/>
  <c r="U68" i="8"/>
  <c r="R68" i="8"/>
  <c r="S68" i="8" s="1"/>
  <c r="I68" i="8"/>
  <c r="AH68" i="8" s="1"/>
  <c r="AM67" i="8"/>
  <c r="AL67" i="8"/>
  <c r="AJ67" i="8"/>
  <c r="AI67" i="8"/>
  <c r="AG67" i="8"/>
  <c r="AF67" i="8"/>
  <c r="U67" i="8"/>
  <c r="R67" i="8"/>
  <c r="S67" i="8" s="1"/>
  <c r="I67" i="8"/>
  <c r="AH67" i="8" s="1"/>
  <c r="AM147" i="8"/>
  <c r="AL147" i="8"/>
  <c r="AJ147" i="8"/>
  <c r="AI147" i="8"/>
  <c r="AG147" i="8"/>
  <c r="AF147" i="8"/>
  <c r="U147" i="8"/>
  <c r="R147" i="8"/>
  <c r="S147" i="8" s="1"/>
  <c r="I147" i="8"/>
  <c r="AH147" i="8" s="1"/>
  <c r="AM66" i="8"/>
  <c r="AL66" i="8"/>
  <c r="AJ66" i="8"/>
  <c r="AI66" i="8"/>
  <c r="AG66" i="8"/>
  <c r="AF66" i="8"/>
  <c r="U66" i="8"/>
  <c r="R66" i="8"/>
  <c r="S66" i="8" s="1"/>
  <c r="I66" i="8"/>
  <c r="AM201" i="8"/>
  <c r="AL201" i="8"/>
  <c r="AJ201" i="8"/>
  <c r="AI201" i="8"/>
  <c r="AG201" i="8"/>
  <c r="AF201" i="8"/>
  <c r="U201" i="8"/>
  <c r="R201" i="8"/>
  <c r="S201" i="8" s="1"/>
  <c r="I201" i="8"/>
  <c r="AM200" i="8"/>
  <c r="AL200" i="8"/>
  <c r="AJ200" i="8"/>
  <c r="AI200" i="8"/>
  <c r="AG200" i="8"/>
  <c r="AF200" i="8"/>
  <c r="U200" i="8"/>
  <c r="R200" i="8"/>
  <c r="S200" i="8" s="1"/>
  <c r="I200" i="8"/>
  <c r="AH200" i="8" s="1"/>
  <c r="AM199" i="8"/>
  <c r="AL199" i="8"/>
  <c r="AJ199" i="8"/>
  <c r="AI199" i="8"/>
  <c r="AG199" i="8"/>
  <c r="AF199" i="8"/>
  <c r="U199" i="8"/>
  <c r="R199" i="8"/>
  <c r="S199" i="8" s="1"/>
  <c r="I199" i="8"/>
  <c r="AH199" i="8" s="1"/>
  <c r="AM198" i="8"/>
  <c r="AL198" i="8"/>
  <c r="AJ198" i="8"/>
  <c r="AI198" i="8"/>
  <c r="AG198" i="8"/>
  <c r="AF198" i="8"/>
  <c r="U198" i="8"/>
  <c r="R198" i="8"/>
  <c r="S198" i="8" s="1"/>
  <c r="I198" i="8"/>
  <c r="AH198" i="8" s="1"/>
  <c r="AM197" i="8"/>
  <c r="AL197" i="8"/>
  <c r="AJ197" i="8"/>
  <c r="AI197" i="8"/>
  <c r="AG197" i="8"/>
  <c r="AF197" i="8"/>
  <c r="U197" i="8"/>
  <c r="R197" i="8"/>
  <c r="S197" i="8" s="1"/>
  <c r="I197" i="8"/>
  <c r="AM146" i="8"/>
  <c r="AL146" i="8"/>
  <c r="AJ146" i="8"/>
  <c r="AI146" i="8"/>
  <c r="AG146" i="8"/>
  <c r="AF146" i="8"/>
  <c r="U146" i="8"/>
  <c r="R146" i="8"/>
  <c r="S146" i="8" s="1"/>
  <c r="I146" i="8"/>
  <c r="AH146" i="8" s="1"/>
  <c r="AM145" i="8"/>
  <c r="AL145" i="8"/>
  <c r="AJ145" i="8"/>
  <c r="AI145" i="8"/>
  <c r="AG145" i="8"/>
  <c r="AF145" i="8"/>
  <c r="U145" i="8"/>
  <c r="R145" i="8"/>
  <c r="S145" i="8" s="1"/>
  <c r="I145" i="8"/>
  <c r="AK145" i="8" s="1"/>
  <c r="AM144" i="8"/>
  <c r="AL144" i="8"/>
  <c r="AJ144" i="8"/>
  <c r="AI144" i="8"/>
  <c r="AG144" i="8"/>
  <c r="AF144" i="8"/>
  <c r="U144" i="8"/>
  <c r="R144" i="8"/>
  <c r="S144" i="8" s="1"/>
  <c r="I144" i="8"/>
  <c r="AM143" i="8"/>
  <c r="AL143" i="8"/>
  <c r="AJ143" i="8"/>
  <c r="AI143" i="8"/>
  <c r="AG143" i="8"/>
  <c r="AF143" i="8"/>
  <c r="U143" i="8"/>
  <c r="R143" i="8"/>
  <c r="S143" i="8" s="1"/>
  <c r="I143" i="8"/>
  <c r="AH143" i="8" s="1"/>
  <c r="AM142" i="8"/>
  <c r="AL142" i="8"/>
  <c r="AJ142" i="8"/>
  <c r="AI142" i="8"/>
  <c r="AG142" i="8"/>
  <c r="AF142" i="8"/>
  <c r="U142" i="8"/>
  <c r="R142" i="8"/>
  <c r="S142" i="8" s="1"/>
  <c r="I142" i="8"/>
  <c r="AH142" i="8" s="1"/>
  <c r="AM141" i="8"/>
  <c r="AL141" i="8"/>
  <c r="AJ141" i="8"/>
  <c r="AI141" i="8"/>
  <c r="AG141" i="8"/>
  <c r="AF141" i="8"/>
  <c r="U141" i="8"/>
  <c r="R141" i="8"/>
  <c r="S141" i="8" s="1"/>
  <c r="I141" i="8"/>
  <c r="AM140" i="8"/>
  <c r="AL140" i="8"/>
  <c r="AJ140" i="8"/>
  <c r="AI140" i="8"/>
  <c r="AG140" i="8"/>
  <c r="AF140" i="8"/>
  <c r="U140" i="8"/>
  <c r="R140" i="8"/>
  <c r="S140" i="8" s="1"/>
  <c r="I140" i="8"/>
  <c r="AM139" i="8"/>
  <c r="AL139" i="8"/>
  <c r="AJ139" i="8"/>
  <c r="AI139" i="8"/>
  <c r="AG139" i="8"/>
  <c r="AF139" i="8"/>
  <c r="U139" i="8"/>
  <c r="R139" i="8"/>
  <c r="S139" i="8" s="1"/>
  <c r="I139" i="8"/>
  <c r="AH139" i="8" s="1"/>
  <c r="AM65" i="8"/>
  <c r="AL65" i="8"/>
  <c r="AJ65" i="8"/>
  <c r="AI65" i="8"/>
  <c r="AG65" i="8"/>
  <c r="AF65" i="8"/>
  <c r="U65" i="8"/>
  <c r="R65" i="8"/>
  <c r="S65" i="8" s="1"/>
  <c r="I65" i="8"/>
  <c r="AH65" i="8" s="1"/>
  <c r="AM138" i="8"/>
  <c r="AL138" i="8"/>
  <c r="AJ138" i="8"/>
  <c r="AI138" i="8"/>
  <c r="AG138" i="8"/>
  <c r="AF138" i="8"/>
  <c r="U138" i="8"/>
  <c r="R138" i="8"/>
  <c r="S138" i="8" s="1"/>
  <c r="I138" i="8"/>
  <c r="AM137" i="8"/>
  <c r="AL137" i="8"/>
  <c r="AJ137" i="8"/>
  <c r="AI137" i="8"/>
  <c r="AG137" i="8"/>
  <c r="AF137" i="8"/>
  <c r="U137" i="8"/>
  <c r="R137" i="8"/>
  <c r="S137" i="8" s="1"/>
  <c r="I137" i="8"/>
  <c r="AM136" i="8"/>
  <c r="AL136" i="8"/>
  <c r="AJ136" i="8"/>
  <c r="AI136" i="8"/>
  <c r="AG136" i="8"/>
  <c r="AF136" i="8"/>
  <c r="U136" i="8"/>
  <c r="R136" i="8"/>
  <c r="S136" i="8" s="1"/>
  <c r="I136" i="8"/>
  <c r="AH136" i="8" s="1"/>
  <c r="AM196" i="8"/>
  <c r="AL196" i="8"/>
  <c r="AJ196" i="8"/>
  <c r="AI196" i="8"/>
  <c r="AG196" i="8"/>
  <c r="AF196" i="8"/>
  <c r="U196" i="8"/>
  <c r="R196" i="8"/>
  <c r="S196" i="8" s="1"/>
  <c r="I196" i="8"/>
  <c r="AH196" i="8" s="1"/>
  <c r="AM135" i="8"/>
  <c r="AL135" i="8"/>
  <c r="AJ135" i="8"/>
  <c r="AI135" i="8"/>
  <c r="AG135" i="8"/>
  <c r="AF135" i="8"/>
  <c r="U135" i="8"/>
  <c r="R135" i="8"/>
  <c r="S135" i="8" s="1"/>
  <c r="I135" i="8"/>
  <c r="AH135" i="8" s="1"/>
  <c r="AM195" i="8"/>
  <c r="AL195" i="8"/>
  <c r="AJ195" i="8"/>
  <c r="AI195" i="8"/>
  <c r="AG195" i="8"/>
  <c r="AF195" i="8"/>
  <c r="U195" i="8"/>
  <c r="R195" i="8"/>
  <c r="S195" i="8" s="1"/>
  <c r="I195" i="8"/>
  <c r="AH195" i="8" s="1"/>
  <c r="AM194" i="8"/>
  <c r="AL194" i="8"/>
  <c r="AJ194" i="8"/>
  <c r="AI194" i="8"/>
  <c r="AG194" i="8"/>
  <c r="AF194" i="8"/>
  <c r="U194" i="8"/>
  <c r="R194" i="8"/>
  <c r="S194" i="8" s="1"/>
  <c r="I194" i="8"/>
  <c r="AK194" i="8" s="1"/>
  <c r="AM193" i="8"/>
  <c r="AL193" i="8"/>
  <c r="AJ193" i="8"/>
  <c r="AI193" i="8"/>
  <c r="AG193" i="8"/>
  <c r="AF193" i="8"/>
  <c r="U193" i="8"/>
  <c r="R193" i="8"/>
  <c r="S193" i="8" s="1"/>
  <c r="I193" i="8"/>
  <c r="AH193" i="8" s="1"/>
  <c r="AM134" i="8"/>
  <c r="AL134" i="8"/>
  <c r="AJ134" i="8"/>
  <c r="AI134" i="8"/>
  <c r="AG134" i="8"/>
  <c r="AF134" i="8"/>
  <c r="U134" i="8"/>
  <c r="R134" i="8"/>
  <c r="S134" i="8" s="1"/>
  <c r="I134" i="8"/>
  <c r="AM64" i="8"/>
  <c r="AL64" i="8"/>
  <c r="AJ64" i="8"/>
  <c r="AI64" i="8"/>
  <c r="AG64" i="8"/>
  <c r="AF64" i="8"/>
  <c r="U64" i="8"/>
  <c r="R64" i="8"/>
  <c r="S64" i="8" s="1"/>
  <c r="I64" i="8"/>
  <c r="AH64" i="8" s="1"/>
  <c r="AM192" i="8"/>
  <c r="AL192" i="8"/>
  <c r="AJ192" i="8"/>
  <c r="AI192" i="8"/>
  <c r="AG192" i="8"/>
  <c r="AF192" i="8"/>
  <c r="U192" i="8"/>
  <c r="R192" i="8"/>
  <c r="S192" i="8" s="1"/>
  <c r="I192" i="8"/>
  <c r="AH192" i="8" s="1"/>
  <c r="AM191" i="8"/>
  <c r="AL191" i="8"/>
  <c r="AJ191" i="8"/>
  <c r="AI191" i="8"/>
  <c r="AG191" i="8"/>
  <c r="AF191" i="8"/>
  <c r="U191" i="8"/>
  <c r="R191" i="8"/>
  <c r="S191" i="8" s="1"/>
  <c r="I191" i="8"/>
  <c r="AH191" i="8" s="1"/>
  <c r="AM133" i="8"/>
  <c r="AL133" i="8"/>
  <c r="AJ133" i="8"/>
  <c r="AI133" i="8"/>
  <c r="AG133" i="8"/>
  <c r="AF133" i="8"/>
  <c r="U133" i="8"/>
  <c r="R133" i="8"/>
  <c r="S133" i="8" s="1"/>
  <c r="I133" i="8"/>
  <c r="AH133" i="8" s="1"/>
  <c r="AM132" i="8"/>
  <c r="AL132" i="8"/>
  <c r="AJ132" i="8"/>
  <c r="AI132" i="8"/>
  <c r="AG132" i="8"/>
  <c r="AF132" i="8"/>
  <c r="U132" i="8"/>
  <c r="R132" i="8"/>
  <c r="S132" i="8" s="1"/>
  <c r="I132" i="8"/>
  <c r="AM131" i="8"/>
  <c r="AL131" i="8"/>
  <c r="AJ131" i="8"/>
  <c r="AI131" i="8"/>
  <c r="AG131" i="8"/>
  <c r="AF131" i="8"/>
  <c r="U131" i="8"/>
  <c r="R131" i="8"/>
  <c r="S131" i="8" s="1"/>
  <c r="I131" i="8"/>
  <c r="AH131" i="8" s="1"/>
  <c r="AM130" i="8"/>
  <c r="AL130" i="8"/>
  <c r="AJ130" i="8"/>
  <c r="AI130" i="8"/>
  <c r="AG130" i="8"/>
  <c r="AF130" i="8"/>
  <c r="U130" i="8"/>
  <c r="R130" i="8"/>
  <c r="S130" i="8" s="1"/>
  <c r="I130" i="8"/>
  <c r="AH130" i="8" s="1"/>
  <c r="AM129" i="8"/>
  <c r="AL129" i="8"/>
  <c r="AJ129" i="8"/>
  <c r="AI129" i="8"/>
  <c r="AG129" i="8"/>
  <c r="AF129" i="8"/>
  <c r="U129" i="8"/>
  <c r="R129" i="8"/>
  <c r="S129" i="8" s="1"/>
  <c r="I129" i="8"/>
  <c r="AH129" i="8" s="1"/>
  <c r="AM128" i="8"/>
  <c r="AL128" i="8"/>
  <c r="AJ128" i="8"/>
  <c r="AI128" i="8"/>
  <c r="AG128" i="8"/>
  <c r="AF128" i="8"/>
  <c r="U128" i="8"/>
  <c r="R128" i="8"/>
  <c r="S128" i="8" s="1"/>
  <c r="I128" i="8"/>
  <c r="AH128" i="8" s="1"/>
  <c r="AM127" i="8"/>
  <c r="AL127" i="8"/>
  <c r="AJ127" i="8"/>
  <c r="AI127" i="8"/>
  <c r="AG127" i="8"/>
  <c r="AF127" i="8"/>
  <c r="U127" i="8"/>
  <c r="R127" i="8"/>
  <c r="S127" i="8" s="1"/>
  <c r="I127" i="8"/>
  <c r="AK127" i="8" s="1"/>
  <c r="AM190" i="8"/>
  <c r="AL190" i="8"/>
  <c r="AJ190" i="8"/>
  <c r="AI190" i="8"/>
  <c r="AG190" i="8"/>
  <c r="AF190" i="8"/>
  <c r="U190" i="8"/>
  <c r="R190" i="8"/>
  <c r="S190" i="8" s="1"/>
  <c r="I190" i="8"/>
  <c r="AH190" i="8" s="1"/>
  <c r="AM63" i="8"/>
  <c r="AL63" i="8"/>
  <c r="AJ63" i="8"/>
  <c r="AI63" i="8"/>
  <c r="AG63" i="8"/>
  <c r="AF63" i="8"/>
  <c r="U63" i="8"/>
  <c r="R63" i="8"/>
  <c r="S63" i="8" s="1"/>
  <c r="I63" i="8"/>
  <c r="AM62" i="8"/>
  <c r="AL62" i="8"/>
  <c r="AJ62" i="8"/>
  <c r="AI62" i="8"/>
  <c r="AG62" i="8"/>
  <c r="AF62" i="8"/>
  <c r="U62" i="8"/>
  <c r="R62" i="8"/>
  <c r="S62" i="8" s="1"/>
  <c r="I62" i="8"/>
  <c r="AM61" i="8"/>
  <c r="AL61" i="8"/>
  <c r="AJ61" i="8"/>
  <c r="AI61" i="8"/>
  <c r="AG61" i="8"/>
  <c r="AF61" i="8"/>
  <c r="U61" i="8"/>
  <c r="R61" i="8"/>
  <c r="S61" i="8" s="1"/>
  <c r="I61" i="8"/>
  <c r="AH61" i="8" s="1"/>
  <c r="AM189" i="8"/>
  <c r="AL189" i="8"/>
  <c r="AJ189" i="8"/>
  <c r="AI189" i="8"/>
  <c r="AG189" i="8"/>
  <c r="AF189" i="8"/>
  <c r="U189" i="8"/>
  <c r="R189" i="8"/>
  <c r="S189" i="8" s="1"/>
  <c r="I189" i="8"/>
  <c r="AM126" i="8"/>
  <c r="AL126" i="8"/>
  <c r="AJ126" i="8"/>
  <c r="AI126" i="8"/>
  <c r="AG126" i="8"/>
  <c r="AF126" i="8"/>
  <c r="U126" i="8"/>
  <c r="R126" i="8"/>
  <c r="S126" i="8" s="1"/>
  <c r="I126" i="8"/>
  <c r="AM125" i="8"/>
  <c r="AL125" i="8"/>
  <c r="AJ125" i="8"/>
  <c r="AI125" i="8"/>
  <c r="AG125" i="8"/>
  <c r="AF125" i="8"/>
  <c r="U125" i="8"/>
  <c r="R125" i="8"/>
  <c r="S125" i="8" s="1"/>
  <c r="I125" i="8"/>
  <c r="AM124" i="8"/>
  <c r="AL124" i="8"/>
  <c r="AJ124" i="8"/>
  <c r="AI124" i="8"/>
  <c r="AG124" i="8"/>
  <c r="AF124" i="8"/>
  <c r="U124" i="8"/>
  <c r="R124" i="8"/>
  <c r="S124" i="8" s="1"/>
  <c r="I124" i="8"/>
  <c r="AK124" i="8" s="1"/>
  <c r="AM123" i="8"/>
  <c r="AL123" i="8"/>
  <c r="AJ123" i="8"/>
  <c r="AI123" i="8"/>
  <c r="AG123" i="8"/>
  <c r="AF123" i="8"/>
  <c r="U123" i="8"/>
  <c r="R123" i="8"/>
  <c r="S123" i="8" s="1"/>
  <c r="I123" i="8"/>
  <c r="AH123" i="8" s="1"/>
  <c r="AM188" i="8"/>
  <c r="AL188" i="8"/>
  <c r="AJ188" i="8"/>
  <c r="AI188" i="8"/>
  <c r="AG188" i="8"/>
  <c r="AF188" i="8"/>
  <c r="U188" i="8"/>
  <c r="R188" i="8"/>
  <c r="S188" i="8" s="1"/>
  <c r="I188" i="8"/>
  <c r="AH188" i="8" s="1"/>
  <c r="AM122" i="8"/>
  <c r="AL122" i="8"/>
  <c r="AJ122" i="8"/>
  <c r="AI122" i="8"/>
  <c r="AG122" i="8"/>
  <c r="AF122" i="8"/>
  <c r="U122" i="8"/>
  <c r="R122" i="8"/>
  <c r="S122" i="8" s="1"/>
  <c r="I122" i="8"/>
  <c r="AH122" i="8" s="1"/>
  <c r="AM187" i="8"/>
  <c r="AL187" i="8"/>
  <c r="AJ187" i="8"/>
  <c r="AI187" i="8"/>
  <c r="AG187" i="8"/>
  <c r="AF187" i="8"/>
  <c r="U187" i="8"/>
  <c r="R187" i="8"/>
  <c r="S187" i="8" s="1"/>
  <c r="I187" i="8"/>
  <c r="AH187" i="8" s="1"/>
  <c r="AM121" i="8"/>
  <c r="AL121" i="8"/>
  <c r="AJ121" i="8"/>
  <c r="AI121" i="8"/>
  <c r="AG121" i="8"/>
  <c r="AF121" i="8"/>
  <c r="U121" i="8"/>
  <c r="R121" i="8"/>
  <c r="S121" i="8" s="1"/>
  <c r="I121" i="8"/>
  <c r="AH121" i="8" s="1"/>
  <c r="AM60" i="8"/>
  <c r="AL60" i="8"/>
  <c r="AJ60" i="8"/>
  <c r="AI60" i="8"/>
  <c r="AG60" i="8"/>
  <c r="AF60" i="8"/>
  <c r="U60" i="8"/>
  <c r="R60" i="8"/>
  <c r="S60" i="8" s="1"/>
  <c r="I60" i="8"/>
  <c r="AH60" i="8" s="1"/>
  <c r="AM59" i="8"/>
  <c r="AL59" i="8"/>
  <c r="AJ59" i="8"/>
  <c r="AI59" i="8"/>
  <c r="AG59" i="8"/>
  <c r="AF59" i="8"/>
  <c r="U59" i="8"/>
  <c r="R59" i="8"/>
  <c r="S59" i="8" s="1"/>
  <c r="I59" i="8"/>
  <c r="AM120" i="8"/>
  <c r="AL120" i="8"/>
  <c r="AJ120" i="8"/>
  <c r="AI120" i="8"/>
  <c r="AG120" i="8"/>
  <c r="AF120" i="8"/>
  <c r="U120" i="8"/>
  <c r="R120" i="8"/>
  <c r="S120" i="8" s="1"/>
  <c r="I120" i="8"/>
  <c r="AM58" i="8"/>
  <c r="AL58" i="8"/>
  <c r="AJ58" i="8"/>
  <c r="AI58" i="8"/>
  <c r="AG58" i="8"/>
  <c r="AF58" i="8"/>
  <c r="U58" i="8"/>
  <c r="R58" i="8"/>
  <c r="S58" i="8" s="1"/>
  <c r="I58" i="8"/>
  <c r="AM119" i="8"/>
  <c r="AL119" i="8"/>
  <c r="AJ119" i="8"/>
  <c r="AI119" i="8"/>
  <c r="AG119" i="8"/>
  <c r="AF119" i="8"/>
  <c r="U119" i="8"/>
  <c r="R119" i="8"/>
  <c r="S119" i="8" s="1"/>
  <c r="I119" i="8"/>
  <c r="AH119" i="8" s="1"/>
  <c r="AM118" i="8"/>
  <c r="AL118" i="8"/>
  <c r="AJ118" i="8"/>
  <c r="AI118" i="8"/>
  <c r="AG118" i="8"/>
  <c r="AF118" i="8"/>
  <c r="U118" i="8"/>
  <c r="R118" i="8"/>
  <c r="S118" i="8" s="1"/>
  <c r="I118" i="8"/>
  <c r="AK118" i="8" s="1"/>
  <c r="AM57" i="8"/>
  <c r="AL57" i="8"/>
  <c r="AJ57" i="8"/>
  <c r="AI57" i="8"/>
  <c r="AG57" i="8"/>
  <c r="AF57" i="8"/>
  <c r="U57" i="8"/>
  <c r="R57" i="8"/>
  <c r="S57" i="8" s="1"/>
  <c r="I57" i="8"/>
  <c r="AM117" i="8"/>
  <c r="AL117" i="8"/>
  <c r="AJ117" i="8"/>
  <c r="AI117" i="8"/>
  <c r="AG117" i="8"/>
  <c r="AF117" i="8"/>
  <c r="U117" i="8"/>
  <c r="R117" i="8"/>
  <c r="S117" i="8" s="1"/>
  <c r="I117" i="8"/>
  <c r="AK117" i="8" s="1"/>
  <c r="AM186" i="8"/>
  <c r="AL186" i="8"/>
  <c r="AJ186" i="8"/>
  <c r="AI186" i="8"/>
  <c r="AG186" i="8"/>
  <c r="AF186" i="8"/>
  <c r="U186" i="8"/>
  <c r="R186" i="8"/>
  <c r="S186" i="8" s="1"/>
  <c r="I186" i="8"/>
  <c r="AM116" i="8"/>
  <c r="AL116" i="8"/>
  <c r="AJ116" i="8"/>
  <c r="AI116" i="8"/>
  <c r="AG116" i="8"/>
  <c r="AF116" i="8"/>
  <c r="U116" i="8"/>
  <c r="R116" i="8"/>
  <c r="S116" i="8" s="1"/>
  <c r="I116" i="8"/>
  <c r="AH116" i="8" s="1"/>
  <c r="AM115" i="8"/>
  <c r="AL115" i="8"/>
  <c r="AJ115" i="8"/>
  <c r="AI115" i="8"/>
  <c r="AG115" i="8"/>
  <c r="AF115" i="8"/>
  <c r="U115" i="8"/>
  <c r="R115" i="8"/>
  <c r="S115" i="8" s="1"/>
  <c r="I115" i="8"/>
  <c r="AH115" i="8" s="1"/>
  <c r="AM114" i="8"/>
  <c r="AL114" i="8"/>
  <c r="AJ114" i="8"/>
  <c r="AI114" i="8"/>
  <c r="AG114" i="8"/>
  <c r="AF114" i="8"/>
  <c r="U114" i="8"/>
  <c r="R114" i="8"/>
  <c r="S114" i="8" s="1"/>
  <c r="I114" i="8"/>
  <c r="AK114" i="8" s="1"/>
  <c r="AM113" i="8"/>
  <c r="AL113" i="8"/>
  <c r="AJ113" i="8"/>
  <c r="AI113" i="8"/>
  <c r="AG113" i="8"/>
  <c r="AF113" i="8"/>
  <c r="U113" i="8"/>
  <c r="R113" i="8"/>
  <c r="S113" i="8" s="1"/>
  <c r="I113" i="8"/>
  <c r="AH113" i="8" s="1"/>
  <c r="AM112" i="8"/>
  <c r="AL112" i="8"/>
  <c r="AJ112" i="8"/>
  <c r="AI112" i="8"/>
  <c r="AG112" i="8"/>
  <c r="AF112" i="8"/>
  <c r="U112" i="8"/>
  <c r="R112" i="8"/>
  <c r="S112" i="8" s="1"/>
  <c r="I112" i="8"/>
  <c r="AH112" i="8" s="1"/>
  <c r="AM111" i="8"/>
  <c r="AL111" i="8"/>
  <c r="AJ111" i="8"/>
  <c r="AI111" i="8"/>
  <c r="AG111" i="8"/>
  <c r="AF111" i="8"/>
  <c r="U111" i="8"/>
  <c r="R111" i="8"/>
  <c r="S111" i="8" s="1"/>
  <c r="I111" i="8"/>
  <c r="AH111" i="8" s="1"/>
  <c r="AM110" i="8"/>
  <c r="AL110" i="8"/>
  <c r="AJ110" i="8"/>
  <c r="AI110" i="8"/>
  <c r="AG110" i="8"/>
  <c r="AF110" i="8"/>
  <c r="U110" i="8"/>
  <c r="R110" i="8"/>
  <c r="S110" i="8" s="1"/>
  <c r="I110" i="8"/>
  <c r="AH110" i="8" s="1"/>
  <c r="AM109" i="8"/>
  <c r="AL109" i="8"/>
  <c r="AJ109" i="8"/>
  <c r="AI109" i="8"/>
  <c r="AG109" i="8"/>
  <c r="AF109" i="8"/>
  <c r="U109" i="8"/>
  <c r="R109" i="8"/>
  <c r="S109" i="8" s="1"/>
  <c r="I109" i="8"/>
  <c r="AH109" i="8" s="1"/>
  <c r="AM108" i="8"/>
  <c r="AL108" i="8"/>
  <c r="AJ108" i="8"/>
  <c r="AI108" i="8"/>
  <c r="AG108" i="8"/>
  <c r="AF108" i="8"/>
  <c r="U108" i="8"/>
  <c r="R108" i="8"/>
  <c r="S108" i="8" s="1"/>
  <c r="I108" i="8"/>
  <c r="AM107" i="8"/>
  <c r="AL107" i="8"/>
  <c r="AJ107" i="8"/>
  <c r="AI107" i="8"/>
  <c r="AG107" i="8"/>
  <c r="AF107" i="8"/>
  <c r="U107" i="8"/>
  <c r="R107" i="8"/>
  <c r="S107" i="8" s="1"/>
  <c r="I107" i="8"/>
  <c r="AH107" i="8" s="1"/>
  <c r="AM106" i="8"/>
  <c r="AL106" i="8"/>
  <c r="AJ106" i="8"/>
  <c r="AI106" i="8"/>
  <c r="AG106" i="8"/>
  <c r="AF106" i="8"/>
  <c r="U106" i="8"/>
  <c r="R106" i="8"/>
  <c r="S106" i="8" s="1"/>
  <c r="I106" i="8"/>
  <c r="AM56" i="8"/>
  <c r="AL56" i="8"/>
  <c r="AJ56" i="8"/>
  <c r="AI56" i="8"/>
  <c r="AG56" i="8"/>
  <c r="AF56" i="8"/>
  <c r="U56" i="8"/>
  <c r="R56" i="8"/>
  <c r="S56" i="8" s="1"/>
  <c r="I56" i="8"/>
  <c r="AH56" i="8" s="1"/>
  <c r="AM55" i="8"/>
  <c r="AL55" i="8"/>
  <c r="AJ55" i="8"/>
  <c r="AI55" i="8"/>
  <c r="AG55" i="8"/>
  <c r="AF55" i="8"/>
  <c r="U55" i="8"/>
  <c r="R55" i="8"/>
  <c r="S55" i="8" s="1"/>
  <c r="I55" i="8"/>
  <c r="AK55" i="8" s="1"/>
  <c r="AM185" i="8"/>
  <c r="AL185" i="8"/>
  <c r="AJ185" i="8"/>
  <c r="AI185" i="8"/>
  <c r="AG185" i="8"/>
  <c r="AF185" i="8"/>
  <c r="U185" i="8"/>
  <c r="R185" i="8"/>
  <c r="S185" i="8" s="1"/>
  <c r="I185" i="8"/>
  <c r="AH185" i="8" s="1"/>
  <c r="AM105" i="8"/>
  <c r="AL105" i="8"/>
  <c r="AJ105" i="8"/>
  <c r="AI105" i="8"/>
  <c r="AG105" i="8"/>
  <c r="AF105" i="8"/>
  <c r="U105" i="8"/>
  <c r="R105" i="8"/>
  <c r="S105" i="8" s="1"/>
  <c r="I105" i="8"/>
  <c r="AK105" i="8" s="1"/>
  <c r="AM104" i="8"/>
  <c r="AL104" i="8"/>
  <c r="AJ104" i="8"/>
  <c r="AI104" i="8"/>
  <c r="AG104" i="8"/>
  <c r="AF104" i="8"/>
  <c r="U104" i="8"/>
  <c r="R104" i="8"/>
  <c r="S104" i="8" s="1"/>
  <c r="I104" i="8"/>
  <c r="AH104" i="8" s="1"/>
  <c r="AM103" i="8"/>
  <c r="AL103" i="8"/>
  <c r="AJ103" i="8"/>
  <c r="AI103" i="8"/>
  <c r="AG103" i="8"/>
  <c r="AF103" i="8"/>
  <c r="U103" i="8"/>
  <c r="R103" i="8"/>
  <c r="S103" i="8" s="1"/>
  <c r="I103" i="8"/>
  <c r="AM102" i="8"/>
  <c r="AL102" i="8"/>
  <c r="AJ102" i="8"/>
  <c r="AI102" i="8"/>
  <c r="AG102" i="8"/>
  <c r="AF102" i="8"/>
  <c r="U102" i="8"/>
  <c r="R102" i="8"/>
  <c r="S102" i="8" s="1"/>
  <c r="I102" i="8"/>
  <c r="AH102" i="8" s="1"/>
  <c r="AM184" i="8"/>
  <c r="AL184" i="8"/>
  <c r="AJ184" i="8"/>
  <c r="AI184" i="8"/>
  <c r="AG184" i="8"/>
  <c r="AF184" i="8"/>
  <c r="U184" i="8"/>
  <c r="R184" i="8"/>
  <c r="S184" i="8" s="1"/>
  <c r="I184" i="8"/>
  <c r="AH184" i="8" s="1"/>
  <c r="AM101" i="8"/>
  <c r="AL101" i="8"/>
  <c r="AJ101" i="8"/>
  <c r="AI101" i="8"/>
  <c r="AG101" i="8"/>
  <c r="AF101" i="8"/>
  <c r="U101" i="8"/>
  <c r="R101" i="8"/>
  <c r="S101" i="8" s="1"/>
  <c r="I101" i="8"/>
  <c r="AH101" i="8" s="1"/>
  <c r="AM100" i="8"/>
  <c r="AL100" i="8"/>
  <c r="AJ100" i="8"/>
  <c r="AI100" i="8"/>
  <c r="AG100" i="8"/>
  <c r="AF100" i="8"/>
  <c r="U100" i="8"/>
  <c r="R100" i="8"/>
  <c r="S100" i="8" s="1"/>
  <c r="I100" i="8"/>
  <c r="AM99" i="8"/>
  <c r="AL99" i="8"/>
  <c r="AJ99" i="8"/>
  <c r="AI99" i="8"/>
  <c r="AG99" i="8"/>
  <c r="AF99" i="8"/>
  <c r="U99" i="8"/>
  <c r="R99" i="8"/>
  <c r="S99" i="8" s="1"/>
  <c r="I99" i="8"/>
  <c r="AH99" i="8" s="1"/>
  <c r="AM98" i="8"/>
  <c r="AL98" i="8"/>
  <c r="AJ98" i="8"/>
  <c r="AI98" i="8"/>
  <c r="AG98" i="8"/>
  <c r="AF98" i="8"/>
  <c r="U98" i="8"/>
  <c r="R98" i="8"/>
  <c r="S98" i="8" s="1"/>
  <c r="I98" i="8"/>
  <c r="AH98" i="8" s="1"/>
  <c r="AM97" i="8"/>
  <c r="AL97" i="8"/>
  <c r="AJ97" i="8"/>
  <c r="AI97" i="8"/>
  <c r="AG97" i="8"/>
  <c r="AF97" i="8"/>
  <c r="U97" i="8"/>
  <c r="R97" i="8"/>
  <c r="S97" i="8" s="1"/>
  <c r="I97" i="8"/>
  <c r="AH97" i="8" s="1"/>
  <c r="AM96" i="8"/>
  <c r="AL96" i="8"/>
  <c r="AJ96" i="8"/>
  <c r="AI96" i="8"/>
  <c r="AG96" i="8"/>
  <c r="AF96" i="8"/>
  <c r="U96" i="8"/>
  <c r="R96" i="8"/>
  <c r="S96" i="8" s="1"/>
  <c r="I96" i="8"/>
  <c r="AK96" i="8" s="1"/>
  <c r="AM183" i="8"/>
  <c r="AL183" i="8"/>
  <c r="AJ183" i="8"/>
  <c r="AI183" i="8"/>
  <c r="AG183" i="8"/>
  <c r="AF183" i="8"/>
  <c r="U183" i="8"/>
  <c r="R183" i="8"/>
  <c r="S183" i="8" s="1"/>
  <c r="I183" i="8"/>
  <c r="AH183" i="8" s="1"/>
  <c r="AM95" i="8"/>
  <c r="AL95" i="8"/>
  <c r="AJ95" i="8"/>
  <c r="AI95" i="8"/>
  <c r="AG95" i="8"/>
  <c r="AF95" i="8"/>
  <c r="U95" i="8"/>
  <c r="R95" i="8"/>
  <c r="S95" i="8" s="1"/>
  <c r="I95" i="8"/>
  <c r="AM54" i="8"/>
  <c r="AL54" i="8"/>
  <c r="AJ54" i="8"/>
  <c r="AI54" i="8"/>
  <c r="AG54" i="8"/>
  <c r="AF54" i="8"/>
  <c r="U54" i="8"/>
  <c r="R54" i="8"/>
  <c r="S54" i="8" s="1"/>
  <c r="I54" i="8"/>
  <c r="AM182" i="8"/>
  <c r="AL182" i="8"/>
  <c r="AJ182" i="8"/>
  <c r="AI182" i="8"/>
  <c r="AG182" i="8"/>
  <c r="AF182" i="8"/>
  <c r="U182" i="8"/>
  <c r="R182" i="8"/>
  <c r="S182" i="8" s="1"/>
  <c r="I182" i="8"/>
  <c r="AM53" i="8"/>
  <c r="AL53" i="8"/>
  <c r="AJ53" i="8"/>
  <c r="AI53" i="8"/>
  <c r="AG53" i="8"/>
  <c r="AF53" i="8"/>
  <c r="U53" i="8"/>
  <c r="R53" i="8"/>
  <c r="S53" i="8" s="1"/>
  <c r="I53" i="8"/>
  <c r="AM52" i="8"/>
  <c r="AL52" i="8"/>
  <c r="AJ52" i="8"/>
  <c r="AI52" i="8"/>
  <c r="AG52" i="8"/>
  <c r="AF52" i="8"/>
  <c r="U52" i="8"/>
  <c r="R52" i="8"/>
  <c r="S52" i="8" s="1"/>
  <c r="I52" i="8"/>
  <c r="AH52" i="8" s="1"/>
  <c r="AM51" i="8"/>
  <c r="AL51" i="8"/>
  <c r="AJ51" i="8"/>
  <c r="AI51" i="8"/>
  <c r="AG51" i="8"/>
  <c r="AF51" i="8"/>
  <c r="U51" i="8"/>
  <c r="R51" i="8"/>
  <c r="S51" i="8" s="1"/>
  <c r="I51" i="8"/>
  <c r="AH51" i="8" s="1"/>
  <c r="AM50" i="8"/>
  <c r="AL50" i="8"/>
  <c r="AJ50" i="8"/>
  <c r="AI50" i="8"/>
  <c r="AG50" i="8"/>
  <c r="AF50" i="8"/>
  <c r="U50" i="8"/>
  <c r="R50" i="8"/>
  <c r="S50" i="8" s="1"/>
  <c r="I50" i="8"/>
  <c r="AM49" i="8"/>
  <c r="AL49" i="8"/>
  <c r="AJ49" i="8"/>
  <c r="AI49" i="8"/>
  <c r="AG49" i="8"/>
  <c r="AF49" i="8"/>
  <c r="U49" i="8"/>
  <c r="R49" i="8"/>
  <c r="S49" i="8" s="1"/>
  <c r="I49" i="8"/>
  <c r="AM48" i="8"/>
  <c r="AL48" i="8"/>
  <c r="AJ48" i="8"/>
  <c r="AI48" i="8"/>
  <c r="AG48" i="8"/>
  <c r="AF48" i="8"/>
  <c r="U48" i="8"/>
  <c r="R48" i="8"/>
  <c r="S48" i="8" s="1"/>
  <c r="I48" i="8"/>
  <c r="AM47" i="8"/>
  <c r="AL47" i="8"/>
  <c r="AJ47" i="8"/>
  <c r="AI47" i="8"/>
  <c r="AG47" i="8"/>
  <c r="AF47" i="8"/>
  <c r="U47" i="8"/>
  <c r="R47" i="8"/>
  <c r="S47" i="8" s="1"/>
  <c r="I47" i="8"/>
  <c r="AH47" i="8" s="1"/>
  <c r="AM46" i="8"/>
  <c r="AL46" i="8"/>
  <c r="AJ46" i="8"/>
  <c r="AI46" i="8"/>
  <c r="AG46" i="8"/>
  <c r="AF46" i="8"/>
  <c r="U46" i="8"/>
  <c r="R46" i="8"/>
  <c r="S46" i="8" s="1"/>
  <c r="I46" i="8"/>
  <c r="AK46" i="8" s="1"/>
  <c r="AM45" i="8"/>
  <c r="AL45" i="8"/>
  <c r="AJ45" i="8"/>
  <c r="AI45" i="8"/>
  <c r="AG45" i="8"/>
  <c r="AF45" i="8"/>
  <c r="U45" i="8"/>
  <c r="R45" i="8"/>
  <c r="S45" i="8" s="1"/>
  <c r="I45" i="8"/>
  <c r="AH45" i="8" s="1"/>
  <c r="AM94" i="8"/>
  <c r="AL94" i="8"/>
  <c r="AJ94" i="8"/>
  <c r="AI94" i="8"/>
  <c r="AG94" i="8"/>
  <c r="AF94" i="8"/>
  <c r="U94" i="8"/>
  <c r="R94" i="8"/>
  <c r="S94" i="8" s="1"/>
  <c r="I94" i="8"/>
  <c r="AK94" i="8" s="1"/>
  <c r="AM44" i="8"/>
  <c r="AL44" i="8"/>
  <c r="AJ44" i="8"/>
  <c r="AI44" i="8"/>
  <c r="AG44" i="8"/>
  <c r="AF44" i="8"/>
  <c r="U44" i="8"/>
  <c r="R44" i="8"/>
  <c r="S44" i="8" s="1"/>
  <c r="I44" i="8"/>
  <c r="AH44" i="8" s="1"/>
  <c r="AM43" i="8"/>
  <c r="AL43" i="8"/>
  <c r="AJ43" i="8"/>
  <c r="AI43" i="8"/>
  <c r="AG43" i="8"/>
  <c r="AF43" i="8"/>
  <c r="U43" i="8"/>
  <c r="R43" i="8"/>
  <c r="S43" i="8" s="1"/>
  <c r="I43" i="8"/>
  <c r="AM42" i="8"/>
  <c r="AL42" i="8"/>
  <c r="AJ42" i="8"/>
  <c r="AI42" i="8"/>
  <c r="AG42" i="8"/>
  <c r="AF42" i="8"/>
  <c r="U42" i="8"/>
  <c r="R42" i="8"/>
  <c r="S42" i="8" s="1"/>
  <c r="I42" i="8"/>
  <c r="AM41" i="8"/>
  <c r="AL41" i="8"/>
  <c r="AJ41" i="8"/>
  <c r="AI41" i="8"/>
  <c r="AG41" i="8"/>
  <c r="AF41" i="8"/>
  <c r="U41" i="8"/>
  <c r="R41" i="8"/>
  <c r="S41" i="8" s="1"/>
  <c r="I41" i="8"/>
  <c r="AM40" i="8"/>
  <c r="AL40" i="8"/>
  <c r="AJ40" i="8"/>
  <c r="AI40" i="8"/>
  <c r="AG40" i="8"/>
  <c r="AF40" i="8"/>
  <c r="U40" i="8"/>
  <c r="R40" i="8"/>
  <c r="S40" i="8" s="1"/>
  <c r="I40" i="8"/>
  <c r="AH40" i="8" s="1"/>
  <c r="AM93" i="8"/>
  <c r="AL93" i="8"/>
  <c r="AJ93" i="8"/>
  <c r="AI93" i="8"/>
  <c r="AG93" i="8"/>
  <c r="AF93" i="8"/>
  <c r="U93" i="8"/>
  <c r="R93" i="8"/>
  <c r="S93" i="8" s="1"/>
  <c r="I93" i="8"/>
  <c r="AK93" i="8" s="1"/>
  <c r="AM92" i="8"/>
  <c r="AL92" i="8"/>
  <c r="AJ92" i="8"/>
  <c r="AI92" i="8"/>
  <c r="AG92" i="8"/>
  <c r="AF92" i="8"/>
  <c r="U92" i="8"/>
  <c r="R92" i="8"/>
  <c r="S92" i="8" s="1"/>
  <c r="I92" i="8"/>
  <c r="AK92" i="8" s="1"/>
  <c r="AM91" i="8"/>
  <c r="AL91" i="8"/>
  <c r="AJ91" i="8"/>
  <c r="AI91" i="8"/>
  <c r="AG91" i="8"/>
  <c r="AF91" i="8"/>
  <c r="U91" i="8"/>
  <c r="R91" i="8"/>
  <c r="S91" i="8" s="1"/>
  <c r="I91" i="8"/>
  <c r="AK91" i="8" s="1"/>
  <c r="AM90" i="8"/>
  <c r="AL90" i="8"/>
  <c r="AJ90" i="8"/>
  <c r="AI90" i="8"/>
  <c r="AG90" i="8"/>
  <c r="AF90" i="8"/>
  <c r="U90" i="8"/>
  <c r="R90" i="8"/>
  <c r="S90" i="8" s="1"/>
  <c r="I90" i="8"/>
  <c r="AH90" i="8" s="1"/>
  <c r="AM39" i="8"/>
  <c r="AL39" i="8"/>
  <c r="AJ39" i="8"/>
  <c r="AI39" i="8"/>
  <c r="AG39" i="8"/>
  <c r="AF39" i="8"/>
  <c r="U39" i="8"/>
  <c r="R39" i="8"/>
  <c r="S39" i="8" s="1"/>
  <c r="I39" i="8"/>
  <c r="AM38" i="8"/>
  <c r="AL38" i="8"/>
  <c r="AJ38" i="8"/>
  <c r="AI38" i="8"/>
  <c r="AG38" i="8"/>
  <c r="AF38" i="8"/>
  <c r="U38" i="8"/>
  <c r="R38" i="8"/>
  <c r="S38" i="8" s="1"/>
  <c r="I38" i="8"/>
  <c r="AM37" i="8"/>
  <c r="AL37" i="8"/>
  <c r="AJ37" i="8"/>
  <c r="AI37" i="8"/>
  <c r="AG37" i="8"/>
  <c r="AF37" i="8"/>
  <c r="U37" i="8"/>
  <c r="R37" i="8"/>
  <c r="S37" i="8" s="1"/>
  <c r="I37" i="8"/>
  <c r="AM89" i="8"/>
  <c r="AL89" i="8"/>
  <c r="AJ89" i="8"/>
  <c r="AI89" i="8"/>
  <c r="AG89" i="8"/>
  <c r="AF89" i="8"/>
  <c r="U89" i="8"/>
  <c r="R89" i="8"/>
  <c r="S89" i="8" s="1"/>
  <c r="I89" i="8"/>
  <c r="AK89" i="8" s="1"/>
  <c r="AM36" i="8"/>
  <c r="AL36" i="8"/>
  <c r="AJ36" i="8"/>
  <c r="AI36" i="8"/>
  <c r="AG36" i="8"/>
  <c r="AF36" i="8"/>
  <c r="U36" i="8"/>
  <c r="R36" i="8"/>
  <c r="S36" i="8" s="1"/>
  <c r="I36" i="8"/>
  <c r="AK36" i="8" s="1"/>
  <c r="AM35" i="8"/>
  <c r="AL35" i="8"/>
  <c r="AJ35" i="8"/>
  <c r="AI35" i="8"/>
  <c r="AG35" i="8"/>
  <c r="AF35" i="8"/>
  <c r="U35" i="8"/>
  <c r="R35" i="8"/>
  <c r="S35" i="8" s="1"/>
  <c r="I35" i="8"/>
  <c r="AH35" i="8" s="1"/>
  <c r="AM88" i="8"/>
  <c r="AL88" i="8"/>
  <c r="AJ88" i="8"/>
  <c r="AI88" i="8"/>
  <c r="AG88" i="8"/>
  <c r="AF88" i="8"/>
  <c r="U88" i="8"/>
  <c r="R88" i="8"/>
  <c r="S88" i="8" s="1"/>
  <c r="I88" i="8"/>
  <c r="AK88" i="8" s="1"/>
  <c r="AM87" i="8"/>
  <c r="AL87" i="8"/>
  <c r="AJ87" i="8"/>
  <c r="AI87" i="8"/>
  <c r="AG87" i="8"/>
  <c r="AF87" i="8"/>
  <c r="U87" i="8"/>
  <c r="R87" i="8"/>
  <c r="I87" i="8"/>
  <c r="AH87" i="8" s="1"/>
  <c r="AM86" i="8"/>
  <c r="AL86" i="8"/>
  <c r="AJ86" i="8"/>
  <c r="AI86" i="8"/>
  <c r="AG86" i="8"/>
  <c r="AF86" i="8"/>
  <c r="U86" i="8"/>
  <c r="R86" i="8"/>
  <c r="S86" i="8" s="1"/>
  <c r="I86" i="8"/>
  <c r="AM85" i="8"/>
  <c r="AL85" i="8"/>
  <c r="AJ85" i="8"/>
  <c r="AI85" i="8"/>
  <c r="AG85" i="8"/>
  <c r="AF85" i="8"/>
  <c r="U85" i="8"/>
  <c r="R85" i="8"/>
  <c r="S85" i="8" s="1"/>
  <c r="I85" i="8"/>
  <c r="AM84" i="8"/>
  <c r="AL84" i="8"/>
  <c r="AJ84" i="8"/>
  <c r="AI84" i="8"/>
  <c r="AG84" i="8"/>
  <c r="AF84" i="8"/>
  <c r="U84" i="8"/>
  <c r="R84" i="8"/>
  <c r="I84" i="8"/>
  <c r="AM34" i="8"/>
  <c r="AL34" i="8"/>
  <c r="AJ34" i="8"/>
  <c r="AI34" i="8"/>
  <c r="AG34" i="8"/>
  <c r="AF34" i="8"/>
  <c r="U34" i="8"/>
  <c r="R34" i="8"/>
  <c r="S34" i="8" s="1"/>
  <c r="I34" i="8"/>
  <c r="AH34" i="8" s="1"/>
  <c r="AM181" i="8"/>
  <c r="AL181" i="8"/>
  <c r="AJ181" i="8"/>
  <c r="AI181" i="8"/>
  <c r="AG181" i="8"/>
  <c r="AF181" i="8"/>
  <c r="U181" i="8"/>
  <c r="R181" i="8"/>
  <c r="S181" i="8" s="1"/>
  <c r="I181" i="8"/>
  <c r="AK181" i="8" s="1"/>
  <c r="AM180" i="8"/>
  <c r="AL180" i="8"/>
  <c r="AJ180" i="8"/>
  <c r="AI180" i="8"/>
  <c r="AG180" i="8"/>
  <c r="AF180" i="8"/>
  <c r="U180" i="8"/>
  <c r="R180" i="8"/>
  <c r="S180" i="8" s="1"/>
  <c r="I180" i="8"/>
  <c r="AK180" i="8" s="1"/>
  <c r="AM179" i="8"/>
  <c r="AL179" i="8"/>
  <c r="AJ179" i="8"/>
  <c r="AI179" i="8"/>
  <c r="AG179" i="8"/>
  <c r="AF179" i="8"/>
  <c r="U179" i="8"/>
  <c r="R179" i="8"/>
  <c r="I179" i="8"/>
  <c r="AM33" i="8"/>
  <c r="AL33" i="8"/>
  <c r="AJ33" i="8"/>
  <c r="AI33" i="8"/>
  <c r="AG33" i="8"/>
  <c r="AF33" i="8"/>
  <c r="U33" i="8"/>
  <c r="R33" i="8"/>
  <c r="I33" i="8"/>
  <c r="AH33" i="8" s="1"/>
  <c r="AM83" i="8"/>
  <c r="AL83" i="8"/>
  <c r="AJ83" i="8"/>
  <c r="AI83" i="8"/>
  <c r="AG83" i="8"/>
  <c r="AF83" i="8"/>
  <c r="U83" i="8"/>
  <c r="R83" i="8"/>
  <c r="S83" i="8" s="1"/>
  <c r="I83" i="8"/>
  <c r="AM82" i="8"/>
  <c r="AL82" i="8"/>
  <c r="AJ82" i="8"/>
  <c r="AI82" i="8"/>
  <c r="AG82" i="8"/>
  <c r="AF82" i="8"/>
  <c r="U82" i="8"/>
  <c r="R82" i="8"/>
  <c r="I82" i="8"/>
  <c r="AM81" i="8"/>
  <c r="AL81" i="8"/>
  <c r="AJ81" i="8"/>
  <c r="AI81" i="8"/>
  <c r="AG81" i="8"/>
  <c r="AF81" i="8"/>
  <c r="U81" i="8"/>
  <c r="R81" i="8"/>
  <c r="I81" i="8"/>
  <c r="AM178" i="8"/>
  <c r="AL178" i="8"/>
  <c r="AJ178" i="8"/>
  <c r="AI178" i="8"/>
  <c r="AG178" i="8"/>
  <c r="AF178" i="8"/>
  <c r="U178" i="8"/>
  <c r="R178" i="8"/>
  <c r="S178" i="8" s="1"/>
  <c r="I178" i="8"/>
  <c r="AH178" i="8" s="1"/>
  <c r="AM177" i="8"/>
  <c r="AL177" i="8"/>
  <c r="AJ177" i="8"/>
  <c r="AI177" i="8"/>
  <c r="AG177" i="8"/>
  <c r="AF177" i="8"/>
  <c r="U177" i="8"/>
  <c r="R177" i="8"/>
  <c r="I177" i="8"/>
  <c r="AK177" i="8" s="1"/>
  <c r="AM176" i="8"/>
  <c r="AL176" i="8"/>
  <c r="AJ176" i="8"/>
  <c r="AI176" i="8"/>
  <c r="AG176" i="8"/>
  <c r="AF176" i="8"/>
  <c r="U176" i="8"/>
  <c r="R176" i="8"/>
  <c r="I176" i="8"/>
  <c r="AH176" i="8" s="1"/>
  <c r="AM80" i="8"/>
  <c r="AL80" i="8"/>
  <c r="AJ80" i="8"/>
  <c r="AI80" i="8"/>
  <c r="AG80" i="8"/>
  <c r="AF80" i="8"/>
  <c r="U80" i="8"/>
  <c r="R80" i="8"/>
  <c r="I80" i="8"/>
  <c r="AM79" i="8"/>
  <c r="AL79" i="8"/>
  <c r="AJ79" i="8"/>
  <c r="AI79" i="8"/>
  <c r="AG79" i="8"/>
  <c r="AF79" i="8"/>
  <c r="U79" i="8"/>
  <c r="U173" i="8" s="1"/>
  <c r="R79" i="8"/>
  <c r="I79" i="8"/>
  <c r="AK79" i="8" s="1"/>
  <c r="AB31" i="8"/>
  <c r="Y31" i="8"/>
  <c r="Y273" i="8" s="1"/>
  <c r="W31" i="8"/>
  <c r="Q31" i="8"/>
  <c r="P31" i="8"/>
  <c r="P273" i="8" s="1"/>
  <c r="AM30" i="8"/>
  <c r="AL30" i="8"/>
  <c r="AJ30" i="8"/>
  <c r="AI30" i="8"/>
  <c r="AG30" i="8"/>
  <c r="AF30" i="8"/>
  <c r="U30" i="8"/>
  <c r="R30" i="8"/>
  <c r="S30" i="8" s="1"/>
  <c r="I30" i="8"/>
  <c r="AK30" i="8" s="1"/>
  <c r="AM29" i="8"/>
  <c r="AL29" i="8"/>
  <c r="AJ29" i="8"/>
  <c r="AI29" i="8"/>
  <c r="AG29" i="8"/>
  <c r="AF29" i="8"/>
  <c r="U29" i="8"/>
  <c r="R29" i="8"/>
  <c r="S29" i="8" s="1"/>
  <c r="I29" i="8"/>
  <c r="AH29" i="8" s="1"/>
  <c r="AM28" i="8"/>
  <c r="AL28" i="8"/>
  <c r="AJ28" i="8"/>
  <c r="AI28" i="8"/>
  <c r="AG28" i="8"/>
  <c r="AF28" i="8"/>
  <c r="U28" i="8"/>
  <c r="R28" i="8"/>
  <c r="S28" i="8" s="1"/>
  <c r="I28" i="8"/>
  <c r="AK28" i="8" s="1"/>
  <c r="AM27" i="8"/>
  <c r="AL27" i="8"/>
  <c r="AJ27" i="8"/>
  <c r="AI27" i="8"/>
  <c r="AG27" i="8"/>
  <c r="AF27" i="8"/>
  <c r="U27" i="8"/>
  <c r="R27" i="8"/>
  <c r="S27" i="8" s="1"/>
  <c r="I27" i="8"/>
  <c r="AK27" i="8" s="1"/>
  <c r="AM26" i="8"/>
  <c r="AL26" i="8"/>
  <c r="AJ26" i="8"/>
  <c r="AI26" i="8"/>
  <c r="AG26" i="8"/>
  <c r="AF26" i="8"/>
  <c r="U26" i="8"/>
  <c r="R26" i="8"/>
  <c r="S26" i="8" s="1"/>
  <c r="I26" i="8"/>
  <c r="AH26" i="8" s="1"/>
  <c r="AM25" i="8"/>
  <c r="AL25" i="8"/>
  <c r="AJ25" i="8"/>
  <c r="AI25" i="8"/>
  <c r="AG25" i="8"/>
  <c r="AF25" i="8"/>
  <c r="U25" i="8"/>
  <c r="R25" i="8"/>
  <c r="S25" i="8" s="1"/>
  <c r="I25" i="8"/>
  <c r="AM24" i="8"/>
  <c r="AL24" i="8"/>
  <c r="AJ24" i="8"/>
  <c r="AI24" i="8"/>
  <c r="AG24" i="8"/>
  <c r="AF24" i="8"/>
  <c r="U24" i="8"/>
  <c r="R24" i="8"/>
  <c r="S24" i="8" s="1"/>
  <c r="I24" i="8"/>
  <c r="AK24" i="8" s="1"/>
  <c r="AM23" i="8"/>
  <c r="AL23" i="8"/>
  <c r="AJ23" i="8"/>
  <c r="AI23" i="8"/>
  <c r="AG23" i="8"/>
  <c r="AF23" i="8"/>
  <c r="U23" i="8"/>
  <c r="R23" i="8"/>
  <c r="S23" i="8" s="1"/>
  <c r="I23" i="8"/>
  <c r="AH23" i="8" s="1"/>
  <c r="AM22" i="8"/>
  <c r="AL22" i="8"/>
  <c r="AJ22" i="8"/>
  <c r="AI22" i="8"/>
  <c r="AG22" i="8"/>
  <c r="AF22" i="8"/>
  <c r="U22" i="8"/>
  <c r="R22" i="8"/>
  <c r="S22" i="8" s="1"/>
  <c r="I22" i="8"/>
  <c r="AH22" i="8" s="1"/>
  <c r="AM21" i="8"/>
  <c r="AL21" i="8"/>
  <c r="AJ21" i="8"/>
  <c r="AI21" i="8"/>
  <c r="AG21" i="8"/>
  <c r="AF21" i="8"/>
  <c r="U21" i="8"/>
  <c r="R21" i="8"/>
  <c r="S21" i="8" s="1"/>
  <c r="I21" i="8"/>
  <c r="AK21" i="8" s="1"/>
  <c r="AM20" i="8"/>
  <c r="AL20" i="8"/>
  <c r="AJ20" i="8"/>
  <c r="AI20" i="8"/>
  <c r="AG20" i="8"/>
  <c r="AF20" i="8"/>
  <c r="U20" i="8"/>
  <c r="R20" i="8"/>
  <c r="S20" i="8" s="1"/>
  <c r="I20" i="8"/>
  <c r="AK20" i="8" s="1"/>
  <c r="AM19" i="8"/>
  <c r="AL19" i="8"/>
  <c r="AJ19" i="8"/>
  <c r="AI19" i="8"/>
  <c r="AG19" i="8"/>
  <c r="AF19" i="8"/>
  <c r="U19" i="8"/>
  <c r="R19" i="8"/>
  <c r="S19" i="8" s="1"/>
  <c r="I19" i="8"/>
  <c r="AH19" i="8" s="1"/>
  <c r="AM18" i="8"/>
  <c r="AL18" i="8"/>
  <c r="AJ18" i="8"/>
  <c r="AI18" i="8"/>
  <c r="AG18" i="8"/>
  <c r="AF18" i="8"/>
  <c r="U18" i="8"/>
  <c r="R18" i="8"/>
  <c r="S18" i="8" s="1"/>
  <c r="I18" i="8"/>
  <c r="AK18" i="8" s="1"/>
  <c r="AM17" i="8"/>
  <c r="AL17" i="8"/>
  <c r="AJ17" i="8"/>
  <c r="AI17" i="8"/>
  <c r="AG17" i="8"/>
  <c r="AF17" i="8"/>
  <c r="U17" i="8"/>
  <c r="R17" i="8"/>
  <c r="S17" i="8" s="1"/>
  <c r="I17" i="8"/>
  <c r="AK17" i="8" s="1"/>
  <c r="AM16" i="8"/>
  <c r="AL16" i="8"/>
  <c r="AJ16" i="8"/>
  <c r="AI16" i="8"/>
  <c r="AG16" i="8"/>
  <c r="AF16" i="8"/>
  <c r="U16" i="8"/>
  <c r="R16" i="8"/>
  <c r="S16" i="8" s="1"/>
  <c r="I16" i="8"/>
  <c r="AH16" i="8" s="1"/>
  <c r="AM15" i="8"/>
  <c r="AL15" i="8"/>
  <c r="AJ15" i="8"/>
  <c r="AI15" i="8"/>
  <c r="AG15" i="8"/>
  <c r="AF15" i="8"/>
  <c r="U15" i="8"/>
  <c r="R15" i="8"/>
  <c r="S15" i="8" s="1"/>
  <c r="I15" i="8"/>
  <c r="AK15" i="8" s="1"/>
  <c r="AM14" i="8"/>
  <c r="AL14" i="8"/>
  <c r="AJ14" i="8"/>
  <c r="AI14" i="8"/>
  <c r="AG14" i="8"/>
  <c r="AF14" i="8"/>
  <c r="U14" i="8"/>
  <c r="R14" i="8"/>
  <c r="I14" i="8"/>
  <c r="AH14" i="8" s="1"/>
  <c r="AM13" i="8"/>
  <c r="AL13" i="8"/>
  <c r="AJ13" i="8"/>
  <c r="AI13" i="8"/>
  <c r="AG13" i="8"/>
  <c r="AF13" i="8"/>
  <c r="U13" i="8"/>
  <c r="R13" i="8"/>
  <c r="S13" i="8" s="1"/>
  <c r="I13" i="8"/>
  <c r="AK13" i="8" s="1"/>
  <c r="W273" i="8" l="1"/>
  <c r="U235" i="8"/>
  <c r="AB273" i="8"/>
  <c r="AK44" i="8"/>
  <c r="AH239" i="8"/>
  <c r="Z239" i="8" s="1"/>
  <c r="AK147" i="8"/>
  <c r="AH246" i="8"/>
  <c r="Z246" i="8" s="1"/>
  <c r="AA246" i="8" s="1"/>
  <c r="AC246" i="8" s="1"/>
  <c r="R235" i="8"/>
  <c r="O79" i="8"/>
  <c r="R173" i="8"/>
  <c r="AH259" i="8"/>
  <c r="Z75" i="8"/>
  <c r="AA75" i="8" s="1"/>
  <c r="AC75" i="8" s="1"/>
  <c r="R76" i="8"/>
  <c r="U76" i="8"/>
  <c r="AH260" i="8"/>
  <c r="T260" i="8" s="1"/>
  <c r="X260" i="8" s="1"/>
  <c r="AH266" i="8"/>
  <c r="Z266" i="8" s="1"/>
  <c r="AA266" i="8" s="1"/>
  <c r="AC266" i="8" s="1"/>
  <c r="AK269" i="8"/>
  <c r="AH13" i="8"/>
  <c r="Z13" i="8" s="1"/>
  <c r="AA13" i="8" s="1"/>
  <c r="AC13" i="8" s="1"/>
  <c r="AH250" i="8"/>
  <c r="S82" i="8"/>
  <c r="O82" i="8"/>
  <c r="S87" i="8"/>
  <c r="O87" i="8"/>
  <c r="S179" i="8"/>
  <c r="O179" i="8"/>
  <c r="S177" i="8"/>
  <c r="O177" i="8"/>
  <c r="AK113" i="8"/>
  <c r="S80" i="8"/>
  <c r="O80" i="8"/>
  <c r="S176" i="8"/>
  <c r="O176" i="8"/>
  <c r="S81" i="8"/>
  <c r="O81" i="8"/>
  <c r="S84" i="8"/>
  <c r="O84" i="8"/>
  <c r="AK153" i="8"/>
  <c r="AH94" i="8"/>
  <c r="T94" i="8" s="1"/>
  <c r="X94" i="8" s="1"/>
  <c r="AK139" i="8"/>
  <c r="AH154" i="8"/>
  <c r="Z154" i="8" s="1"/>
  <c r="AH105" i="8"/>
  <c r="T105" i="8" s="1"/>
  <c r="AK123" i="8"/>
  <c r="AH124" i="8"/>
  <c r="AK203" i="8"/>
  <c r="AH223" i="8"/>
  <c r="Z65" i="8"/>
  <c r="AA65" i="8" s="1"/>
  <c r="AC65" i="8" s="1"/>
  <c r="AK45" i="8"/>
  <c r="T123" i="8"/>
  <c r="X123" i="8" s="1"/>
  <c r="AH127" i="8"/>
  <c r="T127" i="8" s="1"/>
  <c r="X127" i="8" s="1"/>
  <c r="AK240" i="8"/>
  <c r="AH256" i="8"/>
  <c r="Z256" i="8" s="1"/>
  <c r="Z169" i="8"/>
  <c r="AA169" i="8" s="1"/>
  <c r="AC169" i="8" s="1"/>
  <c r="AH252" i="8"/>
  <c r="Z252" i="8" s="1"/>
  <c r="AA252" i="8" s="1"/>
  <c r="AC252" i="8" s="1"/>
  <c r="T107" i="8"/>
  <c r="X107" i="8" s="1"/>
  <c r="AK121" i="8"/>
  <c r="AK214" i="8"/>
  <c r="AH220" i="8"/>
  <c r="Z220" i="8" s="1"/>
  <c r="AH227" i="8"/>
  <c r="T227" i="8" s="1"/>
  <c r="X227" i="8" s="1"/>
  <c r="AH230" i="8"/>
  <c r="T230" i="8" s="1"/>
  <c r="AH243" i="8"/>
  <c r="AH248" i="8"/>
  <c r="AH257" i="8"/>
  <c r="Z257" i="8" s="1"/>
  <c r="AA257" i="8" s="1"/>
  <c r="AC257" i="8" s="1"/>
  <c r="AH262" i="8"/>
  <c r="Z262" i="8" s="1"/>
  <c r="AA262" i="8" s="1"/>
  <c r="AC262" i="8" s="1"/>
  <c r="S269" i="8"/>
  <c r="AH209" i="8"/>
  <c r="Z209" i="8" s="1"/>
  <c r="AH225" i="8"/>
  <c r="AH24" i="8"/>
  <c r="T24" i="8" s="1"/>
  <c r="AH30" i="8"/>
  <c r="AK69" i="8"/>
  <c r="AH158" i="8"/>
  <c r="Z158" i="8" s="1"/>
  <c r="AH202" i="8"/>
  <c r="Z202" i="8" s="1"/>
  <c r="AA202" i="8" s="1"/>
  <c r="AC202" i="8" s="1"/>
  <c r="Z211" i="8"/>
  <c r="Z214" i="8"/>
  <c r="Z23" i="8"/>
  <c r="AA23" i="8" s="1"/>
  <c r="AC23" i="8" s="1"/>
  <c r="Z155" i="8"/>
  <c r="Z259" i="8"/>
  <c r="AA259" i="8" s="1"/>
  <c r="AC259" i="8" s="1"/>
  <c r="T251" i="8"/>
  <c r="X251" i="8" s="1"/>
  <c r="T245" i="8"/>
  <c r="V245" i="8" s="1"/>
  <c r="T142" i="8"/>
  <c r="V142" i="8" s="1"/>
  <c r="Z22" i="8"/>
  <c r="AA22" i="8" s="1"/>
  <c r="AC22" i="8" s="1"/>
  <c r="AH177" i="8"/>
  <c r="T177" i="8" s="1"/>
  <c r="X177" i="8" s="1"/>
  <c r="AK87" i="8"/>
  <c r="AH88" i="8"/>
  <c r="Z88" i="8" s="1"/>
  <c r="AA88" i="8" s="1"/>
  <c r="AC88" i="8" s="1"/>
  <c r="AK52" i="8"/>
  <c r="T113" i="8"/>
  <c r="X113" i="8" s="1"/>
  <c r="AK136" i="8"/>
  <c r="AK199" i="8"/>
  <c r="AH205" i="8"/>
  <c r="AH221" i="8"/>
  <c r="Z221" i="8" s="1"/>
  <c r="AK159" i="8"/>
  <c r="T184" i="8"/>
  <c r="X184" i="8" s="1"/>
  <c r="AK68" i="8"/>
  <c r="AK150" i="8"/>
  <c r="AK216" i="8"/>
  <c r="AH241" i="8"/>
  <c r="Z241" i="8" s="1"/>
  <c r="AA241" i="8" s="1"/>
  <c r="AC241" i="8" s="1"/>
  <c r="AH249" i="8"/>
  <c r="T249" i="8" s="1"/>
  <c r="AC269" i="8"/>
  <c r="AK14" i="8"/>
  <c r="AK26" i="8"/>
  <c r="AH92" i="8"/>
  <c r="Z92" i="8" s="1"/>
  <c r="AA92" i="8" s="1"/>
  <c r="AC92" i="8" s="1"/>
  <c r="AK47" i="8"/>
  <c r="AK110" i="8"/>
  <c r="AK116" i="8"/>
  <c r="AK61" i="8"/>
  <c r="AK200" i="8"/>
  <c r="AH206" i="8"/>
  <c r="Z206" i="8" s="1"/>
  <c r="AH162" i="8"/>
  <c r="Z162" i="8" s="1"/>
  <c r="AA162" i="8" s="1"/>
  <c r="AC162" i="8" s="1"/>
  <c r="AH229" i="8"/>
  <c r="Z229" i="8" s="1"/>
  <c r="AA229" i="8" s="1"/>
  <c r="AC229" i="8" s="1"/>
  <c r="AH170" i="8"/>
  <c r="Z170" i="8" s="1"/>
  <c r="AA170" i="8" s="1"/>
  <c r="AC170" i="8" s="1"/>
  <c r="AK244" i="8"/>
  <c r="AH247" i="8"/>
  <c r="T247" i="8" s="1"/>
  <c r="V247" i="8" s="1"/>
  <c r="AH258" i="8"/>
  <c r="T258" i="8" s="1"/>
  <c r="AH261" i="8"/>
  <c r="Z261" i="8" s="1"/>
  <c r="AA261" i="8" s="1"/>
  <c r="AC261" i="8" s="1"/>
  <c r="AH264" i="8"/>
  <c r="Z264" i="8" s="1"/>
  <c r="AA264" i="8" s="1"/>
  <c r="AC264" i="8" s="1"/>
  <c r="AH89" i="8"/>
  <c r="T89" i="8" s="1"/>
  <c r="AH96" i="8"/>
  <c r="T96" i="8" s="1"/>
  <c r="AH114" i="8"/>
  <c r="T114" i="8" s="1"/>
  <c r="X114" i="8" s="1"/>
  <c r="T122" i="8"/>
  <c r="X122" i="8" s="1"/>
  <c r="T196" i="8"/>
  <c r="X196" i="8" s="1"/>
  <c r="AH70" i="8"/>
  <c r="Z70" i="8" s="1"/>
  <c r="AA70" i="8" s="1"/>
  <c r="AC70" i="8" s="1"/>
  <c r="AH156" i="8"/>
  <c r="Z156" i="8" s="1"/>
  <c r="AH160" i="8"/>
  <c r="T160" i="8" s="1"/>
  <c r="AH163" i="8"/>
  <c r="Z163" i="8" s="1"/>
  <c r="AA163" i="8" s="1"/>
  <c r="AC163" i="8" s="1"/>
  <c r="Z250" i="8"/>
  <c r="AA250" i="8" s="1"/>
  <c r="AC250" i="8" s="1"/>
  <c r="AK19" i="8"/>
  <c r="AH20" i="8"/>
  <c r="Z20" i="8" s="1"/>
  <c r="AA20" i="8" s="1"/>
  <c r="AC20" i="8" s="1"/>
  <c r="AH181" i="8"/>
  <c r="T181" i="8" s="1"/>
  <c r="AH46" i="8"/>
  <c r="T46" i="8" s="1"/>
  <c r="AK188" i="8"/>
  <c r="T64" i="8"/>
  <c r="X64" i="8" s="1"/>
  <c r="AH208" i="8"/>
  <c r="Z208" i="8" s="1"/>
  <c r="Z210" i="8"/>
  <c r="AH168" i="8"/>
  <c r="Z168" i="8" s="1"/>
  <c r="AA168" i="8" s="1"/>
  <c r="AC168" i="8" s="1"/>
  <c r="S172" i="8"/>
  <c r="T262" i="8"/>
  <c r="V262" i="8" s="1"/>
  <c r="T200" i="8"/>
  <c r="X200" i="8" s="1"/>
  <c r="AK184" i="8"/>
  <c r="V184" i="8"/>
  <c r="T188" i="8"/>
  <c r="X188" i="8" s="1"/>
  <c r="Z33" i="8"/>
  <c r="AK35" i="8"/>
  <c r="T111" i="8"/>
  <c r="X111" i="8" s="1"/>
  <c r="AK112" i="8"/>
  <c r="T116" i="8"/>
  <c r="X116" i="8" s="1"/>
  <c r="AK119" i="8"/>
  <c r="AK190" i="8"/>
  <c r="AK131" i="8"/>
  <c r="AH151" i="8"/>
  <c r="T151" i="8" s="1"/>
  <c r="Z159" i="8"/>
  <c r="AH167" i="8"/>
  <c r="T167" i="8" s="1"/>
  <c r="X167" i="8" s="1"/>
  <c r="Z176" i="8"/>
  <c r="AH180" i="8"/>
  <c r="Z180" i="8" s="1"/>
  <c r="AA180" i="8" s="1"/>
  <c r="AC180" i="8" s="1"/>
  <c r="T60" i="8"/>
  <c r="X60" i="8" s="1"/>
  <c r="Z191" i="8"/>
  <c r="AA191" i="8" s="1"/>
  <c r="AC191" i="8" s="1"/>
  <c r="AH79" i="8"/>
  <c r="Z79" i="8" s="1"/>
  <c r="AK178" i="8"/>
  <c r="S33" i="8"/>
  <c r="S76" i="8" s="1"/>
  <c r="AH91" i="8"/>
  <c r="T91" i="8" s="1"/>
  <c r="X91" i="8" s="1"/>
  <c r="AK40" i="8"/>
  <c r="AH117" i="8"/>
  <c r="T117" i="8" s="1"/>
  <c r="AK122" i="8"/>
  <c r="Z196" i="8"/>
  <c r="AA196" i="8" s="1"/>
  <c r="AC196" i="8" s="1"/>
  <c r="AH207" i="8"/>
  <c r="Z207" i="8" s="1"/>
  <c r="S225" i="8"/>
  <c r="Z248" i="8"/>
  <c r="AA248" i="8" s="1"/>
  <c r="AC248" i="8" s="1"/>
  <c r="Z29" i="8"/>
  <c r="AA29" i="8" s="1"/>
  <c r="AC29" i="8" s="1"/>
  <c r="AH27" i="8"/>
  <c r="Z27" i="8" s="1"/>
  <c r="AA27" i="8" s="1"/>
  <c r="AC27" i="8" s="1"/>
  <c r="AH17" i="8"/>
  <c r="T17" i="8" s="1"/>
  <c r="T16" i="8"/>
  <c r="X16" i="8" s="1"/>
  <c r="AH28" i="8"/>
  <c r="T28" i="8" s="1"/>
  <c r="X28" i="8" s="1"/>
  <c r="T14" i="8"/>
  <c r="X14" i="8" s="1"/>
  <c r="Z263" i="8"/>
  <c r="AA263" i="8" s="1"/>
  <c r="AC263" i="8" s="1"/>
  <c r="R31" i="8"/>
  <c r="AH15" i="8"/>
  <c r="Z15" i="8" s="1"/>
  <c r="AA15" i="8" s="1"/>
  <c r="AC15" i="8" s="1"/>
  <c r="AH18" i="8"/>
  <c r="Z18" i="8" s="1"/>
  <c r="AA18" i="8" s="1"/>
  <c r="AC18" i="8" s="1"/>
  <c r="AH21" i="8"/>
  <c r="T21" i="8" s="1"/>
  <c r="Z101" i="8"/>
  <c r="AA101" i="8" s="1"/>
  <c r="AC101" i="8" s="1"/>
  <c r="T101" i="8"/>
  <c r="X101" i="8" s="1"/>
  <c r="AH189" i="8"/>
  <c r="AK189" i="8"/>
  <c r="AK161" i="8"/>
  <c r="AH161" i="8"/>
  <c r="Z161" i="8" s="1"/>
  <c r="AA161" i="8" s="1"/>
  <c r="AC161" i="8" s="1"/>
  <c r="AK179" i="8"/>
  <c r="AH179" i="8"/>
  <c r="T179" i="8" s="1"/>
  <c r="AH120" i="8"/>
  <c r="T120" i="8" s="1"/>
  <c r="AK120" i="8"/>
  <c r="Z97" i="8"/>
  <c r="AA97" i="8" s="1"/>
  <c r="AC97" i="8" s="1"/>
  <c r="AK231" i="8"/>
  <c r="AH231" i="8"/>
  <c r="Z231" i="8" s="1"/>
  <c r="AA231" i="8" s="1"/>
  <c r="AC231" i="8" s="1"/>
  <c r="AA87" i="8"/>
  <c r="AC87" i="8" s="1"/>
  <c r="AK60" i="8"/>
  <c r="Z222" i="8"/>
  <c r="AA222" i="8" s="1"/>
  <c r="AC222" i="8" s="1"/>
  <c r="AK80" i="8"/>
  <c r="AH80" i="8"/>
  <c r="T80" i="8" s="1"/>
  <c r="X80" i="8" s="1"/>
  <c r="AK97" i="8"/>
  <c r="T130" i="8"/>
  <c r="X130" i="8" s="1"/>
  <c r="T203" i="8"/>
  <c r="X203" i="8" s="1"/>
  <c r="AH36" i="8"/>
  <c r="T36" i="8" s="1"/>
  <c r="Z45" i="8"/>
  <c r="AA45" i="8" s="1"/>
  <c r="AC45" i="8" s="1"/>
  <c r="Z52" i="8"/>
  <c r="AA52" i="8" s="1"/>
  <c r="AC52" i="8" s="1"/>
  <c r="AH103" i="8"/>
  <c r="T103" i="8" s="1"/>
  <c r="X103" i="8" s="1"/>
  <c r="AK103" i="8"/>
  <c r="AK109" i="8"/>
  <c r="T112" i="8"/>
  <c r="AK146" i="8"/>
  <c r="AH172" i="8"/>
  <c r="Z172" i="8" s="1"/>
  <c r="AA172" i="8" s="1"/>
  <c r="AC172" i="8" s="1"/>
  <c r="AD172" i="8" s="1"/>
  <c r="AK172" i="8"/>
  <c r="Z35" i="8"/>
  <c r="AA35" i="8" s="1"/>
  <c r="AC35" i="8" s="1"/>
  <c r="AH54" i="8"/>
  <c r="Z54" i="8" s="1"/>
  <c r="AA54" i="8" s="1"/>
  <c r="AC54" i="8" s="1"/>
  <c r="AK54" i="8"/>
  <c r="AK98" i="8"/>
  <c r="AK104" i="8"/>
  <c r="AK56" i="8"/>
  <c r="AK135" i="8"/>
  <c r="AK143" i="8"/>
  <c r="Z226" i="8"/>
  <c r="AA226" i="8" s="1"/>
  <c r="AC226" i="8" s="1"/>
  <c r="AK226" i="8"/>
  <c r="AK165" i="8"/>
  <c r="AH165" i="8"/>
  <c r="Z165" i="8" s="1"/>
  <c r="AA165" i="8" s="1"/>
  <c r="AC165" i="8" s="1"/>
  <c r="AH73" i="8"/>
  <c r="AK72" i="8"/>
  <c r="AH72" i="8"/>
  <c r="Z72" i="8" s="1"/>
  <c r="AA72" i="8" s="1"/>
  <c r="AC72" i="8" s="1"/>
  <c r="AH197" i="8"/>
  <c r="T197" i="8" s="1"/>
  <c r="X197" i="8" s="1"/>
  <c r="AK197" i="8"/>
  <c r="Z193" i="8"/>
  <c r="AA193" i="8" s="1"/>
  <c r="AC193" i="8" s="1"/>
  <c r="AK212" i="8"/>
  <c r="AK224" i="8"/>
  <c r="AK34" i="8"/>
  <c r="AK111" i="8"/>
  <c r="AH57" i="8"/>
  <c r="Z57" i="8" s="1"/>
  <c r="AA57" i="8" s="1"/>
  <c r="AC57" i="8" s="1"/>
  <c r="AK57" i="8"/>
  <c r="AK59" i="8"/>
  <c r="AH59" i="8"/>
  <c r="T59" i="8" s="1"/>
  <c r="AK192" i="8"/>
  <c r="AK210" i="8"/>
  <c r="X234" i="8"/>
  <c r="AH100" i="8"/>
  <c r="T100" i="8" s="1"/>
  <c r="X100" i="8" s="1"/>
  <c r="AK100" i="8"/>
  <c r="AK185" i="8"/>
  <c r="AK67" i="8"/>
  <c r="AK222" i="8"/>
  <c r="Z44" i="8"/>
  <c r="AA44" i="8" s="1"/>
  <c r="AC44" i="8" s="1"/>
  <c r="Z99" i="8"/>
  <c r="AA99" i="8" s="1"/>
  <c r="AC99" i="8" s="1"/>
  <c r="AK101" i="8"/>
  <c r="AK108" i="8"/>
  <c r="AH108" i="8"/>
  <c r="T108" i="8" s="1"/>
  <c r="AH186" i="8"/>
  <c r="Z186" i="8" s="1"/>
  <c r="AA186" i="8" s="1"/>
  <c r="AC186" i="8" s="1"/>
  <c r="AK186" i="8"/>
  <c r="AK129" i="8"/>
  <c r="AK195" i="8"/>
  <c r="AK183" i="8"/>
  <c r="T109" i="8"/>
  <c r="X109" i="8" s="1"/>
  <c r="AK115" i="8"/>
  <c r="AK130" i="8"/>
  <c r="AK191" i="8"/>
  <c r="AK193" i="8"/>
  <c r="AH194" i="8"/>
  <c r="Z194" i="8" s="1"/>
  <c r="AA194" i="8" s="1"/>
  <c r="AC194" i="8" s="1"/>
  <c r="Z135" i="8"/>
  <c r="AA135" i="8" s="1"/>
  <c r="AC135" i="8" s="1"/>
  <c r="AH145" i="8"/>
  <c r="T145" i="8" s="1"/>
  <c r="AH204" i="8"/>
  <c r="AH233" i="8"/>
  <c r="T233" i="8" s="1"/>
  <c r="X233" i="8" s="1"/>
  <c r="AK171" i="8"/>
  <c r="Z153" i="8"/>
  <c r="U31" i="8"/>
  <c r="AH93" i="8"/>
  <c r="T93" i="8" s="1"/>
  <c r="X93" i="8" s="1"/>
  <c r="T99" i="8"/>
  <c r="X99" i="8" s="1"/>
  <c r="AK99" i="8"/>
  <c r="AK102" i="8"/>
  <c r="AK133" i="8"/>
  <c r="T143" i="8"/>
  <c r="X143" i="8" s="1"/>
  <c r="AH228" i="8"/>
  <c r="Z228" i="8" s="1"/>
  <c r="AA228" i="8" s="1"/>
  <c r="AC228" i="8" s="1"/>
  <c r="V172" i="8"/>
  <c r="AK64" i="8"/>
  <c r="AK196" i="8"/>
  <c r="AK65" i="8"/>
  <c r="AK142" i="8"/>
  <c r="T146" i="8"/>
  <c r="V146" i="8" s="1"/>
  <c r="Z90" i="8"/>
  <c r="AA90" i="8" s="1"/>
  <c r="AC90" i="8" s="1"/>
  <c r="Z183" i="8"/>
  <c r="AA183" i="8" s="1"/>
  <c r="AC183" i="8" s="1"/>
  <c r="AK107" i="8"/>
  <c r="T187" i="8"/>
  <c r="X187" i="8" s="1"/>
  <c r="AK187" i="8"/>
  <c r="T192" i="8"/>
  <c r="X192" i="8" s="1"/>
  <c r="AK155" i="8"/>
  <c r="AK157" i="8"/>
  <c r="AK169" i="8"/>
  <c r="T34" i="8"/>
  <c r="X34" i="8" s="1"/>
  <c r="Z34" i="8"/>
  <c r="AA34" i="8" s="1"/>
  <c r="AC34" i="8" s="1"/>
  <c r="AK38" i="8"/>
  <c r="AH38" i="8"/>
  <c r="T38" i="8" s="1"/>
  <c r="T56" i="8"/>
  <c r="X56" i="8" s="1"/>
  <c r="T119" i="8"/>
  <c r="X119" i="8" s="1"/>
  <c r="Z119" i="8"/>
  <c r="AA119" i="8" s="1"/>
  <c r="AC119" i="8" s="1"/>
  <c r="AH138" i="8"/>
  <c r="T138" i="8" s="1"/>
  <c r="AK138" i="8"/>
  <c r="AK86" i="8"/>
  <c r="AH86" i="8"/>
  <c r="T86" i="8" s="1"/>
  <c r="X86" i="8" s="1"/>
  <c r="T47" i="8"/>
  <c r="X47" i="8" s="1"/>
  <c r="Z47" i="8"/>
  <c r="AA47" i="8" s="1"/>
  <c r="AC47" i="8" s="1"/>
  <c r="AH63" i="8"/>
  <c r="Z63" i="8" s="1"/>
  <c r="AA63" i="8" s="1"/>
  <c r="AC63" i="8" s="1"/>
  <c r="AK63" i="8"/>
  <c r="AK82" i="8"/>
  <c r="AH82" i="8"/>
  <c r="Z82" i="8" s="1"/>
  <c r="AA82" i="8" s="1"/>
  <c r="AC82" i="8" s="1"/>
  <c r="AK50" i="8"/>
  <c r="AH50" i="8"/>
  <c r="Z50" i="8" s="1"/>
  <c r="AA50" i="8" s="1"/>
  <c r="AC50" i="8" s="1"/>
  <c r="AH140" i="8"/>
  <c r="Z140" i="8" s="1"/>
  <c r="AA140" i="8" s="1"/>
  <c r="AC140" i="8" s="1"/>
  <c r="AK140" i="8"/>
  <c r="AK25" i="8"/>
  <c r="AH25" i="8"/>
  <c r="T25" i="8" s="1"/>
  <c r="AK37" i="8"/>
  <c r="AH37" i="8"/>
  <c r="T37" i="8" s="1"/>
  <c r="AK42" i="8"/>
  <c r="AH42" i="8"/>
  <c r="T42" i="8" s="1"/>
  <c r="T69" i="8"/>
  <c r="X69" i="8" s="1"/>
  <c r="Z69" i="8"/>
  <c r="AA69" i="8" s="1"/>
  <c r="AC69" i="8" s="1"/>
  <c r="AD69" i="8" s="1"/>
  <c r="Z212" i="8"/>
  <c r="T22" i="8"/>
  <c r="X22" i="8" s="1"/>
  <c r="AK29" i="8"/>
  <c r="AK39" i="8"/>
  <c r="AH39" i="8"/>
  <c r="Z39" i="8" s="1"/>
  <c r="AA39" i="8" s="1"/>
  <c r="AC39" i="8" s="1"/>
  <c r="S14" i="8"/>
  <c r="S31" i="8" s="1"/>
  <c r="AK22" i="8"/>
  <c r="T178" i="8"/>
  <c r="X178" i="8" s="1"/>
  <c r="Z178" i="8"/>
  <c r="AA178" i="8" s="1"/>
  <c r="AC178" i="8" s="1"/>
  <c r="AK81" i="8"/>
  <c r="AH81" i="8"/>
  <c r="T81" i="8" s="1"/>
  <c r="X81" i="8" s="1"/>
  <c r="AK85" i="8"/>
  <c r="AH85" i="8"/>
  <c r="T85" i="8" s="1"/>
  <c r="AK90" i="8"/>
  <c r="T183" i="8"/>
  <c r="X183" i="8" s="1"/>
  <c r="T97" i="8"/>
  <c r="X97" i="8" s="1"/>
  <c r="T128" i="8"/>
  <c r="Z136" i="8"/>
  <c r="AA136" i="8" s="1"/>
  <c r="AC136" i="8" s="1"/>
  <c r="T136" i="8"/>
  <c r="X136" i="8" s="1"/>
  <c r="AH137" i="8"/>
  <c r="T137" i="8" s="1"/>
  <c r="AK137" i="8"/>
  <c r="AH141" i="8"/>
  <c r="T141" i="8" s="1"/>
  <c r="AK141" i="8"/>
  <c r="AH144" i="8"/>
  <c r="AK144" i="8"/>
  <c r="AK84" i="8"/>
  <c r="AH84" i="8"/>
  <c r="AK48" i="8"/>
  <c r="AH48" i="8"/>
  <c r="T48" i="8" s="1"/>
  <c r="AK182" i="8"/>
  <c r="AH182" i="8"/>
  <c r="Z182" i="8" s="1"/>
  <c r="AA182" i="8" s="1"/>
  <c r="AC182" i="8" s="1"/>
  <c r="AH95" i="8"/>
  <c r="Z95" i="8" s="1"/>
  <c r="AA95" i="8" s="1"/>
  <c r="AC95" i="8" s="1"/>
  <c r="AK95" i="8"/>
  <c r="AH134" i="8"/>
  <c r="Z134" i="8" s="1"/>
  <c r="AA134" i="8" s="1"/>
  <c r="AC134" i="8" s="1"/>
  <c r="AK134" i="8"/>
  <c r="Z16" i="8"/>
  <c r="AA16" i="8" s="1"/>
  <c r="AC16" i="8" s="1"/>
  <c r="T124" i="8"/>
  <c r="X124" i="8" s="1"/>
  <c r="AH125" i="8"/>
  <c r="T125" i="8" s="1"/>
  <c r="AK125" i="8"/>
  <c r="T139" i="8"/>
  <c r="T198" i="8"/>
  <c r="Z198" i="8"/>
  <c r="AA198" i="8" s="1"/>
  <c r="AC198" i="8" s="1"/>
  <c r="AK23" i="8"/>
  <c r="AK51" i="8"/>
  <c r="AH149" i="8"/>
  <c r="T149" i="8" s="1"/>
  <c r="AK149" i="8"/>
  <c r="AH213" i="8"/>
  <c r="AK213" i="8"/>
  <c r="Z14" i="8"/>
  <c r="AA14" i="8" s="1"/>
  <c r="AC14" i="8" s="1"/>
  <c r="AK16" i="8"/>
  <c r="T19" i="8"/>
  <c r="X19" i="8" s="1"/>
  <c r="Z19" i="8"/>
  <c r="AA19" i="8" s="1"/>
  <c r="AC19" i="8" s="1"/>
  <c r="AK83" i="8"/>
  <c r="AH83" i="8"/>
  <c r="T83" i="8" s="1"/>
  <c r="X83" i="8" s="1"/>
  <c r="T40" i="8"/>
  <c r="X40" i="8" s="1"/>
  <c r="Z40" i="8"/>
  <c r="AA40" i="8" s="1"/>
  <c r="AC40" i="8" s="1"/>
  <c r="AK41" i="8"/>
  <c r="AH41" i="8"/>
  <c r="T41" i="8" s="1"/>
  <c r="X41" i="8" s="1"/>
  <c r="AK49" i="8"/>
  <c r="AH49" i="8"/>
  <c r="T49" i="8" s="1"/>
  <c r="Z107" i="8"/>
  <c r="AA107" i="8" s="1"/>
  <c r="AC107" i="8" s="1"/>
  <c r="Z116" i="8"/>
  <c r="AA116" i="8" s="1"/>
  <c r="AC116" i="8" s="1"/>
  <c r="AH126" i="8"/>
  <c r="AK126" i="8"/>
  <c r="Z131" i="8"/>
  <c r="AA131" i="8" s="1"/>
  <c r="AC131" i="8" s="1"/>
  <c r="T131" i="8"/>
  <c r="X131" i="8" s="1"/>
  <c r="AH132" i="8"/>
  <c r="Z132" i="8" s="1"/>
  <c r="AA132" i="8" s="1"/>
  <c r="AC132" i="8" s="1"/>
  <c r="AK132" i="8"/>
  <c r="Z133" i="8"/>
  <c r="AA133" i="8" s="1"/>
  <c r="AC133" i="8" s="1"/>
  <c r="AH148" i="8"/>
  <c r="AK148" i="8"/>
  <c r="Z157" i="8"/>
  <c r="T26" i="8"/>
  <c r="X26" i="8" s="1"/>
  <c r="T30" i="8"/>
  <c r="X30" i="8" s="1"/>
  <c r="AK176" i="8"/>
  <c r="AK33" i="8"/>
  <c r="AK43" i="8"/>
  <c r="AH43" i="8"/>
  <c r="Z43" i="8" s="1"/>
  <c r="AA43" i="8" s="1"/>
  <c r="AC43" i="8" s="1"/>
  <c r="AH106" i="8"/>
  <c r="AK106" i="8"/>
  <c r="AH58" i="8"/>
  <c r="T58" i="8" s="1"/>
  <c r="AK58" i="8"/>
  <c r="Z61" i="8"/>
  <c r="AA61" i="8" s="1"/>
  <c r="AC61" i="8" s="1"/>
  <c r="T61" i="8"/>
  <c r="X61" i="8" s="1"/>
  <c r="AH62" i="8"/>
  <c r="Z62" i="8" s="1"/>
  <c r="AA62" i="8" s="1"/>
  <c r="AC62" i="8" s="1"/>
  <c r="AK62" i="8"/>
  <c r="Z190" i="8"/>
  <c r="AA190" i="8" s="1"/>
  <c r="AC190" i="8" s="1"/>
  <c r="T190" i="8"/>
  <c r="T147" i="8"/>
  <c r="X147" i="8" s="1"/>
  <c r="Z68" i="8"/>
  <c r="AA68" i="8" s="1"/>
  <c r="AC68" i="8" s="1"/>
  <c r="T68" i="8"/>
  <c r="X68" i="8" s="1"/>
  <c r="AH215" i="8"/>
  <c r="AK215" i="8"/>
  <c r="T74" i="8"/>
  <c r="X74" i="8" s="1"/>
  <c r="Z74" i="8"/>
  <c r="AA74" i="8" s="1"/>
  <c r="AC74" i="8" s="1"/>
  <c r="AC271" i="8"/>
  <c r="T176" i="8"/>
  <c r="T33" i="8"/>
  <c r="X87" i="8"/>
  <c r="T90" i="8"/>
  <c r="X90" i="8" s="1"/>
  <c r="T44" i="8"/>
  <c r="X44" i="8" s="1"/>
  <c r="AH53" i="8"/>
  <c r="Z53" i="8" s="1"/>
  <c r="AA53" i="8" s="1"/>
  <c r="AC53" i="8" s="1"/>
  <c r="AK53" i="8"/>
  <c r="T65" i="8"/>
  <c r="X65" i="8" s="1"/>
  <c r="Z142" i="8"/>
  <c r="AA142" i="8" s="1"/>
  <c r="AC142" i="8" s="1"/>
  <c r="Z200" i="8"/>
  <c r="AA200" i="8" s="1"/>
  <c r="AC200" i="8" s="1"/>
  <c r="Z150" i="8"/>
  <c r="AA150" i="8" s="1"/>
  <c r="AC150" i="8" s="1"/>
  <c r="T150" i="8"/>
  <c r="AK74" i="8"/>
  <c r="T239" i="8"/>
  <c r="S240" i="8"/>
  <c r="R253" i="8"/>
  <c r="AH242" i="8"/>
  <c r="Z242" i="8" s="1"/>
  <c r="AA242" i="8" s="1"/>
  <c r="AC242" i="8" s="1"/>
  <c r="AK242" i="8"/>
  <c r="Z243" i="8"/>
  <c r="AA243" i="8" s="1"/>
  <c r="AC243" i="8" s="1"/>
  <c r="T243" i="8"/>
  <c r="X243" i="8" s="1"/>
  <c r="T23" i="8"/>
  <c r="X23" i="8" s="1"/>
  <c r="Z26" i="8"/>
  <c r="AA26" i="8" s="1"/>
  <c r="AC26" i="8" s="1"/>
  <c r="T51" i="8"/>
  <c r="X51" i="8" s="1"/>
  <c r="T52" i="8"/>
  <c r="Z184" i="8"/>
  <c r="AA184" i="8" s="1"/>
  <c r="AC184" i="8" s="1"/>
  <c r="Z102" i="8"/>
  <c r="AA102" i="8" s="1"/>
  <c r="AC102" i="8" s="1"/>
  <c r="T104" i="8"/>
  <c r="X104" i="8" s="1"/>
  <c r="AH55" i="8"/>
  <c r="Z115" i="8"/>
  <c r="AA115" i="8" s="1"/>
  <c r="AC115" i="8" s="1"/>
  <c r="AH118" i="8"/>
  <c r="Z118" i="8" s="1"/>
  <c r="AA118" i="8" s="1"/>
  <c r="AC118" i="8" s="1"/>
  <c r="T129" i="8"/>
  <c r="X129" i="8" s="1"/>
  <c r="Z195" i="8"/>
  <c r="AA195" i="8" s="1"/>
  <c r="AC195" i="8" s="1"/>
  <c r="T195" i="8"/>
  <c r="T135" i="8"/>
  <c r="X135" i="8" s="1"/>
  <c r="Z216" i="8"/>
  <c r="AK217" i="8"/>
  <c r="AH217" i="8"/>
  <c r="AH164" i="8"/>
  <c r="R267" i="8"/>
  <c r="S257" i="8"/>
  <c r="S267" i="8" s="1"/>
  <c r="T29" i="8"/>
  <c r="T35" i="8"/>
  <c r="X35" i="8" s="1"/>
  <c r="T45" i="8"/>
  <c r="X45" i="8" s="1"/>
  <c r="Z98" i="8"/>
  <c r="AA98" i="8" s="1"/>
  <c r="AC98" i="8" s="1"/>
  <c r="Z110" i="8"/>
  <c r="AA110" i="8" s="1"/>
  <c r="AC110" i="8" s="1"/>
  <c r="AK198" i="8"/>
  <c r="Z67" i="8"/>
  <c r="AA67" i="8" s="1"/>
  <c r="AC67" i="8" s="1"/>
  <c r="T67" i="8"/>
  <c r="X67" i="8" s="1"/>
  <c r="Z203" i="8"/>
  <c r="AA203" i="8" s="1"/>
  <c r="AC203" i="8" s="1"/>
  <c r="Z218" i="8"/>
  <c r="AH219" i="8"/>
  <c r="AK219" i="8"/>
  <c r="T225" i="8"/>
  <c r="T232" i="8"/>
  <c r="X232" i="8" s="1"/>
  <c r="Z232" i="8"/>
  <c r="AA232" i="8" s="1"/>
  <c r="AC232" i="8" s="1"/>
  <c r="AK232" i="8"/>
  <c r="S234" i="8"/>
  <c r="Z30" i="8"/>
  <c r="AA30" i="8" s="1"/>
  <c r="AC30" i="8" s="1"/>
  <c r="S79" i="8"/>
  <c r="S173" i="8" s="1"/>
  <c r="Z177" i="8"/>
  <c r="AA177" i="8" s="1"/>
  <c r="AC177" i="8" s="1"/>
  <c r="Z51" i="8"/>
  <c r="AA51" i="8" s="1"/>
  <c r="AC51" i="8" s="1"/>
  <c r="T98" i="8"/>
  <c r="T102" i="8"/>
  <c r="T185" i="8"/>
  <c r="T110" i="8"/>
  <c r="T115" i="8"/>
  <c r="T121" i="8"/>
  <c r="T133" i="8"/>
  <c r="X133" i="8" s="1"/>
  <c r="T191" i="8"/>
  <c r="T193" i="8"/>
  <c r="X193" i="8" s="1"/>
  <c r="T199" i="8"/>
  <c r="Z199" i="8"/>
  <c r="AA199" i="8" s="1"/>
  <c r="AC199" i="8" s="1"/>
  <c r="AH66" i="8"/>
  <c r="Z66" i="8" s="1"/>
  <c r="AA66" i="8" s="1"/>
  <c r="AC66" i="8" s="1"/>
  <c r="AK66" i="8"/>
  <c r="T224" i="8"/>
  <c r="Z224" i="8"/>
  <c r="AA224" i="8" s="1"/>
  <c r="AC224" i="8" s="1"/>
  <c r="AK71" i="8"/>
  <c r="AH71" i="8"/>
  <c r="X171" i="8"/>
  <c r="V171" i="8"/>
  <c r="AH265" i="8"/>
  <c r="Z265" i="8" s="1"/>
  <c r="AA265" i="8" s="1"/>
  <c r="AC265" i="8" s="1"/>
  <c r="AK265" i="8"/>
  <c r="T266" i="8"/>
  <c r="AK128" i="8"/>
  <c r="Z192" i="8"/>
  <c r="AA192" i="8" s="1"/>
  <c r="AC192" i="8" s="1"/>
  <c r="AH152" i="8"/>
  <c r="AK152" i="8"/>
  <c r="T222" i="8"/>
  <c r="X222" i="8" s="1"/>
  <c r="T223" i="8"/>
  <c r="Z223" i="8"/>
  <c r="AA223" i="8" s="1"/>
  <c r="AC223" i="8" s="1"/>
  <c r="S253" i="8"/>
  <c r="Z64" i="8"/>
  <c r="AA64" i="8" s="1"/>
  <c r="AC64" i="8" s="1"/>
  <c r="AH201" i="8"/>
  <c r="Z201" i="8" s="1"/>
  <c r="AA201" i="8" s="1"/>
  <c r="AC201" i="8" s="1"/>
  <c r="AK201" i="8"/>
  <c r="V72" i="8"/>
  <c r="X72" i="8"/>
  <c r="Z240" i="8"/>
  <c r="AA240" i="8" s="1"/>
  <c r="AC240" i="8" s="1"/>
  <c r="Z244" i="8"/>
  <c r="AA244" i="8" s="1"/>
  <c r="AC244" i="8" s="1"/>
  <c r="Z143" i="8"/>
  <c r="AA143" i="8" s="1"/>
  <c r="AC143" i="8" s="1"/>
  <c r="Z146" i="8"/>
  <c r="AA146" i="8" s="1"/>
  <c r="AC146" i="8" s="1"/>
  <c r="AH166" i="8"/>
  <c r="S171" i="8"/>
  <c r="AH234" i="8"/>
  <c r="Z234" i="8" s="1"/>
  <c r="AA234" i="8" s="1"/>
  <c r="AC234" i="8" s="1"/>
  <c r="AK234" i="8"/>
  <c r="U253" i="8"/>
  <c r="T226" i="8"/>
  <c r="Z251" i="8"/>
  <c r="AA251" i="8" s="1"/>
  <c r="AC251" i="8" s="1"/>
  <c r="U267" i="8"/>
  <c r="T169" i="8"/>
  <c r="X169" i="8" s="1"/>
  <c r="T270" i="8"/>
  <c r="X75" i="8"/>
  <c r="AD75" i="8" s="1"/>
  <c r="Z245" i="8"/>
  <c r="AA245" i="8" s="1"/>
  <c r="AC245" i="8" s="1"/>
  <c r="Z171" i="8"/>
  <c r="AA171" i="8" s="1"/>
  <c r="AC171" i="8" s="1"/>
  <c r="T269" i="8"/>
  <c r="X269" i="8" s="1"/>
  <c r="AD269" i="8" s="1"/>
  <c r="AD271" i="8" s="1"/>
  <c r="T240" i="8"/>
  <c r="X240" i="8" s="1"/>
  <c r="T244" i="8"/>
  <c r="X244" i="8" s="1"/>
  <c r="T248" i="8"/>
  <c r="X248" i="8" s="1"/>
  <c r="T250" i="8"/>
  <c r="X250" i="8" s="1"/>
  <c r="T252" i="8"/>
  <c r="X252" i="8" s="1"/>
  <c r="T257" i="8"/>
  <c r="X257" i="8" s="1"/>
  <c r="T259" i="8"/>
  <c r="X259" i="8" s="1"/>
  <c r="T261" i="8"/>
  <c r="X261" i="8" s="1"/>
  <c r="T263" i="8"/>
  <c r="X263" i="8" s="1"/>
  <c r="AA176" i="8" l="1"/>
  <c r="Z117" i="8"/>
  <c r="AA117" i="8" s="1"/>
  <c r="AC117" i="8" s="1"/>
  <c r="Z94" i="8"/>
  <c r="AA94" i="8" s="1"/>
  <c r="AC94" i="8" s="1"/>
  <c r="T246" i="8"/>
  <c r="X246" i="8" s="1"/>
  <c r="Z233" i="8"/>
  <c r="AA233" i="8" s="1"/>
  <c r="AC233" i="8" s="1"/>
  <c r="AD233" i="8" s="1"/>
  <c r="AE233" i="8" s="1"/>
  <c r="Z260" i="8"/>
  <c r="AA260" i="8" s="1"/>
  <c r="AC260" i="8" s="1"/>
  <c r="AD260" i="8" s="1"/>
  <c r="AE260" i="8" s="1"/>
  <c r="S273" i="8"/>
  <c r="U273" i="8"/>
  <c r="AA79" i="8"/>
  <c r="S235" i="8"/>
  <c r="R273" i="8"/>
  <c r="V259" i="8"/>
  <c r="Z258" i="8"/>
  <c r="AA258" i="8" s="1"/>
  <c r="AC258" i="8" s="1"/>
  <c r="T186" i="8"/>
  <c r="X186" i="8" s="1"/>
  <c r="AD186" i="8" s="1"/>
  <c r="AE186" i="8" s="1"/>
  <c r="T13" i="8"/>
  <c r="V13" i="8" s="1"/>
  <c r="Z247" i="8"/>
  <c r="AA247" i="8" s="1"/>
  <c r="AC247" i="8" s="1"/>
  <c r="AD99" i="8"/>
  <c r="AE99" i="8" s="1"/>
  <c r="V123" i="8"/>
  <c r="Z123" i="8" s="1"/>
  <c r="AA123" i="8" s="1"/>
  <c r="AC123" i="8" s="1"/>
  <c r="AD123" i="8" s="1"/>
  <c r="AE123" i="8" s="1"/>
  <c r="T134" i="8"/>
  <c r="X134" i="8" s="1"/>
  <c r="AD134" i="8" s="1"/>
  <c r="AE134" i="8" s="1"/>
  <c r="V109" i="8"/>
  <c r="Z109" i="8" s="1"/>
  <c r="AA109" i="8" s="1"/>
  <c r="AC109" i="8" s="1"/>
  <c r="AD109" i="8" s="1"/>
  <c r="T20" i="8"/>
  <c r="V20" i="8" s="1"/>
  <c r="X245" i="8"/>
  <c r="AD245" i="8" s="1"/>
  <c r="AE245" i="8" s="1"/>
  <c r="AA159" i="8"/>
  <c r="AC159" i="8" s="1"/>
  <c r="O159" i="8"/>
  <c r="T159" i="8" s="1"/>
  <c r="V159" i="8" s="1"/>
  <c r="AA154" i="8"/>
  <c r="AC154" i="8" s="1"/>
  <c r="O154" i="8"/>
  <c r="T154" i="8" s="1"/>
  <c r="X154" i="8" s="1"/>
  <c r="AA158" i="8"/>
  <c r="AC158" i="8" s="1"/>
  <c r="O158" i="8"/>
  <c r="T158" i="8" s="1"/>
  <c r="X158" i="8" s="1"/>
  <c r="AA156" i="8"/>
  <c r="AC156" i="8" s="1"/>
  <c r="O156" i="8"/>
  <c r="T156" i="8" s="1"/>
  <c r="V156" i="8" s="1"/>
  <c r="AA157" i="8"/>
  <c r="AC157" i="8" s="1"/>
  <c r="O157" i="8"/>
  <c r="T157" i="8" s="1"/>
  <c r="V157" i="8" s="1"/>
  <c r="AA155" i="8"/>
  <c r="AC155" i="8" s="1"/>
  <c r="O155" i="8"/>
  <c r="T155" i="8" s="1"/>
  <c r="AA153" i="8"/>
  <c r="AC153" i="8" s="1"/>
  <c r="O153" i="8"/>
  <c r="Z28" i="8"/>
  <c r="AA28" i="8" s="1"/>
  <c r="AC28" i="8" s="1"/>
  <c r="AD28" i="8" s="1"/>
  <c r="AE28" i="8" s="1"/>
  <c r="AD250" i="8"/>
  <c r="AE250" i="8" s="1"/>
  <c r="T202" i="8"/>
  <c r="X202" i="8" s="1"/>
  <c r="AD202" i="8" s="1"/>
  <c r="AE202" i="8" s="1"/>
  <c r="V60" i="8"/>
  <c r="Z60" i="8" s="1"/>
  <c r="AA60" i="8" s="1"/>
  <c r="AC60" i="8" s="1"/>
  <c r="Z114" i="8"/>
  <c r="AA114" i="8" s="1"/>
  <c r="AC114" i="8" s="1"/>
  <c r="Z83" i="8"/>
  <c r="AA83" i="8" s="1"/>
  <c r="AC83" i="8" s="1"/>
  <c r="AD83" i="8" s="1"/>
  <c r="AE83" i="8" s="1"/>
  <c r="V101" i="8"/>
  <c r="AD101" i="8"/>
  <c r="AE101" i="8" s="1"/>
  <c r="V187" i="8"/>
  <c r="Z187" i="8" s="1"/>
  <c r="AA187" i="8" s="1"/>
  <c r="AC187" i="8" s="1"/>
  <c r="AD187" i="8" s="1"/>
  <c r="AE187" i="8" s="1"/>
  <c r="T180" i="8"/>
  <c r="X180" i="8" s="1"/>
  <c r="AD180" i="8" s="1"/>
  <c r="AE180" i="8" s="1"/>
  <c r="AD200" i="8"/>
  <c r="AE200" i="8" s="1"/>
  <c r="AD65" i="8"/>
  <c r="AE65" i="8" s="1"/>
  <c r="AA221" i="8"/>
  <c r="AC221" i="8" s="1"/>
  <c r="O221" i="8"/>
  <c r="T221" i="8" s="1"/>
  <c r="V221" i="8" s="1"/>
  <c r="AA207" i="8"/>
  <c r="AC207" i="8" s="1"/>
  <c r="O207" i="8"/>
  <c r="T207" i="8" s="1"/>
  <c r="X207" i="8" s="1"/>
  <c r="AA220" i="8"/>
  <c r="AC220" i="8" s="1"/>
  <c r="O220" i="8"/>
  <c r="T220" i="8" s="1"/>
  <c r="X220" i="8" s="1"/>
  <c r="AD220" i="8" s="1"/>
  <c r="AE220" i="8" s="1"/>
  <c r="AA208" i="8"/>
  <c r="AC208" i="8" s="1"/>
  <c r="O208" i="8"/>
  <c r="T208" i="8" s="1"/>
  <c r="AA211" i="8"/>
  <c r="AC211" i="8" s="1"/>
  <c r="O211" i="8"/>
  <c r="T211" i="8" s="1"/>
  <c r="V211" i="8" s="1"/>
  <c r="AA216" i="8"/>
  <c r="AC216" i="8" s="1"/>
  <c r="O216" i="8"/>
  <c r="T216" i="8" s="1"/>
  <c r="V216" i="8" s="1"/>
  <c r="AA212" i="8"/>
  <c r="AC212" i="8" s="1"/>
  <c r="O212" i="8"/>
  <c r="T212" i="8" s="1"/>
  <c r="V212" i="8" s="1"/>
  <c r="AA210" i="8"/>
  <c r="AC210" i="8" s="1"/>
  <c r="O210" i="8"/>
  <c r="T210" i="8" s="1"/>
  <c r="AA214" i="8"/>
  <c r="AC214" i="8" s="1"/>
  <c r="O214" i="8"/>
  <c r="T214" i="8" s="1"/>
  <c r="V214" i="8" s="1"/>
  <c r="AA206" i="8"/>
  <c r="AC206" i="8" s="1"/>
  <c r="O206" i="8"/>
  <c r="T206" i="8" s="1"/>
  <c r="X206" i="8" s="1"/>
  <c r="AA218" i="8"/>
  <c r="AC218" i="8" s="1"/>
  <c r="O218" i="8"/>
  <c r="T218" i="8" s="1"/>
  <c r="V218" i="8" s="1"/>
  <c r="AA209" i="8"/>
  <c r="AC209" i="8" s="1"/>
  <c r="O209" i="8"/>
  <c r="T209" i="8" s="1"/>
  <c r="X209" i="8" s="1"/>
  <c r="Z205" i="8"/>
  <c r="X142" i="8"/>
  <c r="AD142" i="8" s="1"/>
  <c r="AE142" i="8" s="1"/>
  <c r="V196" i="8"/>
  <c r="AD193" i="8"/>
  <c r="AE193" i="8" s="1"/>
  <c r="AD34" i="8"/>
  <c r="AE34" i="8" s="1"/>
  <c r="T163" i="8"/>
  <c r="X163" i="8" s="1"/>
  <c r="AD163" i="8" s="1"/>
  <c r="AE163" i="8" s="1"/>
  <c r="Z167" i="8"/>
  <c r="AA167" i="8" s="1"/>
  <c r="AC167" i="8" s="1"/>
  <c r="AD167" i="8" s="1"/>
  <c r="AE167" i="8" s="1"/>
  <c r="Z225" i="8"/>
  <c r="AA225" i="8" s="1"/>
  <c r="AD72" i="8"/>
  <c r="AE72" i="8" s="1"/>
  <c r="AD45" i="8"/>
  <c r="AE45" i="8" s="1"/>
  <c r="AD119" i="8"/>
  <c r="AE119" i="8" s="1"/>
  <c r="Z227" i="8"/>
  <c r="AA227" i="8" s="1"/>
  <c r="AC227" i="8" s="1"/>
  <c r="AD227" i="8" s="1"/>
  <c r="AE227" i="8" s="1"/>
  <c r="AD169" i="8"/>
  <c r="AE169" i="8" s="1"/>
  <c r="Z91" i="8"/>
  <c r="AA91" i="8" s="1"/>
  <c r="AC91" i="8" s="1"/>
  <c r="AD91" i="8" s="1"/>
  <c r="AE91" i="8" s="1"/>
  <c r="X24" i="8"/>
  <c r="V24" i="8"/>
  <c r="AD44" i="8"/>
  <c r="AE44" i="8" s="1"/>
  <c r="AD263" i="8"/>
  <c r="AE263" i="8" s="1"/>
  <c r="T231" i="8"/>
  <c r="X231" i="8" s="1"/>
  <c r="AD231" i="8" s="1"/>
  <c r="AE231" i="8" s="1"/>
  <c r="Z230" i="8"/>
  <c r="AA230" i="8" s="1"/>
  <c r="AC230" i="8" s="1"/>
  <c r="Z46" i="8"/>
  <c r="AA46" i="8" s="1"/>
  <c r="AC46" i="8" s="1"/>
  <c r="Z24" i="8"/>
  <c r="AA24" i="8" s="1"/>
  <c r="AC24" i="8" s="1"/>
  <c r="V122" i="8"/>
  <c r="Z122" i="8" s="1"/>
  <c r="AA122" i="8" s="1"/>
  <c r="AC122" i="8" s="1"/>
  <c r="AD122" i="8" s="1"/>
  <c r="AE122" i="8" s="1"/>
  <c r="T228" i="8"/>
  <c r="X228" i="8" s="1"/>
  <c r="AD228" i="8" s="1"/>
  <c r="AE228" i="8" s="1"/>
  <c r="Z93" i="8"/>
  <c r="AA93" i="8" s="1"/>
  <c r="AC93" i="8" s="1"/>
  <c r="AD93" i="8" s="1"/>
  <c r="AE93" i="8" s="1"/>
  <c r="T39" i="8"/>
  <c r="X39" i="8" s="1"/>
  <c r="AD39" i="8" s="1"/>
  <c r="AE39" i="8" s="1"/>
  <c r="V16" i="8"/>
  <c r="T168" i="8"/>
  <c r="X168" i="8" s="1"/>
  <c r="AD168" i="8" s="1"/>
  <c r="AE168" i="8" s="1"/>
  <c r="T264" i="8"/>
  <c r="X264" i="8" s="1"/>
  <c r="AD264" i="8" s="1"/>
  <c r="AE264" i="8" s="1"/>
  <c r="T256" i="8"/>
  <c r="V256" i="8" s="1"/>
  <c r="V113" i="8"/>
  <c r="Z113" i="8" s="1"/>
  <c r="AA113" i="8" s="1"/>
  <c r="AC113" i="8" s="1"/>
  <c r="AD113" i="8" s="1"/>
  <c r="V81" i="8"/>
  <c r="AD97" i="8"/>
  <c r="AE97" i="8" s="1"/>
  <c r="AD259" i="8"/>
  <c r="AE259" i="8" s="1"/>
  <c r="T63" i="8"/>
  <c r="X63" i="8" s="1"/>
  <c r="AD135" i="8"/>
  <c r="AE135" i="8" s="1"/>
  <c r="AD22" i="8"/>
  <c r="AE22" i="8" s="1"/>
  <c r="T162" i="8"/>
  <c r="X162" i="8" s="1"/>
  <c r="AD162" i="8" s="1"/>
  <c r="AE162" i="8" s="1"/>
  <c r="AD23" i="8"/>
  <c r="AE23" i="8" s="1"/>
  <c r="AD107" i="8"/>
  <c r="AE107" i="8" s="1"/>
  <c r="V107" i="8"/>
  <c r="T54" i="8"/>
  <c r="X54" i="8" s="1"/>
  <c r="AD54" i="8" s="1"/>
  <c r="AE54" i="8" s="1"/>
  <c r="Z25" i="8"/>
  <c r="AA25" i="8" s="1"/>
  <c r="AC25" i="8" s="1"/>
  <c r="V69" i="8"/>
  <c r="V203" i="8"/>
  <c r="V116" i="8"/>
  <c r="V183" i="8"/>
  <c r="Z179" i="8"/>
  <c r="AA179" i="8" s="1"/>
  <c r="AC179" i="8" s="1"/>
  <c r="V200" i="8"/>
  <c r="X258" i="8"/>
  <c r="V258" i="8"/>
  <c r="X249" i="8"/>
  <c r="V249" i="8"/>
  <c r="T170" i="8"/>
  <c r="X170" i="8" s="1"/>
  <c r="AD170" i="8" s="1"/>
  <c r="AE170" i="8" s="1"/>
  <c r="T88" i="8"/>
  <c r="X88" i="8" s="1"/>
  <c r="AD88" i="8" s="1"/>
  <c r="AE88" i="8" s="1"/>
  <c r="V251" i="8"/>
  <c r="X146" i="8"/>
  <c r="T50" i="8"/>
  <c r="X50" i="8" s="1"/>
  <c r="V167" i="8"/>
  <c r="V61" i="8"/>
  <c r="T66" i="8"/>
  <c r="X66" i="8" s="1"/>
  <c r="AD66" i="8" s="1"/>
  <c r="AE66" i="8" s="1"/>
  <c r="Z197" i="8"/>
  <c r="AA197" i="8" s="1"/>
  <c r="AC197" i="8" s="1"/>
  <c r="AD197" i="8" s="1"/>
  <c r="AE197" i="8" s="1"/>
  <c r="Z249" i="8"/>
  <c r="AA249" i="8" s="1"/>
  <c r="AC249" i="8" s="1"/>
  <c r="V136" i="8"/>
  <c r="AD136" i="8"/>
  <c r="AE136" i="8" s="1"/>
  <c r="T229" i="8"/>
  <c r="X229" i="8" s="1"/>
  <c r="AD229" i="8" s="1"/>
  <c r="AE229" i="8" s="1"/>
  <c r="V143" i="8"/>
  <c r="T241" i="8"/>
  <c r="V241" i="8" s="1"/>
  <c r="AD90" i="8"/>
  <c r="AE90" i="8" s="1"/>
  <c r="T70" i="8"/>
  <c r="V70" i="8" s="1"/>
  <c r="T92" i="8"/>
  <c r="X92" i="8" s="1"/>
  <c r="AD92" i="8" s="1"/>
  <c r="AE92" i="8" s="1"/>
  <c r="Z125" i="8"/>
  <c r="AA125" i="8" s="1"/>
  <c r="AC125" i="8" s="1"/>
  <c r="V26" i="8"/>
  <c r="Z181" i="8"/>
  <c r="AA181" i="8" s="1"/>
  <c r="AC181" i="8" s="1"/>
  <c r="V188" i="8"/>
  <c r="Z188" i="8" s="1"/>
  <c r="AA188" i="8" s="1"/>
  <c r="AC188" i="8" s="1"/>
  <c r="AD188" i="8" s="1"/>
  <c r="AD234" i="8"/>
  <c r="AE234" i="8" s="1"/>
  <c r="V169" i="8"/>
  <c r="Z86" i="8"/>
  <c r="AA86" i="8" s="1"/>
  <c r="AC86" i="8" s="1"/>
  <c r="AD86" i="8" s="1"/>
  <c r="AE86" i="8" s="1"/>
  <c r="V14" i="8"/>
  <c r="AD19" i="8"/>
  <c r="V130" i="8"/>
  <c r="Z130" i="8" s="1"/>
  <c r="AA130" i="8" s="1"/>
  <c r="AC130" i="8" s="1"/>
  <c r="AD130" i="8" s="1"/>
  <c r="AE130" i="8" s="1"/>
  <c r="V111" i="8"/>
  <c r="Z111" i="8" s="1"/>
  <c r="AA111" i="8" s="1"/>
  <c r="AC111" i="8" s="1"/>
  <c r="AD111" i="8" s="1"/>
  <c r="X36" i="8"/>
  <c r="V36" i="8"/>
  <c r="X181" i="8"/>
  <c r="V181" i="8"/>
  <c r="X89" i="8"/>
  <c r="V89" i="8"/>
  <c r="V96" i="8"/>
  <c r="X96" i="8"/>
  <c r="X46" i="8"/>
  <c r="V46" i="8"/>
  <c r="V64" i="8"/>
  <c r="Z89" i="8"/>
  <c r="AA89" i="8" s="1"/>
  <c r="AC89" i="8" s="1"/>
  <c r="Z149" i="8"/>
  <c r="AA149" i="8" s="1"/>
  <c r="AC149" i="8" s="1"/>
  <c r="T79" i="8"/>
  <c r="Z73" i="8"/>
  <c r="AA73" i="8" s="1"/>
  <c r="AC73" i="8" s="1"/>
  <c r="X33" i="8"/>
  <c r="V232" i="8"/>
  <c r="V261" i="8"/>
  <c r="T165" i="8"/>
  <c r="X165" i="8" s="1"/>
  <c r="AD165" i="8" s="1"/>
  <c r="AE165" i="8" s="1"/>
  <c r="AD248" i="8"/>
  <c r="AE248" i="8" s="1"/>
  <c r="X262" i="8"/>
  <c r="AD262" i="8" s="1"/>
  <c r="AE262" i="8" s="1"/>
  <c r="V177" i="8"/>
  <c r="V41" i="8"/>
  <c r="T18" i="8"/>
  <c r="X18" i="8" s="1"/>
  <c r="AD18" i="8" s="1"/>
  <c r="AE18" i="8" s="1"/>
  <c r="Z160" i="8"/>
  <c r="AA160" i="8" s="1"/>
  <c r="AC160" i="8" s="1"/>
  <c r="X20" i="8"/>
  <c r="AD20" i="8" s="1"/>
  <c r="AE20" i="8" s="1"/>
  <c r="Z151" i="8"/>
  <c r="AA151" i="8" s="1"/>
  <c r="AC151" i="8" s="1"/>
  <c r="T194" i="8"/>
  <c r="X194" i="8" s="1"/>
  <c r="AD194" i="8" s="1"/>
  <c r="AE194" i="8" s="1"/>
  <c r="V208" i="8"/>
  <c r="AA33" i="8"/>
  <c r="Z41" i="8"/>
  <c r="AA41" i="8" s="1"/>
  <c r="AC41" i="8" s="1"/>
  <c r="AD41" i="8" s="1"/>
  <c r="AE41" i="8" s="1"/>
  <c r="Z96" i="8"/>
  <c r="AA96" i="8" s="1"/>
  <c r="AC96" i="8" s="1"/>
  <c r="V100" i="8"/>
  <c r="AD196" i="8"/>
  <c r="AE196" i="8" s="1"/>
  <c r="AD246" i="8"/>
  <c r="AE246" i="8" s="1"/>
  <c r="V68" i="8"/>
  <c r="T57" i="8"/>
  <c r="X57" i="8" s="1"/>
  <c r="AD57" i="8" s="1"/>
  <c r="AE57" i="8" s="1"/>
  <c r="AD74" i="8"/>
  <c r="AE74" i="8" s="1"/>
  <c r="Z36" i="8"/>
  <c r="AA36" i="8" s="1"/>
  <c r="AC36" i="8" s="1"/>
  <c r="Z21" i="8"/>
  <c r="AA21" i="8" s="1"/>
  <c r="AC21" i="8" s="1"/>
  <c r="AD63" i="8"/>
  <c r="AE63" i="8" s="1"/>
  <c r="V104" i="8"/>
  <c r="Z104" i="8" s="1"/>
  <c r="AA104" i="8" s="1"/>
  <c r="AC104" i="8" s="1"/>
  <c r="AD104" i="8" s="1"/>
  <c r="V127" i="8"/>
  <c r="Z127" i="8" s="1"/>
  <c r="AA127" i="8" s="1"/>
  <c r="AC127" i="8" s="1"/>
  <c r="AD127" i="8" s="1"/>
  <c r="AE127" i="8" s="1"/>
  <c r="X247" i="8"/>
  <c r="AD87" i="8"/>
  <c r="AE87" i="8" s="1"/>
  <c r="AA84" i="8"/>
  <c r="AD261" i="8"/>
  <c r="AE261" i="8" s="1"/>
  <c r="V248" i="8"/>
  <c r="T27" i="8"/>
  <c r="X27" i="8" s="1"/>
  <c r="AD27" i="8" s="1"/>
  <c r="AE27" i="8" s="1"/>
  <c r="AD252" i="8"/>
  <c r="AE252" i="8" s="1"/>
  <c r="Z17" i="8"/>
  <c r="AA17" i="8" s="1"/>
  <c r="AC17" i="8" s="1"/>
  <c r="T15" i="8"/>
  <c r="X15" i="8" s="1"/>
  <c r="AD15" i="8" s="1"/>
  <c r="AE15" i="8" s="1"/>
  <c r="AD244" i="8"/>
  <c r="AE244" i="8" s="1"/>
  <c r="AD243" i="8"/>
  <c r="AE243" i="8" s="1"/>
  <c r="AD240" i="8"/>
  <c r="AE240" i="8" s="1"/>
  <c r="V263" i="8"/>
  <c r="V19" i="8"/>
  <c r="V28" i="8"/>
  <c r="X145" i="8"/>
  <c r="V145" i="8"/>
  <c r="X120" i="8"/>
  <c r="V120" i="8"/>
  <c r="Z120" i="8" s="1"/>
  <c r="AA120" i="8" s="1"/>
  <c r="AC120" i="8" s="1"/>
  <c r="X73" i="8"/>
  <c r="V73" i="8"/>
  <c r="Z189" i="8"/>
  <c r="AA189" i="8" s="1"/>
  <c r="AC189" i="8" s="1"/>
  <c r="T189" i="8"/>
  <c r="V80" i="8"/>
  <c r="Z80" i="8"/>
  <c r="AA80" i="8" s="1"/>
  <c r="AC80" i="8" s="1"/>
  <c r="AD80" i="8" s="1"/>
  <c r="AE80" i="8" s="1"/>
  <c r="V84" i="8"/>
  <c r="X151" i="8"/>
  <c r="V151" i="8"/>
  <c r="Z145" i="8"/>
  <c r="AA145" i="8" s="1"/>
  <c r="AC145" i="8" s="1"/>
  <c r="Z108" i="8"/>
  <c r="AA108" i="8" s="1"/>
  <c r="AC108" i="8" s="1"/>
  <c r="V197" i="8"/>
  <c r="Z141" i="8"/>
  <c r="AA141" i="8" s="1"/>
  <c r="AC141" i="8" s="1"/>
  <c r="V103" i="8"/>
  <c r="Z103" i="8" s="1"/>
  <c r="AA103" i="8" s="1"/>
  <c r="AC103" i="8" s="1"/>
  <c r="AD103" i="8" s="1"/>
  <c r="V35" i="8"/>
  <c r="Z49" i="8"/>
  <c r="AA49" i="8" s="1"/>
  <c r="AC49" i="8" s="1"/>
  <c r="Z37" i="8"/>
  <c r="AA37" i="8" s="1"/>
  <c r="AC37" i="8" s="1"/>
  <c r="V94" i="8"/>
  <c r="Z204" i="8"/>
  <c r="T132" i="8"/>
  <c r="X132" i="8" s="1"/>
  <c r="AD132" i="8" s="1"/>
  <c r="AE132" i="8" s="1"/>
  <c r="V180" i="8"/>
  <c r="V192" i="8"/>
  <c r="AD35" i="8"/>
  <c r="AE35" i="8" s="1"/>
  <c r="Z100" i="8"/>
  <c r="AA100" i="8" s="1"/>
  <c r="AC100" i="8" s="1"/>
  <c r="V131" i="8"/>
  <c r="V114" i="8"/>
  <c r="T161" i="8"/>
  <c r="V227" i="8"/>
  <c r="AD222" i="8"/>
  <c r="AE222" i="8" s="1"/>
  <c r="V147" i="8"/>
  <c r="Z147" i="8" s="1"/>
  <c r="AA147" i="8" s="1"/>
  <c r="AC147" i="8" s="1"/>
  <c r="AD147" i="8" s="1"/>
  <c r="AE147" i="8" s="1"/>
  <c r="T43" i="8"/>
  <c r="X43" i="8" s="1"/>
  <c r="AD43" i="8" s="1"/>
  <c r="AE43" i="8" s="1"/>
  <c r="V99" i="8"/>
  <c r="V129" i="8"/>
  <c r="Z129" i="8" s="1"/>
  <c r="AA129" i="8" s="1"/>
  <c r="AC129" i="8" s="1"/>
  <c r="AD129" i="8" s="1"/>
  <c r="AE129" i="8" s="1"/>
  <c r="AD183" i="8"/>
  <c r="AE183" i="8" s="1"/>
  <c r="V86" i="8"/>
  <c r="T62" i="8"/>
  <c r="X62" i="8" s="1"/>
  <c r="AD62" i="8" s="1"/>
  <c r="AE62" i="8" s="1"/>
  <c r="V186" i="8"/>
  <c r="V112" i="8"/>
  <c r="Z112" i="8" s="1"/>
  <c r="AA112" i="8" s="1"/>
  <c r="AC112" i="8" s="1"/>
  <c r="X112" i="8"/>
  <c r="AD47" i="8"/>
  <c r="AE47" i="8" s="1"/>
  <c r="X141" i="8"/>
  <c r="V141" i="8"/>
  <c r="X42" i="8"/>
  <c r="V42" i="8"/>
  <c r="X49" i="8"/>
  <c r="V49" i="8"/>
  <c r="AD60" i="8"/>
  <c r="AE60" i="8" s="1"/>
  <c r="X37" i="8"/>
  <c r="V37" i="8"/>
  <c r="X85" i="8"/>
  <c r="V85" i="8"/>
  <c r="X25" i="8"/>
  <c r="AD25" i="8" s="1"/>
  <c r="AE25" i="8" s="1"/>
  <c r="V25" i="8"/>
  <c r="X38" i="8"/>
  <c r="V38" i="8"/>
  <c r="X126" i="8"/>
  <c r="V126" i="8"/>
  <c r="X138" i="8"/>
  <c r="V138" i="8"/>
  <c r="Z138" i="8" s="1"/>
  <c r="AA138" i="8" s="1"/>
  <c r="AC138" i="8" s="1"/>
  <c r="V58" i="8"/>
  <c r="Z58" i="8" s="1"/>
  <c r="AA58" i="8" s="1"/>
  <c r="AC58" i="8" s="1"/>
  <c r="X58" i="8"/>
  <c r="X48" i="8"/>
  <c r="V48" i="8"/>
  <c r="AD251" i="8"/>
  <c r="AE251" i="8" s="1"/>
  <c r="X115" i="8"/>
  <c r="AD115" i="8" s="1"/>
  <c r="AE115" i="8" s="1"/>
  <c r="V115" i="8"/>
  <c r="X29" i="8"/>
  <c r="AD29" i="8" s="1"/>
  <c r="AE29" i="8" s="1"/>
  <c r="V29" i="8"/>
  <c r="AD26" i="8"/>
  <c r="AE26" i="8" s="1"/>
  <c r="AD68" i="8"/>
  <c r="AE68" i="8" s="1"/>
  <c r="V149" i="8"/>
  <c r="X149" i="8"/>
  <c r="Z144" i="8"/>
  <c r="AA144" i="8" s="1"/>
  <c r="AC144" i="8" s="1"/>
  <c r="T144" i="8"/>
  <c r="V210" i="8"/>
  <c r="X210" i="8"/>
  <c r="T166" i="8"/>
  <c r="Z166" i="8"/>
  <c r="AA166" i="8" s="1"/>
  <c r="AC166" i="8" s="1"/>
  <c r="X191" i="8"/>
  <c r="AD191" i="8" s="1"/>
  <c r="AE191" i="8" s="1"/>
  <c r="V191" i="8"/>
  <c r="X179" i="8"/>
  <c r="V179" i="8"/>
  <c r="V105" i="8"/>
  <c r="Z105" i="8" s="1"/>
  <c r="AA105" i="8" s="1"/>
  <c r="AC105" i="8" s="1"/>
  <c r="X105" i="8"/>
  <c r="X212" i="8"/>
  <c r="AD212" i="8" s="1"/>
  <c r="AE212" i="8" s="1"/>
  <c r="T53" i="8"/>
  <c r="V250" i="8"/>
  <c r="X185" i="8"/>
  <c r="V185" i="8"/>
  <c r="Z185" i="8" s="1"/>
  <c r="AA185" i="8" s="1"/>
  <c r="AC185" i="8" s="1"/>
  <c r="X195" i="8"/>
  <c r="AD195" i="8" s="1"/>
  <c r="AE195" i="8" s="1"/>
  <c r="V195" i="8"/>
  <c r="AD50" i="8"/>
  <c r="AE50" i="8" s="1"/>
  <c r="T95" i="8"/>
  <c r="Z38" i="8"/>
  <c r="AA38" i="8" s="1"/>
  <c r="AC38" i="8" s="1"/>
  <c r="V135" i="8"/>
  <c r="Z217" i="8"/>
  <c r="V59" i="8"/>
  <c r="Z59" i="8" s="1"/>
  <c r="AA59" i="8" s="1"/>
  <c r="AC59" i="8" s="1"/>
  <c r="X59" i="8"/>
  <c r="V45" i="8"/>
  <c r="X128" i="8"/>
  <c r="V128" i="8"/>
  <c r="Z128" i="8" s="1"/>
  <c r="AA128" i="8" s="1"/>
  <c r="AC128" i="8" s="1"/>
  <c r="Z152" i="8"/>
  <c r="AA152" i="8" s="1"/>
  <c r="AC152" i="8" s="1"/>
  <c r="T152" i="8"/>
  <c r="X176" i="8"/>
  <c r="V176" i="8"/>
  <c r="Z215" i="8"/>
  <c r="T140" i="8"/>
  <c r="Z148" i="8"/>
  <c r="AA148" i="8" s="1"/>
  <c r="AC148" i="8" s="1"/>
  <c r="T148" i="8"/>
  <c r="V23" i="8"/>
  <c r="T82" i="8"/>
  <c r="V22" i="8"/>
  <c r="AC79" i="8"/>
  <c r="V244" i="8"/>
  <c r="V270" i="8"/>
  <c r="X270" i="8"/>
  <c r="V75" i="8"/>
  <c r="AD64" i="8"/>
  <c r="AE64" i="8" s="1"/>
  <c r="T71" i="8"/>
  <c r="Z71" i="8"/>
  <c r="AA71" i="8" s="1"/>
  <c r="AC71" i="8" s="1"/>
  <c r="X199" i="8"/>
  <c r="AD199" i="8" s="1"/>
  <c r="AE199" i="8" s="1"/>
  <c r="V199" i="8"/>
  <c r="V124" i="8"/>
  <c r="Z124" i="8" s="1"/>
  <c r="AA124" i="8" s="1"/>
  <c r="AC124" i="8" s="1"/>
  <c r="AD51" i="8"/>
  <c r="AE51" i="8" s="1"/>
  <c r="AD232" i="8"/>
  <c r="AE232" i="8" s="1"/>
  <c r="AD203" i="8"/>
  <c r="AE203" i="8" s="1"/>
  <c r="AD94" i="8"/>
  <c r="AE94" i="8" s="1"/>
  <c r="X17" i="8"/>
  <c r="V17" i="8"/>
  <c r="V240" i="8"/>
  <c r="AD114" i="8"/>
  <c r="AE114" i="8" s="1"/>
  <c r="AD184" i="8"/>
  <c r="AE184" i="8" s="1"/>
  <c r="V239" i="8"/>
  <c r="X239" i="8"/>
  <c r="V47" i="8"/>
  <c r="AD131" i="8"/>
  <c r="AE131" i="8" s="1"/>
  <c r="T118" i="8"/>
  <c r="V65" i="8"/>
  <c r="Z42" i="8"/>
  <c r="AA42" i="8" s="1"/>
  <c r="AC42" i="8" s="1"/>
  <c r="V202" i="8"/>
  <c r="X137" i="8"/>
  <c r="V137" i="8"/>
  <c r="Z137" i="8" s="1"/>
  <c r="AA137" i="8" s="1"/>
  <c r="AC137" i="8" s="1"/>
  <c r="V40" i="8"/>
  <c r="Z81" i="8"/>
  <c r="AA81" i="8" s="1"/>
  <c r="AC81" i="8" s="1"/>
  <c r="V133" i="8"/>
  <c r="V260" i="8"/>
  <c r="X226" i="8"/>
  <c r="AD226" i="8" s="1"/>
  <c r="AE226" i="8" s="1"/>
  <c r="V226" i="8"/>
  <c r="AD257" i="8"/>
  <c r="AE257" i="8" s="1"/>
  <c r="V52" i="8"/>
  <c r="X52" i="8"/>
  <c r="AD52" i="8" s="1"/>
  <c r="AE52" i="8" s="1"/>
  <c r="X190" i="8"/>
  <c r="AD190" i="8" s="1"/>
  <c r="AE190" i="8" s="1"/>
  <c r="V190" i="8"/>
  <c r="AD14" i="8"/>
  <c r="AE14" i="8" s="1"/>
  <c r="AD16" i="8"/>
  <c r="AE16" i="8" s="1"/>
  <c r="T106" i="8"/>
  <c r="V160" i="8"/>
  <c r="X160" i="8"/>
  <c r="V223" i="8"/>
  <c r="X223" i="8"/>
  <c r="AD223" i="8" s="1"/>
  <c r="AE223" i="8" s="1"/>
  <c r="V110" i="8"/>
  <c r="X110" i="8"/>
  <c r="AD110" i="8" s="1"/>
  <c r="AE110" i="8" s="1"/>
  <c r="Z219" i="8"/>
  <c r="V117" i="8"/>
  <c r="X117" i="8"/>
  <c r="AD117" i="8" s="1"/>
  <c r="AE117" i="8" s="1"/>
  <c r="V67" i="8"/>
  <c r="V108" i="8"/>
  <c r="X108" i="8"/>
  <c r="AD177" i="8"/>
  <c r="AE177" i="8" s="1"/>
  <c r="AD67" i="8"/>
  <c r="AE67" i="8" s="1"/>
  <c r="V51" i="8"/>
  <c r="V90" i="8"/>
  <c r="V33" i="8"/>
  <c r="V150" i="8"/>
  <c r="X150" i="8"/>
  <c r="AD150" i="8" s="1"/>
  <c r="AE150" i="8" s="1"/>
  <c r="X224" i="8"/>
  <c r="AD224" i="8" s="1"/>
  <c r="AE224" i="8" s="1"/>
  <c r="V224" i="8"/>
  <c r="X102" i="8"/>
  <c r="AD102" i="8" s="1"/>
  <c r="AE102" i="8" s="1"/>
  <c r="V102" i="8"/>
  <c r="T55" i="8"/>
  <c r="X198" i="8"/>
  <c r="AD198" i="8" s="1"/>
  <c r="AE198" i="8" s="1"/>
  <c r="V198" i="8"/>
  <c r="T265" i="8"/>
  <c r="V252" i="8"/>
  <c r="AD146" i="8"/>
  <c r="AE146" i="8" s="1"/>
  <c r="AD192" i="8"/>
  <c r="AE192" i="8" s="1"/>
  <c r="V98" i="8"/>
  <c r="X98" i="8"/>
  <c r="AD98" i="8" s="1"/>
  <c r="AE98" i="8" s="1"/>
  <c r="V257" i="8"/>
  <c r="AA256" i="8"/>
  <c r="T242" i="8"/>
  <c r="AE75" i="8"/>
  <c r="V269" i="8"/>
  <c r="V74" i="8"/>
  <c r="X230" i="8"/>
  <c r="V230" i="8"/>
  <c r="T201" i="8"/>
  <c r="V121" i="8"/>
  <c r="Z121" i="8" s="1"/>
  <c r="AA121" i="8" s="1"/>
  <c r="AC121" i="8" s="1"/>
  <c r="X121" i="8"/>
  <c r="V225" i="8"/>
  <c r="X225" i="8"/>
  <c r="V44" i="8"/>
  <c r="V87" i="8"/>
  <c r="V233" i="8"/>
  <c r="V222" i="8"/>
  <c r="AD116" i="8"/>
  <c r="AE116" i="8" s="1"/>
  <c r="V97" i="8"/>
  <c r="V34" i="8"/>
  <c r="AE19" i="8"/>
  <c r="Z213" i="8"/>
  <c r="X139" i="8"/>
  <c r="V139" i="8"/>
  <c r="Z139" i="8" s="1"/>
  <c r="AA139" i="8" s="1"/>
  <c r="AC139" i="8" s="1"/>
  <c r="X21" i="8"/>
  <c r="V21" i="8"/>
  <c r="X125" i="8"/>
  <c r="V125" i="8"/>
  <c r="AE69" i="8"/>
  <c r="Z85" i="8"/>
  <c r="AA85" i="8" s="1"/>
  <c r="AC85" i="8" s="1"/>
  <c r="Z126" i="8"/>
  <c r="AA126" i="8" s="1"/>
  <c r="AC126" i="8" s="1"/>
  <c r="V30" i="8"/>
  <c r="AD171" i="8"/>
  <c r="AE171" i="8" s="1"/>
  <c r="AD143" i="8"/>
  <c r="AE143" i="8" s="1"/>
  <c r="X266" i="8"/>
  <c r="AD266" i="8" s="1"/>
  <c r="AE266" i="8" s="1"/>
  <c r="V266" i="8"/>
  <c r="AD30" i="8"/>
  <c r="AE30" i="8" s="1"/>
  <c r="T164" i="8"/>
  <c r="Z164" i="8"/>
  <c r="AA164" i="8" s="1"/>
  <c r="AC164" i="8" s="1"/>
  <c r="V119" i="8"/>
  <c r="V56" i="8"/>
  <c r="Z56" i="8" s="1"/>
  <c r="AA56" i="8" s="1"/>
  <c r="AC56" i="8" s="1"/>
  <c r="V54" i="8"/>
  <c r="AA239" i="8"/>
  <c r="AD61" i="8"/>
  <c r="AE61" i="8" s="1"/>
  <c r="AD133" i="8"/>
  <c r="AE133" i="8" s="1"/>
  <c r="AD40" i="8"/>
  <c r="AE40" i="8" s="1"/>
  <c r="V178" i="8"/>
  <c r="Z48" i="8"/>
  <c r="AA48" i="8" s="1"/>
  <c r="AC48" i="8" s="1"/>
  <c r="AD178" i="8"/>
  <c r="AE178" i="8" s="1"/>
  <c r="V243" i="8"/>
  <c r="V83" i="8"/>
  <c r="T182" i="8"/>
  <c r="V193" i="8"/>
  <c r="V91" i="8"/>
  <c r="V93" i="8"/>
  <c r="V246" i="8" l="1"/>
  <c r="V79" i="8"/>
  <c r="V220" i="8"/>
  <c r="Z267" i="8"/>
  <c r="AD258" i="8"/>
  <c r="AE258" i="8" s="1"/>
  <c r="V63" i="8"/>
  <c r="AC176" i="8"/>
  <c r="AD176" i="8"/>
  <c r="AE109" i="8"/>
  <c r="AD247" i="8"/>
  <c r="AE247" i="8" s="1"/>
  <c r="Z235" i="8"/>
  <c r="V134" i="8"/>
  <c r="AD249" i="8"/>
  <c r="AE249" i="8" s="1"/>
  <c r="V154" i="8"/>
  <c r="X218" i="8"/>
  <c r="AD218" i="8" s="1"/>
  <c r="AE218" i="8" s="1"/>
  <c r="X13" i="8"/>
  <c r="AD13" i="8" s="1"/>
  <c r="AE13" i="8" s="1"/>
  <c r="X211" i="8"/>
  <c r="AD211" i="8" s="1"/>
  <c r="AE211" i="8" s="1"/>
  <c r="T76" i="8"/>
  <c r="AD125" i="8"/>
  <c r="AE125" i="8" s="1"/>
  <c r="AD207" i="8"/>
  <c r="AE207" i="8" s="1"/>
  <c r="AD158" i="8"/>
  <c r="AE158" i="8" s="1"/>
  <c r="AD154" i="8"/>
  <c r="AE154" i="8" s="1"/>
  <c r="V18" i="8"/>
  <c r="V158" i="8"/>
  <c r="X159" i="8"/>
  <c r="AD159" i="8" s="1"/>
  <c r="AE159" i="8" s="1"/>
  <c r="X155" i="8"/>
  <c r="AD155" i="8" s="1"/>
  <c r="AE155" i="8" s="1"/>
  <c r="V155" i="8"/>
  <c r="X157" i="8"/>
  <c r="AD157" i="8" s="1"/>
  <c r="AE157" i="8" s="1"/>
  <c r="T153" i="8"/>
  <c r="V153" i="8" s="1"/>
  <c r="V264" i="8"/>
  <c r="Z253" i="8"/>
  <c r="X70" i="8"/>
  <c r="AD70" i="8" s="1"/>
  <c r="AE70" i="8" s="1"/>
  <c r="X214" i="8"/>
  <c r="AD214" i="8" s="1"/>
  <c r="AE214" i="8" s="1"/>
  <c r="V168" i="8"/>
  <c r="V50" i="8"/>
  <c r="X221" i="8"/>
  <c r="AD221" i="8" s="1"/>
  <c r="AE221" i="8" s="1"/>
  <c r="AD151" i="8"/>
  <c r="AE151" i="8" s="1"/>
  <c r="AD206" i="8"/>
  <c r="AE206" i="8" s="1"/>
  <c r="V206" i="8"/>
  <c r="AA213" i="8"/>
  <c r="AC213" i="8" s="1"/>
  <c r="O213" i="8"/>
  <c r="T213" i="8" s="1"/>
  <c r="V213" i="8" s="1"/>
  <c r="AD209" i="8"/>
  <c r="AE209" i="8" s="1"/>
  <c r="X216" i="8"/>
  <c r="AD216" i="8" s="1"/>
  <c r="AE216" i="8" s="1"/>
  <c r="AA215" i="8"/>
  <c r="AC215" i="8" s="1"/>
  <c r="O215" i="8"/>
  <c r="T215" i="8" s="1"/>
  <c r="V215" i="8" s="1"/>
  <c r="AD210" i="8"/>
  <c r="AE210" i="8" s="1"/>
  <c r="AA219" i="8"/>
  <c r="AC219" i="8" s="1"/>
  <c r="O219" i="8"/>
  <c r="T219" i="8" s="1"/>
  <c r="V219" i="8" s="1"/>
  <c r="AA217" i="8"/>
  <c r="AC217" i="8" s="1"/>
  <c r="O217" i="8"/>
  <c r="T217" i="8" s="1"/>
  <c r="V217" i="8" s="1"/>
  <c r="AA205" i="8"/>
  <c r="AC205" i="8" s="1"/>
  <c r="O205" i="8"/>
  <c r="T205" i="8" s="1"/>
  <c r="AA204" i="8"/>
  <c r="AC204" i="8" s="1"/>
  <c r="O204" i="8"/>
  <c r="T204" i="8" s="1"/>
  <c r="V209" i="8"/>
  <c r="V194" i="8"/>
  <c r="AD128" i="8"/>
  <c r="AE128" i="8" s="1"/>
  <c r="V162" i="8"/>
  <c r="AE113" i="8"/>
  <c r="X208" i="8"/>
  <c r="AD208" i="8" s="1"/>
  <c r="AE208" i="8" s="1"/>
  <c r="AD89" i="8"/>
  <c r="AE89" i="8" s="1"/>
  <c r="V228" i="8"/>
  <c r="V88" i="8"/>
  <c r="V163" i="8"/>
  <c r="V231" i="8"/>
  <c r="V62" i="8"/>
  <c r="AD46" i="8"/>
  <c r="AE46" i="8" s="1"/>
  <c r="V92" i="8"/>
  <c r="X79" i="8"/>
  <c r="X241" i="8"/>
  <c r="AD241" i="8" s="1"/>
  <c r="AE241" i="8" s="1"/>
  <c r="AD230" i="8"/>
  <c r="AE230" i="8" s="1"/>
  <c r="V66" i="8"/>
  <c r="X156" i="8"/>
  <c r="AD156" i="8" s="1"/>
  <c r="AE156" i="8" s="1"/>
  <c r="AD181" i="8"/>
  <c r="AE181" i="8" s="1"/>
  <c r="X256" i="8"/>
  <c r="V229" i="8"/>
  <c r="AD24" i="8"/>
  <c r="AE24" i="8" s="1"/>
  <c r="V39" i="8"/>
  <c r="AD96" i="8"/>
  <c r="AE96" i="8" s="1"/>
  <c r="V207" i="8"/>
  <c r="AD179" i="8"/>
  <c r="AE179" i="8" s="1"/>
  <c r="AE111" i="8"/>
  <c r="V57" i="8"/>
  <c r="AE188" i="8"/>
  <c r="AD149" i="8"/>
  <c r="AE149" i="8" s="1"/>
  <c r="AD73" i="8"/>
  <c r="AE73" i="8" s="1"/>
  <c r="AE103" i="8"/>
  <c r="AD160" i="8"/>
  <c r="AE160" i="8" s="1"/>
  <c r="AD141" i="8"/>
  <c r="AE141" i="8" s="1"/>
  <c r="AD36" i="8"/>
  <c r="AE36" i="8" s="1"/>
  <c r="V170" i="8"/>
  <c r="T31" i="8"/>
  <c r="V15" i="8"/>
  <c r="V132" i="8"/>
  <c r="AC31" i="8"/>
  <c r="AD21" i="8"/>
  <c r="AE21" i="8" s="1"/>
  <c r="V27" i="8"/>
  <c r="AE104" i="8"/>
  <c r="AC33" i="8"/>
  <c r="V165" i="8"/>
  <c r="AD120" i="8"/>
  <c r="AE120" i="8" s="1"/>
  <c r="X84" i="8"/>
  <c r="AC84" i="8"/>
  <c r="AC173" i="8" s="1"/>
  <c r="AC225" i="8"/>
  <c r="AD17" i="8"/>
  <c r="AE17" i="8" s="1"/>
  <c r="Z31" i="8"/>
  <c r="AA31" i="8"/>
  <c r="V43" i="8"/>
  <c r="AD37" i="8"/>
  <c r="AE37" i="8" s="1"/>
  <c r="AD108" i="8"/>
  <c r="AE108" i="8" s="1"/>
  <c r="V161" i="8"/>
  <c r="X161" i="8"/>
  <c r="AD161" i="8" s="1"/>
  <c r="AE161" i="8" s="1"/>
  <c r="AD145" i="8"/>
  <c r="AE145" i="8" s="1"/>
  <c r="AD49" i="8"/>
  <c r="AE49" i="8" s="1"/>
  <c r="AD112" i="8"/>
  <c r="AE112" i="8" s="1"/>
  <c r="AD100" i="8"/>
  <c r="AE100" i="8" s="1"/>
  <c r="X189" i="8"/>
  <c r="AD189" i="8" s="1"/>
  <c r="AE189" i="8" s="1"/>
  <c r="V189" i="8"/>
  <c r="AD48" i="8"/>
  <c r="AE48" i="8" s="1"/>
  <c r="X265" i="8"/>
  <c r="AD265" i="8" s="1"/>
  <c r="AE265" i="8" s="1"/>
  <c r="V265" i="8"/>
  <c r="X118" i="8"/>
  <c r="AD118" i="8" s="1"/>
  <c r="AE118" i="8" s="1"/>
  <c r="V118" i="8"/>
  <c r="X82" i="8"/>
  <c r="AD82" i="8" s="1"/>
  <c r="AE82" i="8" s="1"/>
  <c r="V82" i="8"/>
  <c r="V106" i="8"/>
  <c r="Z106" i="8" s="1"/>
  <c r="AA106" i="8" s="1"/>
  <c r="AC106" i="8" s="1"/>
  <c r="X106" i="8"/>
  <c r="X182" i="8"/>
  <c r="AD182" i="8" s="1"/>
  <c r="AE182" i="8" s="1"/>
  <c r="V182" i="8"/>
  <c r="V152" i="8"/>
  <c r="X152" i="8"/>
  <c r="AD152" i="8" s="1"/>
  <c r="AE152" i="8" s="1"/>
  <c r="T267" i="8"/>
  <c r="AD38" i="8"/>
  <c r="AE38" i="8" s="1"/>
  <c r="X164" i="8"/>
  <c r="AD164" i="8" s="1"/>
  <c r="AE164" i="8" s="1"/>
  <c r="V164" i="8"/>
  <c r="AC256" i="8"/>
  <c r="AA267" i="8"/>
  <c r="AD138" i="8"/>
  <c r="AE138" i="8" s="1"/>
  <c r="AD81" i="8"/>
  <c r="AE81" i="8" s="1"/>
  <c r="AD42" i="8"/>
  <c r="AE42" i="8" s="1"/>
  <c r="X71" i="8"/>
  <c r="AD71" i="8" s="1"/>
  <c r="AE71" i="8" s="1"/>
  <c r="V71" i="8"/>
  <c r="X148" i="8"/>
  <c r="AD148" i="8" s="1"/>
  <c r="AE148" i="8" s="1"/>
  <c r="V148" i="8"/>
  <c r="V95" i="8"/>
  <c r="X95" i="8"/>
  <c r="AD95" i="8" s="1"/>
  <c r="AE95" i="8" s="1"/>
  <c r="AD185" i="8"/>
  <c r="AE185" i="8" s="1"/>
  <c r="AD121" i="8"/>
  <c r="AE121" i="8" s="1"/>
  <c r="AD59" i="8"/>
  <c r="AE59" i="8" s="1"/>
  <c r="AD58" i="8"/>
  <c r="AE58" i="8" s="1"/>
  <c r="AD85" i="8"/>
  <c r="AE85" i="8" s="1"/>
  <c r="X242" i="8"/>
  <c r="AD242" i="8" s="1"/>
  <c r="AE242" i="8" s="1"/>
  <c r="V242" i="8"/>
  <c r="X55" i="8"/>
  <c r="V55" i="8"/>
  <c r="Z55" i="8" s="1"/>
  <c r="AA55" i="8" s="1"/>
  <c r="AC55" i="8" s="1"/>
  <c r="AD56" i="8"/>
  <c r="AE56" i="8" s="1"/>
  <c r="AD139" i="8"/>
  <c r="AE139" i="8" s="1"/>
  <c r="AD137" i="8"/>
  <c r="AE137" i="8" s="1"/>
  <c r="AD126" i="8"/>
  <c r="AE126" i="8" s="1"/>
  <c r="X201" i="8"/>
  <c r="AD201" i="8" s="1"/>
  <c r="AE201" i="8" s="1"/>
  <c r="V201" i="8"/>
  <c r="T253" i="8"/>
  <c r="AD124" i="8"/>
  <c r="AE124" i="8" s="1"/>
  <c r="X140" i="8"/>
  <c r="AD140" i="8" s="1"/>
  <c r="AE140" i="8" s="1"/>
  <c r="V140" i="8"/>
  <c r="X53" i="8"/>
  <c r="AD53" i="8" s="1"/>
  <c r="AE53" i="8" s="1"/>
  <c r="V53" i="8"/>
  <c r="AD105" i="8"/>
  <c r="AE105" i="8" s="1"/>
  <c r="AC239" i="8"/>
  <c r="AA253" i="8"/>
  <c r="X166" i="8"/>
  <c r="AD166" i="8" s="1"/>
  <c r="AE166" i="8" s="1"/>
  <c r="V166" i="8"/>
  <c r="X144" i="8"/>
  <c r="AD144" i="8" s="1"/>
  <c r="AE144" i="8" s="1"/>
  <c r="V144" i="8"/>
  <c r="T235" i="8" l="1"/>
  <c r="AE176" i="8"/>
  <c r="X213" i="8"/>
  <c r="AD213" i="8" s="1"/>
  <c r="AE213" i="8" s="1"/>
  <c r="AD79" i="8"/>
  <c r="X173" i="8"/>
  <c r="AA235" i="8"/>
  <c r="V76" i="8"/>
  <c r="AC235" i="8"/>
  <c r="V253" i="8"/>
  <c r="Z173" i="8"/>
  <c r="T173" i="8"/>
  <c r="T273" i="8" s="1"/>
  <c r="AA173" i="8"/>
  <c r="V173" i="8"/>
  <c r="X31" i="8"/>
  <c r="V267" i="8"/>
  <c r="AA76" i="8"/>
  <c r="AA273" i="8" s="1"/>
  <c r="AD33" i="8"/>
  <c r="AD76" i="8" s="1"/>
  <c r="AC76" i="8"/>
  <c r="AC273" i="8" s="1"/>
  <c r="Z76" i="8"/>
  <c r="Z273" i="8" s="1"/>
  <c r="X76" i="8"/>
  <c r="X153" i="8"/>
  <c r="AD153" i="8" s="1"/>
  <c r="AE153" i="8" s="1"/>
  <c r="X267" i="8"/>
  <c r="X215" i="8"/>
  <c r="AD215" i="8" s="1"/>
  <c r="AE215" i="8" s="1"/>
  <c r="X217" i="8"/>
  <c r="AD217" i="8" s="1"/>
  <c r="AE217" i="8" s="1"/>
  <c r="X219" i="8"/>
  <c r="AD219" i="8" s="1"/>
  <c r="AE219" i="8" s="1"/>
  <c r="V205" i="8"/>
  <c r="V235" i="8" s="1"/>
  <c r="X205" i="8"/>
  <c r="AD205" i="8" s="1"/>
  <c r="AE205" i="8" s="1"/>
  <c r="X204" i="8"/>
  <c r="AD204" i="8" s="1"/>
  <c r="AE204" i="8" s="1"/>
  <c r="V204" i="8"/>
  <c r="AE31" i="8"/>
  <c r="X253" i="8"/>
  <c r="AD31" i="8"/>
  <c r="V31" i="8"/>
  <c r="AD225" i="8"/>
  <c r="AD84" i="8"/>
  <c r="AC253" i="8"/>
  <c r="AD239" i="8"/>
  <c r="AD253" i="8" s="1"/>
  <c r="AD55" i="8"/>
  <c r="AE55" i="8"/>
  <c r="AC267" i="8"/>
  <c r="AD256" i="8"/>
  <c r="AD267" i="8" s="1"/>
  <c r="AE256" i="8"/>
  <c r="AE267" i="8" s="1"/>
  <c r="AD106" i="8"/>
  <c r="AE106" i="8" s="1"/>
  <c r="V273" i="8" l="1"/>
  <c r="AE79" i="8"/>
  <c r="AD173" i="8"/>
  <c r="AD273" i="8" s="1"/>
  <c r="AD235" i="8"/>
  <c r="X273" i="8"/>
  <c r="AE235" i="8"/>
  <c r="X235" i="8"/>
  <c r="AE33" i="8"/>
  <c r="AE225" i="8"/>
  <c r="AE84" i="8"/>
  <c r="AE239" i="8"/>
  <c r="AE253" i="8" s="1"/>
  <c r="D56" i="3"/>
  <c r="D54" i="3"/>
  <c r="D53" i="3"/>
  <c r="D52" i="3"/>
  <c r="D51" i="3"/>
  <c r="D48" i="3"/>
  <c r="D46" i="3"/>
  <c r="D45" i="3"/>
  <c r="D44" i="3"/>
  <c r="D43" i="3"/>
  <c r="D40" i="3"/>
  <c r="D32" i="3"/>
  <c r="D30" i="3"/>
  <c r="D29" i="3"/>
  <c r="D28" i="3"/>
  <c r="R56" i="5"/>
  <c r="R55" i="5"/>
  <c r="D55" i="3" s="1"/>
  <c r="R54" i="5"/>
  <c r="R53" i="5"/>
  <c r="R52" i="5"/>
  <c r="R51" i="5"/>
  <c r="R50" i="5"/>
  <c r="D50" i="3" s="1"/>
  <c r="R49" i="5"/>
  <c r="D49" i="3" s="1"/>
  <c r="R48" i="5"/>
  <c r="R47" i="5"/>
  <c r="D47" i="3" s="1"/>
  <c r="R46" i="5"/>
  <c r="R45" i="5"/>
  <c r="R44" i="5"/>
  <c r="R43" i="5"/>
  <c r="R42" i="5"/>
  <c r="D42" i="3" s="1"/>
  <c r="R41" i="5"/>
  <c r="D41" i="3" s="1"/>
  <c r="R40" i="5"/>
  <c r="R36" i="5"/>
  <c r="D36" i="3" s="1"/>
  <c r="R32" i="5"/>
  <c r="R31" i="5"/>
  <c r="D31" i="3" s="1"/>
  <c r="R30" i="5"/>
  <c r="R29" i="5"/>
  <c r="R28" i="5"/>
  <c r="R26" i="5"/>
  <c r="D26" i="3" s="1"/>
  <c r="R25" i="5"/>
  <c r="D25" i="3" s="1"/>
  <c r="R24" i="5"/>
  <c r="D24" i="3" s="1"/>
  <c r="R23" i="5"/>
  <c r="D23" i="3" s="1"/>
  <c r="R22" i="5"/>
  <c r="D22" i="3" s="1"/>
  <c r="R21" i="5"/>
  <c r="D21" i="3" s="1"/>
  <c r="R20" i="5"/>
  <c r="D20" i="3" s="1"/>
  <c r="R19" i="5"/>
  <c r="D19" i="3" s="1"/>
  <c r="R15" i="5"/>
  <c r="R14" i="5"/>
  <c r="R13" i="5"/>
  <c r="R12" i="5"/>
  <c r="R11" i="5"/>
  <c r="R10" i="5"/>
  <c r="R9" i="5"/>
  <c r="R8" i="5"/>
  <c r="N59" i="5"/>
  <c r="M59" i="5"/>
  <c r="J59" i="5"/>
  <c r="I59" i="5"/>
  <c r="G59" i="5"/>
  <c r="H27" i="5"/>
  <c r="H59" i="5" s="1"/>
  <c r="J35" i="5"/>
  <c r="AE173" i="8" l="1"/>
  <c r="AE273" i="8" s="1"/>
  <c r="R27" i="5"/>
  <c r="D27" i="3" s="1"/>
  <c r="O35" i="5"/>
  <c r="O59" i="5" s="1"/>
  <c r="K35" i="5" l="1"/>
  <c r="L35" i="5"/>
  <c r="L34" i="5"/>
  <c r="R34" i="5" s="1"/>
  <c r="D34" i="3" s="1"/>
  <c r="J19" i="9"/>
  <c r="I19" i="9"/>
  <c r="I17" i="9"/>
  <c r="J17" i="9" s="1"/>
  <c r="J11" i="9"/>
  <c r="I11" i="9"/>
  <c r="H19" i="9"/>
  <c r="G19" i="9"/>
  <c r="H17" i="9"/>
  <c r="G17" i="9"/>
  <c r="H11" i="9"/>
  <c r="G11" i="9"/>
  <c r="E10" i="9"/>
  <c r="E11" i="9"/>
  <c r="E15" i="9"/>
  <c r="E17" i="9"/>
  <c r="E19" i="9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B17" i="5"/>
  <c r="A10" i="5"/>
  <c r="A11" i="5" s="1"/>
  <c r="A12" i="5" s="1"/>
  <c r="A13" i="5" s="1"/>
  <c r="A14" i="5" s="1"/>
  <c r="R35" i="5" l="1"/>
  <c r="D35" i="3" s="1"/>
  <c r="L59" i="5"/>
  <c r="V195" i="2" l="1"/>
  <c r="T194" i="2"/>
  <c r="U193" i="2"/>
  <c r="T193" i="2"/>
  <c r="S193" i="2"/>
  <c r="Q193" i="2"/>
  <c r="P193" i="2"/>
  <c r="AP192" i="2"/>
  <c r="AP191" i="2"/>
  <c r="BE190" i="2"/>
  <c r="BD189" i="2"/>
  <c r="AS188" i="2"/>
  <c r="AS187" i="2"/>
  <c r="BC186" i="2"/>
  <c r="BB185" i="2"/>
  <c r="BA183" i="2"/>
  <c r="AY182" i="2"/>
  <c r="AX180" i="2"/>
  <c r="AX179" i="2"/>
  <c r="AX178" i="2"/>
  <c r="AX177" i="2"/>
  <c r="AX176" i="2"/>
  <c r="AX175" i="2"/>
  <c r="AX174" i="2"/>
  <c r="AX173" i="2"/>
  <c r="AX172" i="2"/>
  <c r="AW171" i="2"/>
  <c r="AZ170" i="2"/>
  <c r="AO169" i="2"/>
  <c r="AV166" i="2"/>
  <c r="AU165" i="2"/>
  <c r="AU163" i="2"/>
  <c r="AU162" i="2"/>
  <c r="AT161" i="2"/>
  <c r="AS159" i="2"/>
  <c r="AS158" i="2"/>
  <c r="AR156" i="2"/>
  <c r="AI157" i="2"/>
  <c r="AI155" i="2"/>
  <c r="AQ154" i="2"/>
  <c r="AP153" i="2"/>
  <c r="AO151" i="2"/>
  <c r="AN150" i="2"/>
  <c r="AM149" i="2"/>
  <c r="AK148" i="2"/>
  <c r="AL147" i="2"/>
  <c r="AL146" i="2"/>
  <c r="AJ145" i="2"/>
  <c r="AI144" i="2"/>
  <c r="AI143" i="2"/>
  <c r="AH142" i="2"/>
  <c r="AG141" i="2"/>
  <c r="AF140" i="2"/>
  <c r="AF139" i="2"/>
  <c r="AF138" i="2"/>
  <c r="AF137" i="2"/>
  <c r="AE134" i="2"/>
  <c r="AE133" i="2"/>
  <c r="AE132" i="2"/>
  <c r="AE131" i="2"/>
  <c r="AD130" i="2"/>
  <c r="AD129" i="2"/>
  <c r="AD128" i="2"/>
  <c r="AD127" i="2"/>
  <c r="AD126" i="2"/>
  <c r="AD125" i="2"/>
  <c r="Z124" i="2"/>
  <c r="AC123" i="2"/>
  <c r="AC122" i="2"/>
  <c r="AC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A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Y91" i="2"/>
  <c r="Y90" i="2"/>
  <c r="Y89" i="2"/>
  <c r="Y88" i="2"/>
  <c r="Y87" i="2"/>
  <c r="Y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W71" i="2"/>
  <c r="W70" i="2"/>
  <c r="W69" i="2"/>
  <c r="W68" i="2"/>
  <c r="W67" i="2"/>
  <c r="V66" i="2"/>
  <c r="V65" i="2"/>
  <c r="V64" i="2"/>
  <c r="V63" i="2"/>
  <c r="V62" i="2"/>
  <c r="T57" i="2"/>
  <c r="S55" i="2"/>
  <c r="R54" i="2"/>
  <c r="R53" i="2"/>
  <c r="R52" i="2"/>
  <c r="R51" i="2"/>
  <c r="Q50" i="2"/>
  <c r="P49" i="2"/>
  <c r="O48" i="2"/>
  <c r="N47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Q23" i="2"/>
  <c r="P22" i="2"/>
  <c r="O21" i="2"/>
  <c r="N20" i="2"/>
  <c r="R19" i="2"/>
  <c r="R18" i="2"/>
  <c r="Q17" i="2"/>
  <c r="P16" i="2"/>
  <c r="O15" i="2"/>
  <c r="N14" i="2"/>
  <c r="R13" i="2"/>
  <c r="R12" i="2"/>
  <c r="R11" i="2"/>
  <c r="R10" i="2"/>
  <c r="Q9" i="2"/>
  <c r="P8" i="2"/>
  <c r="O7" i="2"/>
  <c r="N6" i="2"/>
  <c r="L195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K126" i="2"/>
  <c r="J129" i="2"/>
  <c r="J193" i="2" s="1"/>
  <c r="J126" i="2"/>
  <c r="K193" i="2" l="1"/>
  <c r="C33" i="3"/>
  <c r="C34" i="3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33" i="3"/>
  <c r="K33" i="5" l="1"/>
  <c r="J31" i="3"/>
  <c r="R33" i="5" l="1"/>
  <c r="D33" i="3" s="1"/>
  <c r="E33" i="3" s="1"/>
  <c r="K59" i="5"/>
  <c r="E54" i="3"/>
  <c r="J33" i="3" l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10" i="3"/>
  <c r="A11" i="3" s="1"/>
  <c r="A12" i="3" s="1"/>
  <c r="A13" i="3" s="1"/>
  <c r="A14" i="3" s="1"/>
  <c r="A30" i="3" l="1"/>
  <c r="A31" i="3" s="1"/>
  <c r="A32" i="3" s="1"/>
  <c r="C60" i="2"/>
  <c r="B17" i="3" l="1"/>
  <c r="B193" i="2"/>
  <c r="G193" i="2"/>
  <c r="I190" i="2"/>
  <c r="BE193" i="2" s="1"/>
  <c r="C56" i="3" s="1"/>
  <c r="E56" i="3" s="1"/>
  <c r="I188" i="2"/>
  <c r="I174" i="2"/>
  <c r="I172" i="2"/>
  <c r="I171" i="2"/>
  <c r="AW193" i="2" s="1"/>
  <c r="C47" i="3" s="1"/>
  <c r="E47" i="3" s="1"/>
  <c r="I158" i="2"/>
  <c r="I156" i="2"/>
  <c r="AR193" i="2" s="1"/>
  <c r="C40" i="3" s="1"/>
  <c r="E40" i="3" s="1"/>
  <c r="I155" i="2"/>
  <c r="I142" i="2"/>
  <c r="AH193" i="2" s="1"/>
  <c r="C31" i="3" s="1"/>
  <c r="E31" i="3" s="1"/>
  <c r="I140" i="2"/>
  <c r="I139" i="2"/>
  <c r="I126" i="2"/>
  <c r="I123" i="2"/>
  <c r="I122" i="2"/>
  <c r="I110" i="2"/>
  <c r="I108" i="2"/>
  <c r="I107" i="2"/>
  <c r="I106" i="2"/>
  <c r="I94" i="2"/>
  <c r="I92" i="2"/>
  <c r="I91" i="2"/>
  <c r="I90" i="2"/>
  <c r="I78" i="2"/>
  <c r="I76" i="2"/>
  <c r="I75" i="2"/>
  <c r="I74" i="2"/>
  <c r="I62" i="2"/>
  <c r="I56" i="2"/>
  <c r="I55" i="2"/>
  <c r="S58" i="2" s="1"/>
  <c r="C13" i="3" s="1"/>
  <c r="E13" i="3" s="1"/>
  <c r="J13" i="3" s="1"/>
  <c r="I54" i="2"/>
  <c r="I42" i="2"/>
  <c r="I40" i="2"/>
  <c r="I39" i="2"/>
  <c r="I38" i="2"/>
  <c r="I26" i="2"/>
  <c r="I24" i="2"/>
  <c r="I23" i="2"/>
  <c r="I22" i="2"/>
  <c r="I10" i="2"/>
  <c r="I8" i="2"/>
  <c r="I7" i="2"/>
  <c r="I6" i="2"/>
  <c r="E192" i="2"/>
  <c r="I192" i="2" s="1"/>
  <c r="C58" i="3" s="1"/>
  <c r="E191" i="2"/>
  <c r="I191" i="2" s="1"/>
  <c r="C57" i="3" s="1"/>
  <c r="E190" i="2"/>
  <c r="E189" i="2"/>
  <c r="I189" i="2" s="1"/>
  <c r="BD193" i="2" s="1"/>
  <c r="C55" i="3" s="1"/>
  <c r="E55" i="3" s="1"/>
  <c r="E188" i="2"/>
  <c r="E187" i="2"/>
  <c r="I187" i="2" s="1"/>
  <c r="E186" i="2"/>
  <c r="I186" i="2" s="1"/>
  <c r="BC193" i="2" s="1"/>
  <c r="C52" i="3" s="1"/>
  <c r="E52" i="3" s="1"/>
  <c r="E185" i="2"/>
  <c r="I185" i="2" s="1"/>
  <c r="BB193" i="2" s="1"/>
  <c r="C51" i="3" s="1"/>
  <c r="E51" i="3" s="1"/>
  <c r="E184" i="2"/>
  <c r="I184" i="2" s="1"/>
  <c r="E183" i="2"/>
  <c r="I183" i="2" s="1"/>
  <c r="BA193" i="2" s="1"/>
  <c r="C50" i="3" s="1"/>
  <c r="E50" i="3" s="1"/>
  <c r="E182" i="2"/>
  <c r="I182" i="2" s="1"/>
  <c r="AY193" i="2" s="1"/>
  <c r="C49" i="3" s="1"/>
  <c r="E49" i="3" s="1"/>
  <c r="E181" i="2"/>
  <c r="I181" i="2" s="1"/>
  <c r="AO181" i="2" s="1"/>
  <c r="E180" i="2"/>
  <c r="I180" i="2" s="1"/>
  <c r="E179" i="2"/>
  <c r="I179" i="2" s="1"/>
  <c r="E177" i="2"/>
  <c r="I177" i="2" s="1"/>
  <c r="E176" i="2"/>
  <c r="I176" i="2" s="1"/>
  <c r="E175" i="2"/>
  <c r="I175" i="2" s="1"/>
  <c r="E174" i="2"/>
  <c r="E173" i="2"/>
  <c r="I173" i="2" s="1"/>
  <c r="E172" i="2"/>
  <c r="E171" i="2"/>
  <c r="E170" i="2"/>
  <c r="I170" i="2" s="1"/>
  <c r="AZ193" i="2" s="1"/>
  <c r="C46" i="3" s="1"/>
  <c r="E46" i="3" s="1"/>
  <c r="E169" i="2"/>
  <c r="I169" i="2" s="1"/>
  <c r="E168" i="2"/>
  <c r="I168" i="2" s="1"/>
  <c r="AO168" i="2" s="1"/>
  <c r="E167" i="2"/>
  <c r="I167" i="2" s="1"/>
  <c r="AP167" i="2" s="1"/>
  <c r="E166" i="2"/>
  <c r="I166" i="2" s="1"/>
  <c r="AV193" i="2" s="1"/>
  <c r="C44" i="3" s="1"/>
  <c r="E44" i="3" s="1"/>
  <c r="E165" i="2"/>
  <c r="I165" i="2" s="1"/>
  <c r="E164" i="2"/>
  <c r="I164" i="2" s="1"/>
  <c r="AI164" i="2" s="1"/>
  <c r="E163" i="2"/>
  <c r="I163" i="2" s="1"/>
  <c r="E162" i="2"/>
  <c r="I162" i="2" s="1"/>
  <c r="AU193" i="2" s="1"/>
  <c r="C43" i="3" s="1"/>
  <c r="E43" i="3" s="1"/>
  <c r="E161" i="2"/>
  <c r="I161" i="2" s="1"/>
  <c r="AT193" i="2" s="1"/>
  <c r="C42" i="3" s="1"/>
  <c r="E42" i="3" s="1"/>
  <c r="E160" i="2"/>
  <c r="I160" i="2" s="1"/>
  <c r="AA160" i="2" s="1"/>
  <c r="E159" i="2"/>
  <c r="I159" i="2" s="1"/>
  <c r="E158" i="2"/>
  <c r="E157" i="2"/>
  <c r="I157" i="2" s="1"/>
  <c r="E156" i="2"/>
  <c r="E155" i="2"/>
  <c r="E154" i="2"/>
  <c r="I154" i="2" s="1"/>
  <c r="AQ193" i="2" s="1"/>
  <c r="C39" i="3" s="1"/>
  <c r="E153" i="2"/>
  <c r="I153" i="2" s="1"/>
  <c r="E152" i="2"/>
  <c r="I152" i="2" s="1"/>
  <c r="E151" i="2"/>
  <c r="I151" i="2" s="1"/>
  <c r="E150" i="2"/>
  <c r="I150" i="2" s="1"/>
  <c r="AN193" i="2" s="1"/>
  <c r="C37" i="3" s="1"/>
  <c r="E149" i="2"/>
  <c r="I149" i="2" s="1"/>
  <c r="AM193" i="2" s="1"/>
  <c r="C36" i="3" s="1"/>
  <c r="E36" i="3" s="1"/>
  <c r="E148" i="2"/>
  <c r="I148" i="2" s="1"/>
  <c r="AK193" i="2" s="1"/>
  <c r="C35" i="3" s="1"/>
  <c r="E147" i="2"/>
  <c r="I147" i="2" s="1"/>
  <c r="E146" i="2"/>
  <c r="I146" i="2" s="1"/>
  <c r="AL193" i="2" s="1"/>
  <c r="E145" i="2"/>
  <c r="I145" i="2" s="1"/>
  <c r="AJ193" i="2" s="1"/>
  <c r="C32" i="3" s="1"/>
  <c r="E32" i="3" s="1"/>
  <c r="E144" i="2"/>
  <c r="I144" i="2" s="1"/>
  <c r="E143" i="2"/>
  <c r="I143" i="2" s="1"/>
  <c r="E142" i="2"/>
  <c r="E141" i="2"/>
  <c r="I141" i="2" s="1"/>
  <c r="AG193" i="2" s="1"/>
  <c r="C30" i="3" s="1"/>
  <c r="E30" i="3" s="1"/>
  <c r="E140" i="2"/>
  <c r="E139" i="2"/>
  <c r="E138" i="2"/>
  <c r="I138" i="2" s="1"/>
  <c r="E137" i="2"/>
  <c r="I137" i="2" s="1"/>
  <c r="E136" i="2"/>
  <c r="I136" i="2" s="1"/>
  <c r="Z136" i="2" s="1"/>
  <c r="E135" i="2"/>
  <c r="I135" i="2" s="1"/>
  <c r="AA135" i="2" s="1"/>
  <c r="E134" i="2"/>
  <c r="I134" i="2" s="1"/>
  <c r="E133" i="2"/>
  <c r="I133" i="2" s="1"/>
  <c r="E132" i="2"/>
  <c r="I132" i="2" s="1"/>
  <c r="E131" i="2"/>
  <c r="I131" i="2" s="1"/>
  <c r="E130" i="2"/>
  <c r="I130" i="2" s="1"/>
  <c r="E129" i="2"/>
  <c r="I129" i="2" s="1"/>
  <c r="E128" i="2"/>
  <c r="I128" i="2" s="1"/>
  <c r="E127" i="2"/>
  <c r="I127" i="2" s="1"/>
  <c r="E126" i="2"/>
  <c r="E125" i="2"/>
  <c r="I125" i="2" s="1"/>
  <c r="E123" i="2"/>
  <c r="E122" i="2"/>
  <c r="E121" i="2"/>
  <c r="I121" i="2" s="1"/>
  <c r="E120" i="2"/>
  <c r="I120" i="2" s="1"/>
  <c r="E119" i="2"/>
  <c r="I119" i="2" s="1"/>
  <c r="E118" i="2"/>
  <c r="I118" i="2" s="1"/>
  <c r="E117" i="2"/>
  <c r="I117" i="2" s="1"/>
  <c r="E116" i="2"/>
  <c r="I116" i="2" s="1"/>
  <c r="E115" i="2"/>
  <c r="I115" i="2" s="1"/>
  <c r="E114" i="2"/>
  <c r="I114" i="2" s="1"/>
  <c r="E113" i="2"/>
  <c r="I113" i="2" s="1"/>
  <c r="E112" i="2"/>
  <c r="I112" i="2" s="1"/>
  <c r="E111" i="2"/>
  <c r="I111" i="2" s="1"/>
  <c r="E110" i="2"/>
  <c r="E109" i="2"/>
  <c r="I109" i="2" s="1"/>
  <c r="E108" i="2"/>
  <c r="E107" i="2"/>
  <c r="E106" i="2"/>
  <c r="E105" i="2"/>
  <c r="I105" i="2" s="1"/>
  <c r="E104" i="2"/>
  <c r="I104" i="2" s="1"/>
  <c r="E103" i="2"/>
  <c r="I103" i="2" s="1"/>
  <c r="E102" i="2"/>
  <c r="I102" i="2" s="1"/>
  <c r="E101" i="2"/>
  <c r="I101" i="2" s="1"/>
  <c r="E100" i="2"/>
  <c r="I100" i="2" s="1"/>
  <c r="E99" i="2"/>
  <c r="I99" i="2" s="1"/>
  <c r="E98" i="2"/>
  <c r="I98" i="2" s="1"/>
  <c r="E97" i="2"/>
  <c r="I97" i="2" s="1"/>
  <c r="E96" i="2"/>
  <c r="I96" i="2" s="1"/>
  <c r="E95" i="2"/>
  <c r="I95" i="2" s="1"/>
  <c r="E94" i="2"/>
  <c r="E93" i="2"/>
  <c r="I93" i="2" s="1"/>
  <c r="E92" i="2"/>
  <c r="E91" i="2"/>
  <c r="E90" i="2"/>
  <c r="E89" i="2"/>
  <c r="I89" i="2" s="1"/>
  <c r="E88" i="2"/>
  <c r="I88" i="2" s="1"/>
  <c r="E87" i="2"/>
  <c r="I87" i="2" s="1"/>
  <c r="E86" i="2"/>
  <c r="I86" i="2" s="1"/>
  <c r="Y193" i="2" s="1"/>
  <c r="C22" i="3" s="1"/>
  <c r="E22" i="3" s="1"/>
  <c r="E85" i="2"/>
  <c r="I85" i="2" s="1"/>
  <c r="E84" i="2"/>
  <c r="I84" i="2" s="1"/>
  <c r="E83" i="2"/>
  <c r="I83" i="2" s="1"/>
  <c r="E82" i="2"/>
  <c r="I82" i="2" s="1"/>
  <c r="E81" i="2"/>
  <c r="I81" i="2" s="1"/>
  <c r="E80" i="2"/>
  <c r="I80" i="2" s="1"/>
  <c r="E79" i="2"/>
  <c r="I79" i="2" s="1"/>
  <c r="E78" i="2"/>
  <c r="E77" i="2"/>
  <c r="I77" i="2" s="1"/>
  <c r="E76" i="2"/>
  <c r="E75" i="2"/>
  <c r="E74" i="2"/>
  <c r="E73" i="2"/>
  <c r="I73" i="2" s="1"/>
  <c r="E72" i="2"/>
  <c r="I72" i="2" s="1"/>
  <c r="E71" i="2"/>
  <c r="I71" i="2" s="1"/>
  <c r="E70" i="2"/>
  <c r="I70" i="2" s="1"/>
  <c r="E69" i="2"/>
  <c r="I69" i="2" s="1"/>
  <c r="E68" i="2"/>
  <c r="I68" i="2" s="1"/>
  <c r="E67" i="2"/>
  <c r="I67" i="2" s="1"/>
  <c r="E66" i="2"/>
  <c r="I66" i="2" s="1"/>
  <c r="E65" i="2"/>
  <c r="I65" i="2" s="1"/>
  <c r="E64" i="2"/>
  <c r="I64" i="2" s="1"/>
  <c r="E63" i="2"/>
  <c r="I63" i="2" s="1"/>
  <c r="E62" i="2"/>
  <c r="E57" i="2"/>
  <c r="I57" i="2" s="1"/>
  <c r="T58" i="2" s="1"/>
  <c r="C14" i="3" s="1"/>
  <c r="E14" i="3" s="1"/>
  <c r="J14" i="3" s="1"/>
  <c r="E56" i="2"/>
  <c r="E55" i="2"/>
  <c r="E54" i="2"/>
  <c r="E53" i="2"/>
  <c r="I53" i="2" s="1"/>
  <c r="E52" i="2"/>
  <c r="I52" i="2" s="1"/>
  <c r="E51" i="2"/>
  <c r="I51" i="2" s="1"/>
  <c r="E50" i="2"/>
  <c r="I50" i="2" s="1"/>
  <c r="E49" i="2"/>
  <c r="I49" i="2" s="1"/>
  <c r="E48" i="2"/>
  <c r="I48" i="2" s="1"/>
  <c r="E47" i="2"/>
  <c r="I47" i="2" s="1"/>
  <c r="E46" i="2"/>
  <c r="I46" i="2" s="1"/>
  <c r="E45" i="2"/>
  <c r="I45" i="2" s="1"/>
  <c r="E44" i="2"/>
  <c r="I44" i="2" s="1"/>
  <c r="E43" i="2"/>
  <c r="I43" i="2" s="1"/>
  <c r="E42" i="2"/>
  <c r="E41" i="2"/>
  <c r="I41" i="2" s="1"/>
  <c r="E40" i="2"/>
  <c r="E39" i="2"/>
  <c r="E38" i="2"/>
  <c r="E37" i="2"/>
  <c r="I37" i="2" s="1"/>
  <c r="E36" i="2"/>
  <c r="I36" i="2" s="1"/>
  <c r="E35" i="2"/>
  <c r="I35" i="2" s="1"/>
  <c r="E34" i="2"/>
  <c r="I34" i="2" s="1"/>
  <c r="E33" i="2"/>
  <c r="I33" i="2" s="1"/>
  <c r="E32" i="2"/>
  <c r="I32" i="2" s="1"/>
  <c r="E31" i="2"/>
  <c r="I31" i="2" s="1"/>
  <c r="E30" i="2"/>
  <c r="I30" i="2" s="1"/>
  <c r="E29" i="2"/>
  <c r="I29" i="2" s="1"/>
  <c r="E28" i="2"/>
  <c r="I28" i="2" s="1"/>
  <c r="E27" i="2"/>
  <c r="I27" i="2" s="1"/>
  <c r="E26" i="2"/>
  <c r="E25" i="2"/>
  <c r="I25" i="2" s="1"/>
  <c r="E24" i="2"/>
  <c r="E23" i="2"/>
  <c r="E22" i="2"/>
  <c r="E21" i="2"/>
  <c r="I21" i="2" s="1"/>
  <c r="E20" i="2"/>
  <c r="I20" i="2" s="1"/>
  <c r="E19" i="2"/>
  <c r="I19" i="2" s="1"/>
  <c r="E18" i="2"/>
  <c r="I18" i="2" s="1"/>
  <c r="E17" i="2"/>
  <c r="I17" i="2" s="1"/>
  <c r="E16" i="2"/>
  <c r="I16" i="2" s="1"/>
  <c r="E15" i="2"/>
  <c r="I15" i="2" s="1"/>
  <c r="E14" i="2"/>
  <c r="I14" i="2" s="1"/>
  <c r="E13" i="2"/>
  <c r="I13" i="2" s="1"/>
  <c r="E12" i="2"/>
  <c r="I12" i="2" s="1"/>
  <c r="E11" i="2"/>
  <c r="I11" i="2" s="1"/>
  <c r="E10" i="2"/>
  <c r="E9" i="2"/>
  <c r="I9" i="2" s="1"/>
  <c r="E8" i="2"/>
  <c r="E7" i="2"/>
  <c r="E6" i="2"/>
  <c r="F37" i="5" l="1"/>
  <c r="D58" i="5"/>
  <c r="P39" i="5"/>
  <c r="C57" i="5"/>
  <c r="J32" i="3"/>
  <c r="J42" i="3"/>
  <c r="J30" i="3"/>
  <c r="J47" i="3"/>
  <c r="J56" i="3"/>
  <c r="J40" i="3"/>
  <c r="J55" i="3"/>
  <c r="E34" i="3"/>
  <c r="E35" i="3"/>
  <c r="J36" i="3"/>
  <c r="J46" i="3"/>
  <c r="AE193" i="2"/>
  <c r="C28" i="3" s="1"/>
  <c r="E28" i="3" s="1"/>
  <c r="R58" i="2"/>
  <c r="C12" i="3" s="1"/>
  <c r="E12" i="3" s="1"/>
  <c r="J12" i="3" s="1"/>
  <c r="J15" i="3" s="1"/>
  <c r="W193" i="2"/>
  <c r="C20" i="3" s="1"/>
  <c r="E20" i="3" s="1"/>
  <c r="J44" i="3"/>
  <c r="J49" i="3"/>
  <c r="J22" i="3"/>
  <c r="N58" i="2"/>
  <c r="C8" i="3" s="1"/>
  <c r="J52" i="3"/>
  <c r="O58" i="2"/>
  <c r="C9" i="3" s="1"/>
  <c r="E9" i="3" s="1"/>
  <c r="I9" i="3" s="1"/>
  <c r="AA193" i="2"/>
  <c r="C24" i="3" s="1"/>
  <c r="E24" i="3" s="1"/>
  <c r="X193" i="2"/>
  <c r="C21" i="3" s="1"/>
  <c r="E21" i="3" s="1"/>
  <c r="AC193" i="2"/>
  <c r="C26" i="3" s="1"/>
  <c r="E26" i="3" s="1"/>
  <c r="AS193" i="2"/>
  <c r="C53" i="3" s="1"/>
  <c r="E53" i="3" s="1"/>
  <c r="V193" i="2"/>
  <c r="AD193" i="2"/>
  <c r="C27" i="3" s="1"/>
  <c r="E27" i="3" s="1"/>
  <c r="P58" i="2"/>
  <c r="C10" i="3" s="1"/>
  <c r="E10" i="3" s="1"/>
  <c r="I10" i="3" s="1"/>
  <c r="J51" i="3"/>
  <c r="Q58" i="2"/>
  <c r="C11" i="3" s="1"/>
  <c r="E11" i="3" s="1"/>
  <c r="I11" i="3" s="1"/>
  <c r="AF193" i="2"/>
  <c r="C29" i="3" s="1"/>
  <c r="E29" i="3" s="1"/>
  <c r="C38" i="3"/>
  <c r="E38" i="5" s="1"/>
  <c r="AP193" i="2"/>
  <c r="AB193" i="2"/>
  <c r="C25" i="3" s="1"/>
  <c r="E25" i="3" s="1"/>
  <c r="AI193" i="2"/>
  <c r="C41" i="3" s="1"/>
  <c r="E41" i="3" s="1"/>
  <c r="AO193" i="2"/>
  <c r="C45" i="3" s="1"/>
  <c r="E45" i="3" s="1"/>
  <c r="I58" i="2"/>
  <c r="C178" i="2"/>
  <c r="E178" i="2" s="1"/>
  <c r="I178" i="2" s="1"/>
  <c r="AX193" i="2" s="1"/>
  <c r="C48" i="3" s="1"/>
  <c r="E48" i="3" s="1"/>
  <c r="C124" i="2"/>
  <c r="R58" i="5" l="1"/>
  <c r="D58" i="3" s="1"/>
  <c r="E58" i="3" s="1"/>
  <c r="D59" i="5"/>
  <c r="R38" i="5"/>
  <c r="D38" i="3" s="1"/>
  <c r="E38" i="3" s="1"/>
  <c r="E59" i="5"/>
  <c r="R39" i="5"/>
  <c r="D39" i="3" s="1"/>
  <c r="E39" i="3" s="1"/>
  <c r="G39" i="3" s="1"/>
  <c r="L39" i="3" s="1"/>
  <c r="P59" i="5"/>
  <c r="F59" i="5"/>
  <c r="R37" i="5"/>
  <c r="D37" i="3" s="1"/>
  <c r="E37" i="3" s="1"/>
  <c r="R57" i="5"/>
  <c r="D57" i="3" s="1"/>
  <c r="E57" i="3" s="1"/>
  <c r="C59" i="5"/>
  <c r="J35" i="3"/>
  <c r="J34" i="3"/>
  <c r="J48" i="3"/>
  <c r="I25" i="3"/>
  <c r="J25" i="3"/>
  <c r="J29" i="3"/>
  <c r="J21" i="3"/>
  <c r="C19" i="3"/>
  <c r="J53" i="3"/>
  <c r="J26" i="3"/>
  <c r="J24" i="3"/>
  <c r="J28" i="3"/>
  <c r="J45" i="3"/>
  <c r="E124" i="2"/>
  <c r="C193" i="2"/>
  <c r="J41" i="3"/>
  <c r="J20" i="3"/>
  <c r="T59" i="2"/>
  <c r="S59" i="2"/>
  <c r="P59" i="2"/>
  <c r="Q59" i="2"/>
  <c r="E8" i="3"/>
  <c r="C15" i="3"/>
  <c r="N59" i="2"/>
  <c r="N193" i="2" s="1"/>
  <c r="N196" i="2" s="1"/>
  <c r="R59" i="2"/>
  <c r="R193" i="2" s="1"/>
  <c r="O59" i="2"/>
  <c r="O193" i="2" s="1"/>
  <c r="M193" i="2"/>
  <c r="G58" i="2"/>
  <c r="G195" i="2" s="1"/>
  <c r="E58" i="2"/>
  <c r="B58" i="2"/>
  <c r="B195" i="2" s="1"/>
  <c r="C58" i="2"/>
  <c r="C195" i="2" s="1"/>
  <c r="R59" i="5" l="1"/>
  <c r="D59" i="3"/>
  <c r="D61" i="3" s="1"/>
  <c r="J37" i="3"/>
  <c r="E19" i="3"/>
  <c r="I124" i="2"/>
  <c r="E193" i="2"/>
  <c r="E195" i="2" s="1"/>
  <c r="I8" i="3"/>
  <c r="I15" i="3" s="1"/>
  <c r="E15" i="3"/>
  <c r="Z193" i="2" l="1"/>
  <c r="I193" i="2"/>
  <c r="I195" i="2" s="1"/>
  <c r="J19" i="3"/>
  <c r="I17" i="3"/>
  <c r="J17" i="3"/>
  <c r="J50" i="3" l="1"/>
  <c r="F12" i="4"/>
  <c r="D12" i="4"/>
  <c r="C23" i="3"/>
  <c r="V194" i="2"/>
  <c r="E23" i="3" l="1"/>
  <c r="C59" i="3"/>
  <c r="I59" i="3" l="1"/>
  <c r="I62" i="3" s="1"/>
  <c r="J23" i="3"/>
  <c r="J59" i="3" s="1"/>
  <c r="J61" i="3" s="1"/>
  <c r="E59" i="3"/>
  <c r="G59" i="3" s="1"/>
  <c r="C65" i="3"/>
  <c r="C61" i="3"/>
  <c r="G62" i="3" l="1"/>
  <c r="G61" i="3"/>
  <c r="E61" i="3"/>
  <c r="E62" i="3"/>
  <c r="I66" i="3"/>
  <c r="I61" i="3"/>
  <c r="I68" i="3" l="1"/>
  <c r="K8" i="3" l="1"/>
  <c r="L8" i="3" s="1"/>
  <c r="K11" i="3" l="1"/>
  <c r="L11" i="3" l="1"/>
  <c r="L15" i="3" s="1"/>
  <c r="K15" i="3"/>
  <c r="K50" i="3" s="1"/>
  <c r="K59" i="3" l="1"/>
  <c r="K61" i="3" s="1"/>
  <c r="L50" i="3"/>
  <c r="L59" i="3" s="1"/>
  <c r="L62" i="3" l="1"/>
  <c r="L61" i="3"/>
</calcChain>
</file>

<file path=xl/comments1.xml><?xml version="1.0" encoding="utf-8"?>
<comments xmlns="http://schemas.openxmlformats.org/spreadsheetml/2006/main">
  <authors>
    <author>Weldon</author>
  </authors>
  <commentList>
    <comment ref="T72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One year prospective depreciation</t>
        </r>
      </text>
    </comment>
    <comment ref="AE72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Average Investment adjusted to eliminate beg &amp; end average
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One year prospective depreciation</t>
        </r>
      </text>
    </comment>
    <comment ref="AE75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Average Investment adjusted to eliminate beg &amp; end average</t>
        </r>
      </text>
    </comment>
    <comment ref="T171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One year prospective depreciation</t>
        </r>
      </text>
    </comment>
    <comment ref="AE171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Average Investment adjusted to eliminate beg &amp; end average</t>
        </r>
      </text>
    </comment>
    <comment ref="T172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One year prospective depreciation</t>
        </r>
      </text>
    </comment>
    <comment ref="AE172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Average Investment adjusted to eliminate beg &amp; end average</t>
        </r>
      </text>
    </comment>
    <comment ref="T234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One year prospective depreciation</t>
        </r>
      </text>
    </comment>
    <comment ref="AE234" authorId="0" shapeId="0">
      <text>
        <r>
          <rPr>
            <b/>
            <sz val="9"/>
            <color indexed="81"/>
            <rFont val="Tahoma"/>
            <family val="2"/>
          </rPr>
          <t>Weldon:</t>
        </r>
        <r>
          <rPr>
            <sz val="9"/>
            <color indexed="81"/>
            <rFont val="Tahoma"/>
            <family val="2"/>
          </rPr>
          <t xml:space="preserve">
Average Investment adjusted to eliminate beg &amp; end average</t>
        </r>
      </text>
    </comment>
  </commentList>
</comments>
</file>

<file path=xl/sharedStrings.xml><?xml version="1.0" encoding="utf-8"?>
<sst xmlns="http://schemas.openxmlformats.org/spreadsheetml/2006/main" count="2550" uniqueCount="801">
  <si>
    <t/>
  </si>
  <si>
    <t>Net Income</t>
  </si>
  <si>
    <t>Revenues</t>
  </si>
  <si>
    <t>Sales - Anacortes</t>
  </si>
  <si>
    <t>Freight-Anacortes</t>
  </si>
  <si>
    <t>Freight Deckhand-Anacortes</t>
  </si>
  <si>
    <t>Tariff Deckhand-Anacortes</t>
  </si>
  <si>
    <t>Crane - Anacortes</t>
  </si>
  <si>
    <t>Forklift - Anacortes</t>
  </si>
  <si>
    <t>Port Charges - Anacortes</t>
  </si>
  <si>
    <t>Dumpster - Anacortes</t>
  </si>
  <si>
    <t>Sales - Port Angeles</t>
  </si>
  <si>
    <t>Freight-Port Angeles</t>
  </si>
  <si>
    <t>Freight Deckhand-PA</t>
  </si>
  <si>
    <t>Tariff Deckhand-PA</t>
  </si>
  <si>
    <t>Barge Rental</t>
  </si>
  <si>
    <t>Sales - Non-Regulated</t>
  </si>
  <si>
    <t>Sales - Seattle</t>
  </si>
  <si>
    <t>Freight-Seattle</t>
  </si>
  <si>
    <t>Freight Deckhand-Seattle</t>
  </si>
  <si>
    <t>Tariff Deckhand-Seattle</t>
  </si>
  <si>
    <t>Crane - Seattle</t>
  </si>
  <si>
    <t>Forklift - Seattle</t>
  </si>
  <si>
    <t>Port Charges - Seattle</t>
  </si>
  <si>
    <t>Dumpster - Seattle</t>
  </si>
  <si>
    <t>Sales - Warrior</t>
  </si>
  <si>
    <t>Freight Deckhand-WARRIOR</t>
  </si>
  <si>
    <t>Crane - Warrior</t>
  </si>
  <si>
    <t>Forklift - Warrior</t>
  </si>
  <si>
    <t>Port Charges - Warrior</t>
  </si>
  <si>
    <t>Dumpster - Warrior</t>
  </si>
  <si>
    <t>Crane - Port Angeles</t>
  </si>
  <si>
    <t>Forklift - Port Angeles</t>
  </si>
  <si>
    <t>Port Charges - Port Angeles</t>
  </si>
  <si>
    <t>Dumpster - Port Angeles</t>
  </si>
  <si>
    <t>Customs Fees</t>
  </si>
  <si>
    <t>Sales - Motega</t>
  </si>
  <si>
    <t>Freight Deckhand - Motega</t>
  </si>
  <si>
    <t>Crane - Motega</t>
  </si>
  <si>
    <t>Forklift - Motega</t>
  </si>
  <si>
    <t>Port Charges - Motega</t>
  </si>
  <si>
    <t>Dumpster - Motega</t>
  </si>
  <si>
    <t>Sales-Motega Personnel</t>
  </si>
  <si>
    <t>Sales-Motega Personnel DH</t>
  </si>
  <si>
    <t>Sales - Tacoma</t>
  </si>
  <si>
    <t>Freight-Tacoma</t>
  </si>
  <si>
    <t>Freight Deckhand-Tacoma</t>
  </si>
  <si>
    <t>Tariff Deckhand-Tacoma</t>
  </si>
  <si>
    <t>Crane - Tacoma</t>
  </si>
  <si>
    <t>Forklift - Tacoma</t>
  </si>
  <si>
    <t>Port Charges - Tacoma</t>
  </si>
  <si>
    <t>Dumpster - Tacoma</t>
  </si>
  <si>
    <t>Finance Charge Income</t>
  </si>
  <si>
    <t>Delivery Fee Income</t>
  </si>
  <si>
    <t>Miscellaneous Income</t>
  </si>
  <si>
    <t>Total Revenues</t>
  </si>
  <si>
    <t>Cost of Sales</t>
  </si>
  <si>
    <t>Security Costs- Anacortes</t>
  </si>
  <si>
    <t>Security Costs- Port Angeles</t>
  </si>
  <si>
    <t>Security Costs- Seattle</t>
  </si>
  <si>
    <t>Security Costs- Tacoma</t>
  </si>
  <si>
    <t>Port Charges- Anacortes</t>
  </si>
  <si>
    <t>Port Charges- Bellingham</t>
  </si>
  <si>
    <t>Port Charges- Port Angeles</t>
  </si>
  <si>
    <t>Port Charges- Seattle</t>
  </si>
  <si>
    <t>Port Charges Tacoma</t>
  </si>
  <si>
    <t>Boat Oil</t>
  </si>
  <si>
    <t>Boat Fuel- Strait Arrow</t>
  </si>
  <si>
    <t>Boat Fuel- Crow Arrow</t>
  </si>
  <si>
    <t>Boat Fuel- Sealth Arrow</t>
  </si>
  <si>
    <t>Boat Fuel- Sound Arrow</t>
  </si>
  <si>
    <t>Boat Fuel- Warrior</t>
  </si>
  <si>
    <t>Boat Fuel- General</t>
  </si>
  <si>
    <t>Boat Fuel- Swift Arrow</t>
  </si>
  <si>
    <t>Boat Fuel - Pacific Arrow</t>
  </si>
  <si>
    <t>Boat Fuel- Sioux Arrow</t>
  </si>
  <si>
    <t>Boat Fuel - Chief Arrow</t>
  </si>
  <si>
    <t>Boat Fuel- Motega</t>
  </si>
  <si>
    <t>Boat Fuel- Cheyenne Arrow</t>
  </si>
  <si>
    <t>Boat Fuel - Brave Arrow</t>
  </si>
  <si>
    <t>Moorage Anacortes</t>
  </si>
  <si>
    <t>Moorage Bellingham</t>
  </si>
  <si>
    <t>Moorage Port Angeles</t>
  </si>
  <si>
    <t>Moorage Seattle</t>
  </si>
  <si>
    <t>Moorage General</t>
  </si>
  <si>
    <t>Moorage Tacoma</t>
  </si>
  <si>
    <t>Boat M &amp; R- Strait Arrow</t>
  </si>
  <si>
    <t>Boat M &amp; R- Crow Arrow</t>
  </si>
  <si>
    <t>Boat M &amp; R- Sealth Arrow</t>
  </si>
  <si>
    <t>Boat M &amp; R- Sound Arrow</t>
  </si>
  <si>
    <t>Boat M &amp; R- Warrior</t>
  </si>
  <si>
    <t>Bulk Fleet Purchases</t>
  </si>
  <si>
    <t>Boat M &amp; R- Swift Arrow</t>
  </si>
  <si>
    <t>Boat M &amp; R - Pacific Arrow</t>
  </si>
  <si>
    <t>Boat M &amp; R- Sioux Arrow</t>
  </si>
  <si>
    <t>Boat M &amp; R - Chief Arrow</t>
  </si>
  <si>
    <t>Boat M &amp; R- Barges</t>
  </si>
  <si>
    <t>Boat M &amp; R- Motega</t>
  </si>
  <si>
    <t>Boat M &amp; R- Cheyenne Arrow</t>
  </si>
  <si>
    <t>Boat M &amp; R - Brave Arrow</t>
  </si>
  <si>
    <t>Truck &amp; Transport-Port Angeles</t>
  </si>
  <si>
    <t>Boat Supplies- Strait Arrow</t>
  </si>
  <si>
    <t>Boat Supplies- Crow Arrow</t>
  </si>
  <si>
    <t>Boat Supplies- Sealth Arrow</t>
  </si>
  <si>
    <t>Boat Supplies- Sound Arrow</t>
  </si>
  <si>
    <t>Boat Supplies- Warrior</t>
  </si>
  <si>
    <t>Boat Supplies- General</t>
  </si>
  <si>
    <t>Boat Supplies- Swift Arrow</t>
  </si>
  <si>
    <t>Boat Supplies - Pacific Arrow</t>
  </si>
  <si>
    <t>Boat Supplies- Sioux Arrow</t>
  </si>
  <si>
    <t>Boat Supplies - Chief Arrow</t>
  </si>
  <si>
    <t>Boat Supplies- Barges</t>
  </si>
  <si>
    <t>Boat Supplies- Motega</t>
  </si>
  <si>
    <t>Boat Supplies- Cheyenne Arrow</t>
  </si>
  <si>
    <t>Boat Supplies - Brave Arrow</t>
  </si>
  <si>
    <t>Equipment Rental- Anacortes</t>
  </si>
  <si>
    <t>Equipment Rental- Port Angeles</t>
  </si>
  <si>
    <t>Equipment Rental- General</t>
  </si>
  <si>
    <t>Cust. Repair/Replace Anacortes</t>
  </si>
  <si>
    <t>Salaries/Wages Anacortes</t>
  </si>
  <si>
    <t>Salaries/Wages Port Angeles</t>
  </si>
  <si>
    <t>Salaries/Wages Seattle</t>
  </si>
  <si>
    <t>Salaries/Wages Warrior</t>
  </si>
  <si>
    <t>ATO</t>
  </si>
  <si>
    <t>Salaries/Wages Tacoma</t>
  </si>
  <si>
    <t>FICA General</t>
  </si>
  <si>
    <t>FUTA General</t>
  </si>
  <si>
    <t>SUTA General</t>
  </si>
  <si>
    <t>L &amp; I/ Industrial Insurance</t>
  </si>
  <si>
    <t>Subcontractors Port Angeles</t>
  </si>
  <si>
    <t>Shop/Boat Maint</t>
  </si>
  <si>
    <t>Sales/Pass-Thru Port Angeles</t>
  </si>
  <si>
    <t>Sales/Pass-Thru Seattle</t>
  </si>
  <si>
    <t>Sales/Pass-Thru Warrior</t>
  </si>
  <si>
    <t>Less Pass-Thru Chgs PA</t>
  </si>
  <si>
    <t>Officers Wages</t>
  </si>
  <si>
    <t>Office Wages/ Salaries</t>
  </si>
  <si>
    <t>IRA Match</t>
  </si>
  <si>
    <t>Fees</t>
  </si>
  <si>
    <t>Advertising</t>
  </si>
  <si>
    <t>Amortization</t>
  </si>
  <si>
    <t>Accountant</t>
  </si>
  <si>
    <t>Attorney</t>
  </si>
  <si>
    <t>Auto Expense</t>
  </si>
  <si>
    <t>Bad Debts</t>
  </si>
  <si>
    <t>Bank Service Charges</t>
  </si>
  <si>
    <t>Contributions</t>
  </si>
  <si>
    <t>Depreciation</t>
  </si>
  <si>
    <t>Drug Testing</t>
  </si>
  <si>
    <t>Dues</t>
  </si>
  <si>
    <t>Employee Benefits</t>
  </si>
  <si>
    <t>Employee Meals</t>
  </si>
  <si>
    <t>Entertainment/Meals</t>
  </si>
  <si>
    <t>Freight</t>
  </si>
  <si>
    <t>Fuel</t>
  </si>
  <si>
    <t>Insurance</t>
  </si>
  <si>
    <t>Insurance- Vessel</t>
  </si>
  <si>
    <t>Insurance- Employee Medical</t>
  </si>
  <si>
    <t>Insurance- Vessel &amp; Vehicle</t>
  </si>
  <si>
    <t>Licenses/Permits</t>
  </si>
  <si>
    <t>Miscellaneous Expense</t>
  </si>
  <si>
    <t>Office Expense</t>
  </si>
  <si>
    <t>Postage</t>
  </si>
  <si>
    <t>Professional Fees</t>
  </si>
  <si>
    <t>Rent</t>
  </si>
  <si>
    <t>Repair/Maintenance Coles Crane</t>
  </si>
  <si>
    <t>Repair/Maintenance Non Boat</t>
  </si>
  <si>
    <t>Repair/Maintenance Boom Truck</t>
  </si>
  <si>
    <t>Repair/Maintenance Shop Truck</t>
  </si>
  <si>
    <t>Repair/Maintenance General</t>
  </si>
  <si>
    <t>Repair/Maintenance 1997 GMC</t>
  </si>
  <si>
    <t>Repair/Maintenance 2000 Ford</t>
  </si>
  <si>
    <t>Repair/Maintenance Forklifts</t>
  </si>
  <si>
    <t>Repair/Maintenance 1995 Chevy</t>
  </si>
  <si>
    <t>Subscriptions</t>
  </si>
  <si>
    <t>Taxes- Property</t>
  </si>
  <si>
    <t>Taxes- B &amp; O</t>
  </si>
  <si>
    <t>Taxes- Other</t>
  </si>
  <si>
    <t>Telephone/Radio</t>
  </si>
  <si>
    <t>Training</t>
  </si>
  <si>
    <t>Travel- Polar Pioneer</t>
  </si>
  <si>
    <t>Uniforms</t>
  </si>
  <si>
    <t>Utilities</t>
  </si>
  <si>
    <t>Interest Expense</t>
  </si>
  <si>
    <t>Owner's Life Insurance</t>
  </si>
  <si>
    <t>Total Expenses</t>
  </si>
  <si>
    <t>7/1/16 to 12/31/16</t>
  </si>
  <si>
    <t>7/1/16 to 6/30/17</t>
  </si>
  <si>
    <t>Sales</t>
  </si>
  <si>
    <t>Non-Regulated</t>
  </si>
  <si>
    <t>Security</t>
  </si>
  <si>
    <t>Port Charges</t>
  </si>
  <si>
    <t>Boat Fuel</t>
  </si>
  <si>
    <t>Moorage</t>
  </si>
  <si>
    <t>Maint &amp; Repair</t>
  </si>
  <si>
    <t>Boat Supplies</t>
  </si>
  <si>
    <t>Salaries</t>
  </si>
  <si>
    <t>PR Taxes</t>
  </si>
  <si>
    <t>Trucking &amp; Sub Contractors</t>
  </si>
  <si>
    <t>Sales Pass Thru</t>
  </si>
  <si>
    <t>Office Wages</t>
  </si>
  <si>
    <t>Officer Wages</t>
  </si>
  <si>
    <t>Adv</t>
  </si>
  <si>
    <t>Accounting</t>
  </si>
  <si>
    <t>Auto</t>
  </si>
  <si>
    <t>Bad Debt</t>
  </si>
  <si>
    <t>Office</t>
  </si>
  <si>
    <t>Non Rate</t>
  </si>
  <si>
    <t>Meals &amp; Relocation</t>
  </si>
  <si>
    <t>License/Permits</t>
  </si>
  <si>
    <t>Prop Tax</t>
  </si>
  <si>
    <t>B&amp;O Tax</t>
  </si>
  <si>
    <t>Telephone</t>
  </si>
  <si>
    <t>Freight Deckhand</t>
  </si>
  <si>
    <t>Tariff Deckhand</t>
  </si>
  <si>
    <t>Security Costs</t>
  </si>
  <si>
    <t>Boat Fuel &amp; Lubricants</t>
  </si>
  <si>
    <t>Boat Maintenance &amp; Repair</t>
  </si>
  <si>
    <t>Truck &amp; Transport</t>
  </si>
  <si>
    <t>Equipment Rental</t>
  </si>
  <si>
    <t>Salaries/Wages</t>
  </si>
  <si>
    <t>Payroll Taxes</t>
  </si>
  <si>
    <t xml:space="preserve">Sales/Pass-Thru </t>
  </si>
  <si>
    <t>Trial Balance</t>
  </si>
  <si>
    <t>P:rofessional</t>
  </si>
  <si>
    <t>Allocation Methods</t>
  </si>
  <si>
    <t>Total</t>
  </si>
  <si>
    <t>Allocation Method</t>
  </si>
  <si>
    <t>Actual</t>
  </si>
  <si>
    <t>Regulated</t>
  </si>
  <si>
    <t>PAC</t>
  </si>
  <si>
    <t>Revenue</t>
  </si>
  <si>
    <t>Potential Revenue Increase</t>
  </si>
  <si>
    <t>Arrow Launch Service, Inc.</t>
  </si>
  <si>
    <t>Test Period Ending June 30, 2017</t>
  </si>
  <si>
    <t>Account 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</si>
  <si>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</si>
  <si>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</si>
  <si>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</si>
  <si>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</si>
  <si>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</si>
  <si>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</si>
  <si>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</si>
  <si>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</si>
  <si>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</si>
  <si>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Administrative Repair/Maintenance </t>
  </si>
  <si>
    <t>Crew Relocation/Accommodations</t>
  </si>
  <si>
    <t>(2)</t>
  </si>
  <si>
    <t>(1)</t>
  </si>
  <si>
    <t>Engine Hours is used to allocate fuel, repairs and boat supplies</t>
  </si>
  <si>
    <t>(3)</t>
  </si>
  <si>
    <t>(4)</t>
  </si>
  <si>
    <t>Revenue (4)</t>
  </si>
  <si>
    <t>(5)</t>
  </si>
  <si>
    <t>Previously Allocated Costs (5)</t>
  </si>
  <si>
    <t>Previously Allocated Costs used to allocate all other costs</t>
  </si>
  <si>
    <t>Vessel Operating Hours</t>
  </si>
  <si>
    <t>Vessel Labor Hours</t>
  </si>
  <si>
    <t>Capital - Boats Original Cost (1)</t>
  </si>
  <si>
    <t>Vessel Operating Hours (2)</t>
  </si>
  <si>
    <t>Vessel Labor Hours (3)</t>
  </si>
  <si>
    <t>Capital is used to allocate depreciation and insurance costs</t>
  </si>
  <si>
    <t xml:space="preserve">Captain and Deckhand Hours are used to allocate payroll and related costs, </t>
  </si>
  <si>
    <t>officer wages and employee benefits</t>
  </si>
  <si>
    <t>in the PAC Calculation</t>
  </si>
  <si>
    <t>Worksheet</t>
  </si>
  <si>
    <t xml:space="preserve">Amortization </t>
  </si>
  <si>
    <t>Correcting</t>
  </si>
  <si>
    <t>Journal Entries</t>
  </si>
  <si>
    <t>WUTC Regulatory Fee</t>
  </si>
  <si>
    <t>Operating Ratio Revenue Calculation</t>
  </si>
  <si>
    <t>Account ID</t>
  </si>
  <si>
    <t>Account Description</t>
  </si>
  <si>
    <t>Date</t>
  </si>
  <si>
    <t>Reference</t>
  </si>
  <si>
    <t>Jrnl</t>
  </si>
  <si>
    <t>Trans Description</t>
  </si>
  <si>
    <t>52500</t>
  </si>
  <si>
    <t>Beginning Balance</t>
  </si>
  <si>
    <t>540095</t>
  </si>
  <si>
    <t>PJ</t>
  </si>
  <si>
    <t>Williams, Kastner, &amp; Gibbs - 540095</t>
  </si>
  <si>
    <t>540096</t>
  </si>
  <si>
    <t>Williams, Kastner, &amp; Gibbs - 540096</t>
  </si>
  <si>
    <t>Current Period Change</t>
  </si>
  <si>
    <t>1121</t>
  </si>
  <si>
    <t>Law Office of Charles M. Davis</t>
  </si>
  <si>
    <t>541427</t>
  </si>
  <si>
    <t>Williams, Kastner, &amp; Gibbs - 541427</t>
  </si>
  <si>
    <t>541531</t>
  </si>
  <si>
    <t>Williams, Kastner, &amp; Gibbs - 541531</t>
  </si>
  <si>
    <t>1134</t>
  </si>
  <si>
    <t>Law Office of Charles M. Davis - Permit</t>
  </si>
  <si>
    <t>542720</t>
  </si>
  <si>
    <t>Williams, Kastner, &amp; Gibbs - MEI Case</t>
  </si>
  <si>
    <t>542718</t>
  </si>
  <si>
    <t>Williams, Kastner, &amp; Gibbs - General Business</t>
  </si>
  <si>
    <t>547391</t>
  </si>
  <si>
    <t>Williams, Kastner, &amp; Gibbs - 547391</t>
  </si>
  <si>
    <t>1145</t>
  </si>
  <si>
    <t>543764</t>
  </si>
  <si>
    <t>543763</t>
  </si>
  <si>
    <t>545309</t>
  </si>
  <si>
    <t>545308</t>
  </si>
  <si>
    <t>546460</t>
  </si>
  <si>
    <t>Williams, Kastner, &amp; Gibbs</t>
  </si>
  <si>
    <t>GENJ</t>
  </si>
  <si>
    <t>Fiscal Year End Balance</t>
  </si>
  <si>
    <t>85378</t>
  </si>
  <si>
    <t>CDJ</t>
  </si>
  <si>
    <t>Jack or Terri Harmon - Reimb Personal Payment to WKG</t>
  </si>
  <si>
    <t>546950</t>
  </si>
  <si>
    <t>Williams, Kastner, &amp; Gibbs - Sheryl Willert</t>
  </si>
  <si>
    <t>547454</t>
  </si>
  <si>
    <t>Williams, Kastner, &amp; Gibbs - 547454</t>
  </si>
  <si>
    <t>1185</t>
  </si>
  <si>
    <t>1186a</t>
  </si>
  <si>
    <t>548311</t>
  </si>
  <si>
    <t>549230</t>
  </si>
  <si>
    <t>549229</t>
  </si>
  <si>
    <t>1205</t>
  </si>
  <si>
    <t>550194</t>
  </si>
  <si>
    <t>550193</t>
  </si>
  <si>
    <t>551865</t>
  </si>
  <si>
    <t>551866</t>
  </si>
  <si>
    <t>0166 5/1/17 JH</t>
  </si>
  <si>
    <t>First Bankcard - MARAD Meeting &amp; Stay</t>
  </si>
  <si>
    <t>05/09/17 Statement</t>
  </si>
  <si>
    <t>H. Clayton Cook, Jr. - MARAD Meeting and Stay</t>
  </si>
  <si>
    <t>553413</t>
  </si>
  <si>
    <t>Williams, Kastner, &amp; Gibbs - General Counsel</t>
  </si>
  <si>
    <t>May pd in June.</t>
  </si>
  <si>
    <t>Per WB CPA</t>
  </si>
  <si>
    <t xml:space="preserve">American Express </t>
  </si>
  <si>
    <t>52400</t>
  </si>
  <si>
    <t>July</t>
  </si>
  <si>
    <t>Weldon T Burton CPA</t>
  </si>
  <si>
    <t>August</t>
  </si>
  <si>
    <t>85213</t>
  </si>
  <si>
    <t>Weldon T Burton CPA - Accountant</t>
  </si>
  <si>
    <t>85230</t>
  </si>
  <si>
    <t>December</t>
  </si>
  <si>
    <t>january</t>
  </si>
  <si>
    <t>January 2017</t>
  </si>
  <si>
    <t>Feb 2017</t>
  </si>
  <si>
    <t>29653/Burton</t>
  </si>
  <si>
    <t>Red Lion - Weldon</t>
  </si>
  <si>
    <t>March 2017</t>
  </si>
  <si>
    <t>April</t>
  </si>
  <si>
    <t>29931</t>
  </si>
  <si>
    <t>Red Lion - Weldon Burton</t>
  </si>
  <si>
    <t>May 2017</t>
  </si>
  <si>
    <t>June 17</t>
  </si>
  <si>
    <t>Statement of Operations</t>
  </si>
  <si>
    <t>Restating Adjustments</t>
  </si>
  <si>
    <t>R-1</t>
  </si>
  <si>
    <t>Remove Interest Expense</t>
  </si>
  <si>
    <t>R-2</t>
  </si>
  <si>
    <t>Remove Life Insurance</t>
  </si>
  <si>
    <t>R-3</t>
  </si>
  <si>
    <t>Remove Contributions</t>
  </si>
  <si>
    <t>R-4</t>
  </si>
  <si>
    <t>Reclass Regulatory Fee</t>
  </si>
  <si>
    <t>R-5</t>
  </si>
  <si>
    <t>Record Accrued Compensation</t>
  </si>
  <si>
    <t>R-6</t>
  </si>
  <si>
    <t>R-7</t>
  </si>
  <si>
    <t>Record Prior Deferred Rate Case Costs</t>
  </si>
  <si>
    <t>Rate Case Legal &amp; Accounting</t>
  </si>
  <si>
    <t>October</t>
  </si>
  <si>
    <t>November</t>
  </si>
  <si>
    <t>January</t>
  </si>
  <si>
    <t>Legal</t>
  </si>
  <si>
    <t>October - December</t>
  </si>
  <si>
    <t xml:space="preserve">Amortization Prior </t>
  </si>
  <si>
    <t>Unamortized</t>
  </si>
  <si>
    <t>Portion</t>
  </si>
  <si>
    <t>R-8</t>
  </si>
  <si>
    <t>Defer MEI Costs</t>
  </si>
  <si>
    <t>Remove costs paid by Arrow Launch - S/B Arrow Marine</t>
  </si>
  <si>
    <t>R-9</t>
  </si>
  <si>
    <t>Record Current Rate Case Costs</t>
  </si>
  <si>
    <t>R-10</t>
  </si>
  <si>
    <t>Record Unpaid Invoices</t>
  </si>
  <si>
    <t>Remove out of period invoices</t>
  </si>
  <si>
    <t>Record Depreciation</t>
  </si>
  <si>
    <t>Regulatory Depreciation Schedule</t>
  </si>
  <si>
    <t>Months in first year</t>
  </si>
  <si>
    <t>Months in second year</t>
  </si>
  <si>
    <t>A.</t>
  </si>
  <si>
    <t>Purchase date</t>
  </si>
  <si>
    <t>First year</t>
  </si>
  <si>
    <t>B.</t>
  </si>
  <si>
    <t>End of Test Period</t>
  </si>
  <si>
    <t>Second year</t>
  </si>
  <si>
    <t>Date fully Depr</t>
  </si>
  <si>
    <t>D.</t>
  </si>
  <si>
    <t>Beg of Test Period</t>
  </si>
  <si>
    <t>Beginning</t>
  </si>
  <si>
    <t>Allocated</t>
  </si>
  <si>
    <t>Ending</t>
  </si>
  <si>
    <t>E.</t>
  </si>
  <si>
    <t>Disposition Date</t>
  </si>
  <si>
    <t>Date in Service</t>
  </si>
  <si>
    <t>Salvage</t>
  </si>
  <si>
    <t>Year</t>
  </si>
  <si>
    <t>Disposal</t>
  </si>
  <si>
    <t>Accumulated</t>
  </si>
  <si>
    <t>Branch</t>
  </si>
  <si>
    <t>Accum.</t>
  </si>
  <si>
    <t>Value</t>
  </si>
  <si>
    <t>Method</t>
  </si>
  <si>
    <t>Life</t>
  </si>
  <si>
    <t>Fully</t>
  </si>
  <si>
    <t>Asset</t>
  </si>
  <si>
    <t>Depreciable</t>
  </si>
  <si>
    <t>Monthly</t>
  </si>
  <si>
    <t>Test year</t>
  </si>
  <si>
    <t>Test yr.</t>
  </si>
  <si>
    <t>%</t>
  </si>
  <si>
    <t>Allo.</t>
  </si>
  <si>
    <t>Depr.</t>
  </si>
  <si>
    <t>Average</t>
  </si>
  <si>
    <t>DESCRIPTION</t>
  </si>
  <si>
    <t>Mo.</t>
  </si>
  <si>
    <t>Depreciated</t>
  </si>
  <si>
    <t xml:space="preserve">  Yr.</t>
  </si>
  <si>
    <t xml:space="preserve"> Mo.</t>
  </si>
  <si>
    <t>Cost</t>
  </si>
  <si>
    <t>Investment</t>
  </si>
  <si>
    <t>C.</t>
  </si>
  <si>
    <t>Schedule No.</t>
  </si>
  <si>
    <t>OFFICE EQUIPMENT</t>
  </si>
  <si>
    <t>SL</t>
  </si>
  <si>
    <t>CANON 1C220 COPIER</t>
  </si>
  <si>
    <t>NETWORK SERVE-POE</t>
  </si>
  <si>
    <t>OFFICE WORKSTATIONS</t>
  </si>
  <si>
    <t>E DOCK SOFTWARE</t>
  </si>
  <si>
    <t>COMPUTER</t>
  </si>
  <si>
    <t>FLAT SCREEN MONITOR-LOB</t>
  </si>
  <si>
    <t>E DOCK SOFTWARE UPDATE</t>
  </si>
  <si>
    <t>PEACHTREE UPDATE</t>
  </si>
  <si>
    <t>CPI COMPUTER- OFFICE</t>
  </si>
  <si>
    <t>Office Furniture-Gabi's Office</t>
  </si>
  <si>
    <t>Copy Machine</t>
  </si>
  <si>
    <t>Telephone System</t>
  </si>
  <si>
    <t>Office Furniture</t>
  </si>
  <si>
    <t>Software Update</t>
  </si>
  <si>
    <t>Vessel - Crowe</t>
  </si>
  <si>
    <t>Vessel-Sioux</t>
  </si>
  <si>
    <t>Barge-Juneau</t>
  </si>
  <si>
    <t>Barge-Wolfpacker</t>
  </si>
  <si>
    <t>SEWAGE TANK</t>
  </si>
  <si>
    <t>VESSEL- CHEYENNE</t>
  </si>
  <si>
    <t>VESSEL - STRAIT</t>
  </si>
  <si>
    <t>FORK LIFT</t>
  </si>
  <si>
    <t>VESSEL- WARRIOR</t>
  </si>
  <si>
    <t>REBUILD-WARRIOR</t>
  </si>
  <si>
    <t>DIESEL PUMP</t>
  </si>
  <si>
    <t>TOTES</t>
  </si>
  <si>
    <t>VESSEL-STEALTH</t>
  </si>
  <si>
    <t>EQUIPMENT</t>
  </si>
  <si>
    <t>VESSEL - SOUND</t>
  </si>
  <si>
    <t>DUMPSTERS</t>
  </si>
  <si>
    <t>WELDER</t>
  </si>
  <si>
    <t>BOAT ENGINE- STRAIT</t>
  </si>
  <si>
    <t>FLYING FORKLIFTS</t>
  </si>
  <si>
    <t>BOOM TRUCK STABILIZERS</t>
  </si>
  <si>
    <t>TWO-WAY RADIO</t>
  </si>
  <si>
    <t>HONDA GENERATORS X2</t>
  </si>
  <si>
    <t>ENGINE REBUILD-STEALTH</t>
  </si>
  <si>
    <t>ENGINE REBUILD-SIOUX</t>
  </si>
  <si>
    <t>ENERPAC PIPE BENDER</t>
  </si>
  <si>
    <t>ARTICULATED BORESCOPE</t>
  </si>
  <si>
    <t>FORKLIFTS X2</t>
  </si>
  <si>
    <t>WELDER MODEL LN25</t>
  </si>
  <si>
    <t>TELEPHONE SYSTEM</t>
  </si>
  <si>
    <t>VESSEL- SWIFT 48'</t>
  </si>
  <si>
    <t>FORKLIFT- UR</t>
  </si>
  <si>
    <t>FORKLIFT- STRETCH</t>
  </si>
  <si>
    <t>WELDER 1/2 RED-D-ARC</t>
  </si>
  <si>
    <t>DROPBOX-CAPITAL IND</t>
  </si>
  <si>
    <t>RED-D-ARC WELDER</t>
  </si>
  <si>
    <t>2002 SPIRIT 9780 TRAILER</t>
  </si>
  <si>
    <t>CYLINDER RACK</t>
  </si>
  <si>
    <t>HYSTER H50XM FORKLIFT</t>
  </si>
  <si>
    <t>SOUND ENGINE</t>
  </si>
  <si>
    <t>CYLINDER RACKS</t>
  </si>
  <si>
    <t>BOAT ADDITION</t>
  </si>
  <si>
    <t>TRANSMISSION- STRAIT</t>
  </si>
  <si>
    <t>BOAT REPAIRS-STRAIT</t>
  </si>
  <si>
    <t>BOAT REPAIRS- GENERAL</t>
  </si>
  <si>
    <t>BOAT REPAIRS- CHEYENNE</t>
  </si>
  <si>
    <t>BOAT REPAIRS- STEALTH</t>
  </si>
  <si>
    <t>BOAT REPAIRS- SOUND</t>
  </si>
  <si>
    <t>BOAT REPAIRS- WARRIOR</t>
  </si>
  <si>
    <t>HANDHELD RADIOS &amp; SUPPLIES</t>
  </si>
  <si>
    <t>AED RESCUE KITS X 6</t>
  </si>
  <si>
    <t>HYDRO CYLINDER REPLACEMENT</t>
  </si>
  <si>
    <t>BOAT REPAIRS- MISC UPGRADE</t>
  </si>
  <si>
    <t>BARGE DECK UPGRADES</t>
  </si>
  <si>
    <t>11 X 11 NETS X 4</t>
  </si>
  <si>
    <t>11 X 11 NETS X 6</t>
  </si>
  <si>
    <t>LIFESLING LIFTING TACKLE</t>
  </si>
  <si>
    <t>PFD LIGHTS</t>
  </si>
  <si>
    <t>HEMILIGHT PFD LIGHTS</t>
  </si>
  <si>
    <t>LIFESLING WHITE BAG X 8</t>
  </si>
  <si>
    <t>ENGINE REPAIRS- SOUND, SW</t>
  </si>
  <si>
    <t>LIFESLING LIFTING TACKLE X</t>
  </si>
  <si>
    <t>COLDWATER / ICE RESCUE SUIT</t>
  </si>
  <si>
    <t>PFD LIGHTS (ACR 3766)</t>
  </si>
  <si>
    <t>HEMILIGHTS PFD LIGHTS</t>
  </si>
  <si>
    <t>MISC REPAIRS- SWIFT</t>
  </si>
  <si>
    <t>GENERATORS</t>
  </si>
  <si>
    <t>BOAT REPAIRS</t>
  </si>
  <si>
    <t>BOAT REPAIRS- MISC</t>
  </si>
  <si>
    <t>11 X 11 NETS X 8</t>
  </si>
  <si>
    <t>4 NETS</t>
  </si>
  <si>
    <t>6- 11 X 11 NETS</t>
  </si>
  <si>
    <t>PORT MAIN ENGINE REBUILD</t>
  </si>
  <si>
    <t>WARRIOR ENGINE WORK</t>
  </si>
  <si>
    <t>INFLATABLE CREW BOAT</t>
  </si>
  <si>
    <t>TRANSMISSION-WARRIOR</t>
  </si>
  <si>
    <t>COLD WATER / ICE SUITS</t>
  </si>
  <si>
    <t>SWIFT ARROW CONTROLS</t>
  </si>
  <si>
    <t>SWIFT ENGINE REBUILD</t>
  </si>
  <si>
    <t>WARRIOR REPAIR</t>
  </si>
  <si>
    <t>NETS / STRAPS</t>
  </si>
  <si>
    <t>WINCH / MOUNT- BOOM TRUCK</t>
  </si>
  <si>
    <t>TRANSMISSION WORK - BOAT</t>
  </si>
  <si>
    <t>ACTUATOR- CHEYENNE ARROW</t>
  </si>
  <si>
    <t>ACTUATOR- SWIFT ARROW</t>
  </si>
  <si>
    <t>CONTROL HEAD- STRAIT ARROW</t>
  </si>
  <si>
    <t>CONTROL HEAD- STEALTH ARROW</t>
  </si>
  <si>
    <t>GLASS- BRAVE ARROW</t>
  </si>
  <si>
    <t>RADAR PARTS - BRAVE ARROW</t>
  </si>
  <si>
    <t>GARMIN- BRAVE ARROW</t>
  </si>
  <si>
    <t>PROP WORK</t>
  </si>
  <si>
    <t>FIRE EXTINGUISHERS</t>
  </si>
  <si>
    <t>ELECTRONICS- BRAVE</t>
  </si>
  <si>
    <t>STEEL REPAIR- WARRIOR</t>
  </si>
  <si>
    <t>LIFERAFT</t>
  </si>
  <si>
    <t>BOAT LAUNCH FEE</t>
  </si>
  <si>
    <t>HARRIS ELECTRIC- GARMIN 4</t>
  </si>
  <si>
    <t>HARRIS ELECTRIC- ANTENNA</t>
  </si>
  <si>
    <t>HARRIS ELECTRIC- COMNAV</t>
  </si>
  <si>
    <t>OLYMPIC SYNTHETIC PRODUT</t>
  </si>
  <si>
    <t>HARRIS ELECTRIC- ARPA RAD</t>
  </si>
  <si>
    <t>WIZTRONICS-RADIOS &amp; ANTENNA</t>
  </si>
  <si>
    <t>GEORGES DIESEL- 12-71 ENGINE</t>
  </si>
  <si>
    <t>GEORGES DIESEL- LEFT HAND</t>
  </si>
  <si>
    <t>GEORGES DIESEL- RIGHT HAND</t>
  </si>
  <si>
    <t>GEORGES DIESEL- TRANSMISSION</t>
  </si>
  <si>
    <t>GEORGES DIESEL- WARRIOR</t>
  </si>
  <si>
    <t>GEORGES DIESEL- CONVERT</t>
  </si>
  <si>
    <t>GEORGES DIESEL- ASSEMBLE</t>
  </si>
  <si>
    <t>PINNACLE MARINE- ACTUATOR</t>
  </si>
  <si>
    <t>IDAHO TOTE TRAILER</t>
  </si>
  <si>
    <t>MARINE SANITATION-STRAIT</t>
  </si>
  <si>
    <t>EQUIPMENT UNLIMITED SUPPLY</t>
  </si>
  <si>
    <t>FLYING FORKS</t>
  </si>
  <si>
    <t>Actuator - Strait</t>
  </si>
  <si>
    <t>Olympic Synthetic 5 Nets - 20x20</t>
  </si>
  <si>
    <t>Anchor Winch - Warrior</t>
  </si>
  <si>
    <t>Rebuild &amp; Welding on Crow</t>
  </si>
  <si>
    <t>10 3 Yard Dumpsters</t>
  </si>
  <si>
    <t>Eaton Motor - Warrior</t>
  </si>
  <si>
    <t>Propeller  - Sound Arrow</t>
  </si>
  <si>
    <t>Brave - Bilge Pump</t>
  </si>
  <si>
    <t>Vessel - Motega</t>
  </si>
  <si>
    <t>Motega - Electrical</t>
  </si>
  <si>
    <t>Motega - Interior Lighting</t>
  </si>
  <si>
    <t>Motega - Hydraulic System</t>
  </si>
  <si>
    <t>Motega - Fire Detection System</t>
  </si>
  <si>
    <t>Motega - Video Surveillance System</t>
  </si>
  <si>
    <t>Motega - Cargo Tank Pump</t>
  </si>
  <si>
    <t>Motega-Cargo Fresh Water Pump</t>
  </si>
  <si>
    <t>Motega - Oil Boom</t>
  </si>
  <si>
    <t>Motega - Crane Scale</t>
  </si>
  <si>
    <t>Motega - New Steering System</t>
  </si>
  <si>
    <t>Motega - Crane Pump</t>
  </si>
  <si>
    <t>Motega-Rescue Ladder-Oil Boom</t>
  </si>
  <si>
    <t>Motega-Oil Boom &amp; Skiff Cover</t>
  </si>
  <si>
    <t>Motega-Rescue Lighting</t>
  </si>
  <si>
    <t>Motega-Haul &amp; Paint</t>
  </si>
  <si>
    <t>Motega-Refer &amp; Freezer</t>
  </si>
  <si>
    <t>Motega-Interior</t>
  </si>
  <si>
    <t>Motega-Boom Boat</t>
  </si>
  <si>
    <t>Motega-Rescue Suit</t>
  </si>
  <si>
    <t>Vacuum Tank &amp; Pump</t>
  </si>
  <si>
    <t>Motega-Z Drives</t>
  </si>
  <si>
    <t>Motega - Capital Improvements</t>
  </si>
  <si>
    <t>Pacific Arrow Incidental Acquisition Costs-Trans</t>
  </si>
  <si>
    <t>Pacific Arrow-Use Tax</t>
  </si>
  <si>
    <t>Chief Arrow Purchase</t>
  </si>
  <si>
    <t>Chief Arrow-Use Tax</t>
  </si>
  <si>
    <t>Pacific Arrow-Improvements</t>
  </si>
  <si>
    <t>Chief Arrow - Improvements</t>
  </si>
  <si>
    <t>Engines for Sioux Arrow</t>
  </si>
  <si>
    <t>Motega - Z Drives</t>
  </si>
  <si>
    <t>Motega - Z Drive Improvements</t>
  </si>
  <si>
    <t>Gooseneck Trailer</t>
  </si>
  <si>
    <t>Trailer</t>
  </si>
  <si>
    <t>Pacific-Improvements</t>
  </si>
  <si>
    <t>Chief Improvements</t>
  </si>
  <si>
    <t>2010 Yale Forklift</t>
  </si>
  <si>
    <t>2014 LPG Mazda Forklift</t>
  </si>
  <si>
    <t>Brave - Improvements</t>
  </si>
  <si>
    <t>Pacific Improvements</t>
  </si>
  <si>
    <t>Motega Improvements</t>
  </si>
  <si>
    <t>Storage Container</t>
  </si>
  <si>
    <t>Storage Containers</t>
  </si>
  <si>
    <t>Brave - Capitalized Repairs</t>
  </si>
  <si>
    <t>BOOM TRUCK</t>
  </si>
  <si>
    <t>1995 FORD F350</t>
  </si>
  <si>
    <t>SHOP UTILITY TRUCK</t>
  </si>
  <si>
    <t>CHEVY TRUCK</t>
  </si>
  <si>
    <t>2011 GMC YUKON XL- TRADE IN</t>
  </si>
  <si>
    <t>2010 GMC SIERRA</t>
  </si>
  <si>
    <t>AUTO REPAIRS- MISC</t>
  </si>
  <si>
    <t>CHEVY TRANSMISSION REPAIR</t>
  </si>
  <si>
    <t>2007 CHEVY C4500</t>
  </si>
  <si>
    <t>Cargo Trailer</t>
  </si>
  <si>
    <t>2013 Dodge Ram 3500</t>
  </si>
  <si>
    <t>1989 Ford Boom Truck</t>
  </si>
  <si>
    <t>2007 Dodge Pickup</t>
  </si>
  <si>
    <t>BUILDING SUPPLIES</t>
  </si>
  <si>
    <t>BUILDING SUPPLIES- CABINET</t>
  </si>
  <si>
    <t>ABSOLUTE AIR-SHOP HEATER</t>
  </si>
  <si>
    <t>NUERA TECHNOLOGY</t>
  </si>
  <si>
    <t>FENCING</t>
  </si>
  <si>
    <t>Crane T-4-Primary Lease Term 5 year</t>
  </si>
  <si>
    <t>Office Remodel-Depr on Life on Lease</t>
  </si>
  <si>
    <t>UTILITIES &amp; TC PERMIT</t>
  </si>
  <si>
    <t>GOODWILL - TACOMA</t>
  </si>
  <si>
    <t>Customer ID</t>
  </si>
  <si>
    <t>Customer</t>
  </si>
  <si>
    <t>Invoice/CM #</t>
  </si>
  <si>
    <t>0-30</t>
  </si>
  <si>
    <t>31-60</t>
  </si>
  <si>
    <t>61-90</t>
  </si>
  <si>
    <t>Over 90 days</t>
  </si>
  <si>
    <t>Amount Due</t>
  </si>
  <si>
    <t>P.O. No</t>
  </si>
  <si>
    <t>DATE OF SERVICE</t>
  </si>
  <si>
    <t>ACGI</t>
  </si>
  <si>
    <t>ACGI Shipping Co., Inc.</t>
  </si>
  <si>
    <t>31085</t>
  </si>
  <si>
    <t>Transatlantic</t>
  </si>
  <si>
    <t>31086</t>
  </si>
  <si>
    <t>31087</t>
  </si>
  <si>
    <t>31127</t>
  </si>
  <si>
    <t>31174</t>
  </si>
  <si>
    <t>31085FC1</t>
  </si>
  <si>
    <t>381086FC1</t>
  </si>
  <si>
    <t>31087FC1</t>
  </si>
  <si>
    <t>31127FC1</t>
  </si>
  <si>
    <t>31174FC1</t>
  </si>
  <si>
    <t>31085FC2</t>
  </si>
  <si>
    <t>31086FC2</t>
  </si>
  <si>
    <t>31087FC2</t>
  </si>
  <si>
    <t>31127FC2</t>
  </si>
  <si>
    <t>31174FC2</t>
  </si>
  <si>
    <t>pacific_coast</t>
  </si>
  <si>
    <t>Pacific Coast Maritime Agencies, Inc.</t>
  </si>
  <si>
    <t>28891</t>
  </si>
  <si>
    <t>STI Brooklyn</t>
  </si>
  <si>
    <t>28892</t>
  </si>
  <si>
    <t>28891FC1</t>
  </si>
  <si>
    <t>28892FC1</t>
  </si>
  <si>
    <t>29525</t>
  </si>
  <si>
    <t>28891FC3</t>
  </si>
  <si>
    <t>28892FC3</t>
  </si>
  <si>
    <t>29525FC3</t>
  </si>
  <si>
    <t>Non-Regulated Services</t>
  </si>
  <si>
    <t>Regulated Services for Pacific Coast Maritime Agencies, Inc.</t>
  </si>
  <si>
    <t>Regulated Services ACGI Shipping Co., Inc.</t>
  </si>
  <si>
    <t xml:space="preserve">Regulated Bad Debts </t>
  </si>
  <si>
    <t>Non-regulated</t>
  </si>
  <si>
    <t>Pro Forma</t>
  </si>
  <si>
    <t>R-11</t>
  </si>
  <si>
    <t>R-12</t>
  </si>
  <si>
    <t>R-13</t>
  </si>
  <si>
    <t>R-14</t>
  </si>
  <si>
    <t xml:space="preserve">Bad Debts </t>
  </si>
  <si>
    <t>QTR 9/30/16</t>
  </si>
  <si>
    <t xml:space="preserve">QTR 12/31/16 </t>
  </si>
  <si>
    <t xml:space="preserve">QTR 3/31/17 </t>
  </si>
  <si>
    <t>QTR 6/30/17</t>
  </si>
  <si>
    <t>Total Test Period</t>
  </si>
  <si>
    <t>Employee</t>
  </si>
  <si>
    <t>Position</t>
  </si>
  <si>
    <t>Employee #</t>
  </si>
  <si>
    <t>Hours</t>
  </si>
  <si>
    <t>Payroll</t>
  </si>
  <si>
    <t xml:space="preserve">Total Payroll </t>
  </si>
  <si>
    <t>Information will be provided to Staff</t>
  </si>
  <si>
    <t>during examination</t>
  </si>
  <si>
    <t>Invoiced Hours (Units) and Revenue by Activity Type</t>
  </si>
  <si>
    <t>Tariff Billing Activity</t>
  </si>
  <si>
    <t>July 1, 2016 to June 30, 2017</t>
  </si>
  <si>
    <t>Item Code</t>
  </si>
  <si>
    <t>Description</t>
  </si>
  <si>
    <t>Published Rate</t>
  </si>
  <si>
    <t>Proposed Rate</t>
  </si>
  <si>
    <t>Qty/Hours</t>
  </si>
  <si>
    <t>Amount</t>
  </si>
  <si>
    <t>Current Revenue at Current Rates</t>
  </si>
  <si>
    <t>Revenue at Proposed Rates</t>
  </si>
  <si>
    <t>Freight Launches</t>
  </si>
  <si>
    <t>Freight OT</t>
  </si>
  <si>
    <t>Overtime Freight Launches</t>
  </si>
  <si>
    <t>Freight HD</t>
  </si>
  <si>
    <t>Holiday Freight Launches</t>
  </si>
  <si>
    <t>Freight OTH</t>
  </si>
  <si>
    <t>Overtime Holiday Freight Launches</t>
  </si>
  <si>
    <t>Total Freight</t>
  </si>
  <si>
    <t>Hours:</t>
  </si>
  <si>
    <t>Gross Invoices</t>
  </si>
  <si>
    <t>Personnel</t>
  </si>
  <si>
    <t>Personnel Launches</t>
  </si>
  <si>
    <t>Personnel OT</t>
  </si>
  <si>
    <t>Overtime Personnel Launches</t>
  </si>
  <si>
    <t>Personnel HD</t>
  </si>
  <si>
    <t>Holiday Personnel Launches</t>
  </si>
  <si>
    <t>Personnel OTH</t>
  </si>
  <si>
    <t>Overtime Holiday Personnel Launches</t>
  </si>
  <si>
    <t>Pilot</t>
  </si>
  <si>
    <t>Pilot Launches</t>
  </si>
  <si>
    <t>Pilot OT</t>
  </si>
  <si>
    <t>Overtime Pilot Launches</t>
  </si>
  <si>
    <t>Pilot HD</t>
  </si>
  <si>
    <t>Holiday Pilot Launches</t>
  </si>
  <si>
    <t>Pilot OTH</t>
  </si>
  <si>
    <t>Overtime Holiday Pilot Launches</t>
  </si>
  <si>
    <t>Total Personnel</t>
  </si>
  <si>
    <t>Deck</t>
  </si>
  <si>
    <t>Deckhand(s)</t>
  </si>
  <si>
    <t>Deck OT</t>
  </si>
  <si>
    <t>Overtime Deckhand(s)</t>
  </si>
  <si>
    <t>Deck HD</t>
  </si>
  <si>
    <t>Holiday Deckhand(s)</t>
  </si>
  <si>
    <t>Deck OTH</t>
  </si>
  <si>
    <t>Overtime Holiday Deckhand(s)</t>
  </si>
  <si>
    <t>Total Deckhand</t>
  </si>
  <si>
    <t>Current Revenue per Price Out</t>
  </si>
  <si>
    <t>Current Revenue Per Books</t>
  </si>
  <si>
    <t>Remove Uncollected Finance Charges</t>
  </si>
  <si>
    <t>Equipment Rent</t>
  </si>
  <si>
    <t>Admin Repairs</t>
  </si>
  <si>
    <t>Commissions</t>
  </si>
  <si>
    <t>Revenue is used to allocate Washington B&amp;O Taxes, but is not included</t>
  </si>
  <si>
    <t>Remove Book Amortization</t>
  </si>
  <si>
    <t>Wolfpacker Improvements</t>
  </si>
  <si>
    <t>Strait Arrow Capitalized Repairs</t>
  </si>
  <si>
    <t>Sioux Arrow - Capitalized Repairs</t>
  </si>
  <si>
    <t>Warrior - Capitalized Repairs</t>
  </si>
  <si>
    <t>Marine Sanitation Devise-Crow</t>
  </si>
  <si>
    <t>Pacific Arrow-Purchase</t>
  </si>
  <si>
    <t>Chief Arrow-Incidental Acquisition Costs</t>
  </si>
  <si>
    <t>Pacific Arrow - Life raft</t>
  </si>
  <si>
    <t>Chief Arrow-Life raft</t>
  </si>
  <si>
    <t>Pumps/Steam Cleaner for Vacuum System</t>
  </si>
  <si>
    <t>Portable Storage Garage for Vacuum System</t>
  </si>
  <si>
    <t>R-15</t>
  </si>
  <si>
    <t>538996</t>
  </si>
  <si>
    <t>Williams, Kastner, &amp; Gibbs - 538996</t>
  </si>
  <si>
    <t>538995</t>
  </si>
  <si>
    <t>Williams, Kastner, &amp; Gibbs - 538995</t>
  </si>
  <si>
    <t>Strait Arrow Radio Equipment</t>
  </si>
  <si>
    <t xml:space="preserve">Payrll </t>
  </si>
  <si>
    <t>Test Period ended 6/30/17</t>
  </si>
  <si>
    <t>Record 2.5% payroll increase for identified line employees</t>
  </si>
  <si>
    <t xml:space="preserve">Captain / </t>
  </si>
  <si>
    <t>Deckhand</t>
  </si>
  <si>
    <t>Raises</t>
  </si>
  <si>
    <t>Restated Test Period</t>
  </si>
  <si>
    <t>P-1</t>
  </si>
  <si>
    <t>Pro Forma Adjustments</t>
  </si>
  <si>
    <t>J</t>
  </si>
  <si>
    <t>K</t>
  </si>
  <si>
    <t>L</t>
  </si>
  <si>
    <t>Results of Operations</t>
  </si>
  <si>
    <t>Operating Ratio</t>
  </si>
  <si>
    <t>R</t>
  </si>
  <si>
    <t>OH</t>
  </si>
  <si>
    <t>Total of all assets excluding permits &amp; goodwill</t>
  </si>
  <si>
    <t>Revised</t>
  </si>
  <si>
    <t>N/A</t>
  </si>
  <si>
    <t>BRAVE ARROW-NBV Depr over 3 yrs</t>
  </si>
  <si>
    <t>Remaining</t>
  </si>
  <si>
    <t xml:space="preserve">Life </t>
  </si>
  <si>
    <t>at 6/30/16</t>
  </si>
  <si>
    <t>Vessels</t>
  </si>
  <si>
    <t>Office Equipment</t>
  </si>
  <si>
    <t>Sevice Vehicles</t>
  </si>
  <si>
    <t>Real Estate</t>
  </si>
  <si>
    <t>Allocated on Vessel Operating Hours</t>
  </si>
  <si>
    <t>Overhed Equipment Depreciation</t>
  </si>
  <si>
    <t>Direct Allocation</t>
  </si>
  <si>
    <t>Estimated Revenue Adjustment @ 93% Operating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</si>
</sst>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m/d/yyyy;@"/>
    <numFmt numFmtId="166" formatCode="[$-409]mmmm\ d\,\ yyyy;@"/>
    <numFmt numFmtId="167" formatCode="#,##0.0"/>
    <numFmt numFmtId="168" formatCode="#,##0.000_);\(#,##0.000\)"/>
    <numFmt numFmtId="169" formatCode="m/d/yy;@"/>
    <numFmt numFmtId="170" formatCode="#,##0.00;\-#,##0.00;* ??"/>
    <numFmt numFmtId="171" formatCode="0.000%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b/>
      <i/>
      <sz val="12"/>
      <color theme="3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0" borderId="0"/>
    <xf numFmtId="0" fontId="20" fillId="0" borderId="0"/>
  </cellStyleXfs>
  <cellXfs count="22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4" fontId="3" fillId="0" borderId="0" xfId="0" applyNumberFormat="1" applyFont="1"/>
    <xf numFmtId="49" fontId="3" fillId="0" borderId="0" xfId="0" applyNumberFormat="1" applyFont="1" applyAlignment="1">
      <alignment horizontal="left"/>
    </xf>
    <xf numFmtId="4" fontId="3" fillId="0" borderId="1" xfId="0" applyNumberFormat="1" applyFont="1" applyBorder="1"/>
    <xf numFmtId="4" fontId="2" fillId="0" borderId="0" xfId="0" applyNumberFormat="1" applyFont="1"/>
    <xf numFmtId="4" fontId="3" fillId="0" borderId="0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1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2" fillId="0" borderId="0" xfId="0" applyNumberFormat="1" applyFont="1" applyBorder="1"/>
    <xf numFmtId="0" fontId="4" fillId="0" borderId="0" xfId="0" applyFont="1"/>
    <xf numFmtId="49" fontId="4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4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3" fontId="4" fillId="0" borderId="0" xfId="0" applyNumberFormat="1" applyFont="1"/>
    <xf numFmtId="3" fontId="0" fillId="0" borderId="0" xfId="0" applyNumberFormat="1"/>
    <xf numFmtId="3" fontId="4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10" fontId="0" fillId="0" borderId="0" xfId="0" applyNumberFormat="1"/>
    <xf numFmtId="3" fontId="4" fillId="0" borderId="2" xfId="0" applyNumberFormat="1" applyFont="1" applyBorder="1"/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quotePrefix="1"/>
    <xf numFmtId="3" fontId="9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9" fontId="12" fillId="0" borderId="2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9" fontId="12" fillId="0" borderId="2" xfId="0" applyNumberFormat="1" applyFont="1" applyBorder="1" applyAlignment="1">
      <alignment horizontal="left" wrapText="1"/>
    </xf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6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Continuous"/>
    </xf>
    <xf numFmtId="166" fontId="0" fillId="0" borderId="0" xfId="0" applyNumberFormat="1" applyAlignment="1">
      <alignment horizontal="centerContinuous"/>
    </xf>
    <xf numFmtId="0" fontId="13" fillId="0" borderId="0" xfId="0" applyFont="1"/>
    <xf numFmtId="4" fontId="13" fillId="0" borderId="0" xfId="0" applyNumberFormat="1" applyFont="1"/>
    <xf numFmtId="0" fontId="14" fillId="0" borderId="0" xfId="0" applyFont="1"/>
    <xf numFmtId="4" fontId="13" fillId="0" borderId="1" xfId="0" applyNumberFormat="1" applyFont="1" applyBorder="1"/>
    <xf numFmtId="17" fontId="13" fillId="0" borderId="0" xfId="0" applyNumberFormat="1" applyFont="1"/>
    <xf numFmtId="4" fontId="13" fillId="0" borderId="2" xfId="0" applyNumberFormat="1" applyFont="1" applyBorder="1"/>
    <xf numFmtId="14" fontId="0" fillId="0" borderId="0" xfId="0" applyNumberFormat="1"/>
    <xf numFmtId="14" fontId="13" fillId="0" borderId="0" xfId="0" applyNumberFormat="1" applyFont="1"/>
    <xf numFmtId="4" fontId="0" fillId="0" borderId="0" xfId="0" applyNumberFormat="1"/>
    <xf numFmtId="37" fontId="0" fillId="0" borderId="0" xfId="0" applyNumberFormat="1"/>
    <xf numFmtId="39" fontId="0" fillId="0" borderId="0" xfId="0" applyNumberFormat="1"/>
    <xf numFmtId="168" fontId="0" fillId="0" borderId="0" xfId="0" applyNumberFormat="1"/>
    <xf numFmtId="37" fontId="0" fillId="0" borderId="1" xfId="0" applyNumberFormat="1" applyBorder="1"/>
    <xf numFmtId="0" fontId="15" fillId="0" borderId="0" xfId="0" applyFont="1"/>
    <xf numFmtId="3" fontId="17" fillId="0" borderId="0" xfId="3" applyNumberFormat="1" applyFont="1" applyAlignment="1">
      <alignment horizontal="centerContinuous"/>
    </xf>
    <xf numFmtId="3" fontId="15" fillId="0" borderId="0" xfId="3" applyNumberFormat="1" applyFont="1" applyAlignment="1">
      <alignment horizontal="centerContinuous"/>
    </xf>
    <xf numFmtId="3" fontId="15" fillId="0" borderId="0" xfId="3" applyNumberFormat="1" applyFont="1"/>
    <xf numFmtId="3" fontId="15" fillId="0" borderId="0" xfId="3" applyNumberFormat="1" applyFont="1" applyAlignment="1">
      <alignment horizontal="left"/>
    </xf>
    <xf numFmtId="166" fontId="17" fillId="0" borderId="0" xfId="3" quotePrefix="1" applyNumberFormat="1" applyFont="1" applyAlignment="1">
      <alignment horizontal="centerContinuous"/>
    </xf>
    <xf numFmtId="3" fontId="15" fillId="0" borderId="0" xfId="3" applyNumberFormat="1" applyFont="1" applyAlignment="1">
      <alignment horizontal="center"/>
    </xf>
    <xf numFmtId="1" fontId="15" fillId="0" borderId="0" xfId="3" applyNumberFormat="1" applyFont="1"/>
    <xf numFmtId="3" fontId="17" fillId="0" borderId="0" xfId="3" applyNumberFormat="1" applyFont="1" applyAlignment="1">
      <alignment horizontal="center"/>
    </xf>
    <xf numFmtId="3" fontId="17" fillId="0" borderId="0" xfId="3" applyNumberFormat="1" applyFont="1" applyAlignment="1"/>
    <xf numFmtId="0" fontId="17" fillId="0" borderId="0" xfId="0" applyFont="1"/>
    <xf numFmtId="3" fontId="18" fillId="0" borderId="0" xfId="3" applyNumberFormat="1" applyFont="1" applyAlignment="1">
      <alignment horizontal="center"/>
    </xf>
    <xf numFmtId="3" fontId="18" fillId="0" borderId="0" xfId="3" applyNumberFormat="1" applyFont="1" applyAlignment="1"/>
    <xf numFmtId="14" fontId="18" fillId="0" borderId="0" xfId="3" quotePrefix="1" applyNumberFormat="1" applyFont="1" applyAlignment="1">
      <alignment horizontal="center"/>
    </xf>
    <xf numFmtId="169" fontId="18" fillId="0" borderId="0" xfId="3" applyNumberFormat="1" applyFont="1" applyAlignment="1">
      <alignment horizontal="center"/>
    </xf>
    <xf numFmtId="3" fontId="18" fillId="0" borderId="0" xfId="3" applyNumberFormat="1" applyFont="1" applyAlignment="1">
      <alignment horizontal="left"/>
    </xf>
    <xf numFmtId="1" fontId="15" fillId="0" borderId="0" xfId="3" applyNumberFormat="1" applyFont="1" applyAlignment="1">
      <alignment horizontal="center"/>
    </xf>
    <xf numFmtId="4" fontId="15" fillId="0" borderId="0" xfId="3" applyNumberFormat="1" applyFont="1"/>
    <xf numFmtId="0" fontId="19" fillId="0" borderId="0" xfId="0" applyFont="1"/>
    <xf numFmtId="1" fontId="19" fillId="0" borderId="0" xfId="4" applyNumberFormat="1" applyFont="1" applyAlignment="1">
      <alignment horizontal="center"/>
    </xf>
    <xf numFmtId="1" fontId="19" fillId="0" borderId="0" xfId="3" applyNumberFormat="1" applyFont="1" applyAlignment="1">
      <alignment horizontal="center"/>
    </xf>
    <xf numFmtId="9" fontId="19" fillId="0" borderId="0" xfId="3" applyNumberFormat="1" applyFont="1"/>
    <xf numFmtId="3" fontId="19" fillId="0" borderId="0" xfId="3" applyNumberFormat="1" applyFont="1" applyAlignment="1">
      <alignment horizontal="center"/>
    </xf>
    <xf numFmtId="3" fontId="19" fillId="0" borderId="0" xfId="3" applyNumberFormat="1" applyFont="1"/>
    <xf numFmtId="1" fontId="19" fillId="0" borderId="0" xfId="3" applyNumberFormat="1" applyFont="1"/>
    <xf numFmtId="3" fontId="19" fillId="0" borderId="0" xfId="0" applyNumberFormat="1" applyFont="1"/>
    <xf numFmtId="4" fontId="19" fillId="0" borderId="0" xfId="0" applyNumberFormat="1" applyFont="1"/>
    <xf numFmtId="9" fontId="0" fillId="0" borderId="0" xfId="0" applyNumberFormat="1"/>
    <xf numFmtId="3" fontId="0" fillId="0" borderId="0" xfId="0" applyNumberFormat="1" applyBorder="1"/>
    <xf numFmtId="3" fontId="19" fillId="0" borderId="0" xfId="0" applyNumberFormat="1" applyFont="1" applyBorder="1"/>
    <xf numFmtId="3" fontId="19" fillId="0" borderId="0" xfId="3" applyNumberFormat="1" applyFont="1" applyBorder="1"/>
    <xf numFmtId="4" fontId="19" fillId="0" borderId="0" xfId="0" applyNumberFormat="1" applyFont="1" applyBorder="1"/>
    <xf numFmtId="3" fontId="0" fillId="0" borderId="1" xfId="0" applyNumberFormat="1" applyBorder="1"/>
    <xf numFmtId="3" fontId="19" fillId="0" borderId="1" xfId="0" applyNumberFormat="1" applyFont="1" applyBorder="1"/>
    <xf numFmtId="3" fontId="19" fillId="0" borderId="1" xfId="3" applyNumberFormat="1" applyFont="1" applyBorder="1"/>
    <xf numFmtId="0" fontId="21" fillId="0" borderId="0" xfId="0" applyFont="1"/>
    <xf numFmtId="49" fontId="12" fillId="0" borderId="2" xfId="0" applyNumberFormat="1" applyFont="1" applyBorder="1" applyAlignment="1">
      <alignment horizontal="right"/>
    </xf>
    <xf numFmtId="0" fontId="12" fillId="0" borderId="2" xfId="0" applyFont="1" applyBorder="1"/>
    <xf numFmtId="170" fontId="2" fillId="0" borderId="0" xfId="0" applyNumberFormat="1" applyFont="1" applyAlignment="1">
      <alignment horizontal="right"/>
    </xf>
    <xf numFmtId="170" fontId="12" fillId="0" borderId="0" xfId="0" applyNumberFormat="1" applyFont="1" applyAlignment="1">
      <alignment horizontal="right"/>
    </xf>
    <xf numFmtId="49" fontId="2" fillId="2" borderId="0" xfId="0" applyNumberFormat="1" applyFont="1" applyFill="1" applyAlignment="1">
      <alignment horizontal="left"/>
    </xf>
    <xf numFmtId="170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170" fontId="2" fillId="2" borderId="0" xfId="0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4" fillId="0" borderId="0" xfId="0" applyFont="1"/>
    <xf numFmtId="170" fontId="2" fillId="0" borderId="1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centerContinuous"/>
    </xf>
    <xf numFmtId="49" fontId="13" fillId="0" borderId="0" xfId="0" applyNumberFormat="1" applyFont="1" applyBorder="1" applyAlignment="1">
      <alignment horizontal="centerContinuous"/>
    </xf>
    <xf numFmtId="164" fontId="13" fillId="0" borderId="0" xfId="0" applyNumberFormat="1" applyFont="1" applyBorder="1" applyAlignment="1">
      <alignment horizontal="centerContinuous"/>
    </xf>
    <xf numFmtId="170" fontId="13" fillId="0" borderId="0" xfId="0" applyNumberFormat="1" applyFont="1" applyBorder="1" applyAlignment="1">
      <alignment horizontal="centerContinuous"/>
    </xf>
    <xf numFmtId="0" fontId="26" fillId="0" borderId="0" xfId="0" applyFont="1" applyBorder="1" applyAlignment="1">
      <alignment horizontal="centerContinuous"/>
    </xf>
    <xf numFmtId="49" fontId="13" fillId="0" borderId="0" xfId="0" applyNumberFormat="1" applyFont="1" applyBorder="1" applyAlignment="1">
      <alignment horizontal="left"/>
    </xf>
    <xf numFmtId="49" fontId="13" fillId="0" borderId="7" xfId="0" applyNumberFormat="1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43" fontId="2" fillId="0" borderId="0" xfId="1" applyFont="1" applyFill="1" applyAlignment="1">
      <alignment horizontal="left" vertical="top"/>
    </xf>
    <xf numFmtId="1" fontId="2" fillId="0" borderId="0" xfId="1" applyNumberFormat="1" applyFont="1" applyAlignment="1">
      <alignment horizontal="right" vertical="top"/>
    </xf>
    <xf numFmtId="0" fontId="26" fillId="0" borderId="0" xfId="0" applyFont="1"/>
    <xf numFmtId="4" fontId="13" fillId="0" borderId="0" xfId="0" applyNumberFormat="1" applyFont="1" applyBorder="1" applyAlignment="1">
      <alignment horizontal="right"/>
    </xf>
    <xf numFmtId="4" fontId="13" fillId="0" borderId="0" xfId="0" applyNumberFormat="1" applyFont="1" applyBorder="1" applyAlignment="1"/>
    <xf numFmtId="1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left"/>
    </xf>
    <xf numFmtId="43" fontId="26" fillId="0" borderId="0" xfId="1" applyFont="1"/>
    <xf numFmtId="43" fontId="2" fillId="0" borderId="0" xfId="1" applyFont="1" applyFill="1" applyAlignment="1">
      <alignment horizontal="left"/>
    </xf>
    <xf numFmtId="4" fontId="26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43" fontId="2" fillId="0" borderId="1" xfId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/>
    <xf numFmtId="49" fontId="13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1" fontId="26" fillId="0" borderId="0" xfId="0" applyNumberFormat="1" applyFont="1" applyAlignment="1">
      <alignment horizontal="left"/>
    </xf>
    <xf numFmtId="4" fontId="2" fillId="0" borderId="0" xfId="1" applyNumberFormat="1" applyFont="1" applyAlignment="1">
      <alignment horizontal="left"/>
    </xf>
    <xf numFmtId="4" fontId="13" fillId="0" borderId="0" xfId="0" applyNumberFormat="1" applyFont="1" applyAlignment="1"/>
    <xf numFmtId="0" fontId="8" fillId="0" borderId="0" xfId="0" applyFont="1"/>
    <xf numFmtId="0" fontId="0" fillId="3" borderId="0" xfId="0" applyFill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44" fontId="11" fillId="0" borderId="12" xfId="2" applyFont="1" applyBorder="1" applyAlignment="1">
      <alignment horizontal="center" vertical="center"/>
    </xf>
    <xf numFmtId="44" fontId="0" fillId="3" borderId="0" xfId="2" applyFont="1" applyFill="1"/>
    <xf numFmtId="44" fontId="0" fillId="0" borderId="0" xfId="2" applyFont="1" applyFill="1"/>
    <xf numFmtId="167" fontId="0" fillId="0" borderId="11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44" fontId="0" fillId="0" borderId="0" xfId="2" applyFont="1" applyBorder="1" applyAlignment="1">
      <alignment horizontal="left" vertical="center"/>
    </xf>
    <xf numFmtId="44" fontId="0" fillId="0" borderId="12" xfId="2" applyFont="1" applyBorder="1"/>
    <xf numFmtId="44" fontId="0" fillId="0" borderId="0" xfId="0" applyNumberFormat="1"/>
    <xf numFmtId="0" fontId="0" fillId="0" borderId="7" xfId="0" applyBorder="1"/>
    <xf numFmtId="0" fontId="0" fillId="0" borderId="7" xfId="0" applyBorder="1" applyAlignment="1">
      <alignment wrapText="1"/>
    </xf>
    <xf numFmtId="44" fontId="0" fillId="3" borderId="7" xfId="2" applyFont="1" applyFill="1" applyBorder="1"/>
    <xf numFmtId="44" fontId="0" fillId="0" borderId="7" xfId="2" applyFont="1" applyFill="1" applyBorder="1"/>
    <xf numFmtId="167" fontId="0" fillId="0" borderId="13" xfId="0" applyNumberFormat="1" applyBorder="1" applyAlignment="1">
      <alignment horizontal="right" vertical="center"/>
    </xf>
    <xf numFmtId="0" fontId="0" fillId="0" borderId="7" xfId="0" applyBorder="1" applyAlignment="1">
      <alignment horizontal="right"/>
    </xf>
    <xf numFmtId="44" fontId="0" fillId="0" borderId="7" xfId="2" applyFont="1" applyBorder="1" applyAlignment="1">
      <alignment horizontal="left" vertical="center"/>
    </xf>
    <xf numFmtId="44" fontId="0" fillId="0" borderId="14" xfId="2" applyFont="1" applyBorder="1"/>
    <xf numFmtId="0" fontId="30" fillId="0" borderId="0" xfId="0" applyFont="1" applyFill="1" applyBorder="1"/>
    <xf numFmtId="0" fontId="0" fillId="0" borderId="0" xfId="0" applyFill="1"/>
    <xf numFmtId="167" fontId="30" fillId="0" borderId="11" xfId="0" applyNumberFormat="1" applyFont="1" applyBorder="1" applyAlignment="1">
      <alignment horizontal="left" vertical="center"/>
    </xf>
    <xf numFmtId="167" fontId="0" fillId="0" borderId="0" xfId="0" applyNumberFormat="1" applyBorder="1" applyAlignment="1">
      <alignment horizontal="right" vertical="center"/>
    </xf>
    <xf numFmtId="44" fontId="30" fillId="0" borderId="0" xfId="2" applyFont="1" applyBorder="1"/>
    <xf numFmtId="44" fontId="0" fillId="0" borderId="12" xfId="0" applyNumberFormat="1" applyBorder="1"/>
    <xf numFmtId="0" fontId="0" fillId="0" borderId="11" xfId="0" applyBorder="1"/>
    <xf numFmtId="44" fontId="0" fillId="0" borderId="0" xfId="2" applyFont="1" applyBorder="1"/>
    <xf numFmtId="44" fontId="0" fillId="3" borderId="0" xfId="2" applyFont="1" applyFill="1" applyBorder="1"/>
    <xf numFmtId="44" fontId="0" fillId="0" borderId="0" xfId="2" applyFont="1" applyFill="1" applyBorder="1"/>
    <xf numFmtId="0" fontId="0" fillId="0" borderId="0" xfId="0" applyBorder="1"/>
    <xf numFmtId="0" fontId="30" fillId="0" borderId="0" xfId="0" applyFont="1" applyBorder="1"/>
    <xf numFmtId="0" fontId="30" fillId="0" borderId="0" xfId="0" applyFont="1"/>
    <xf numFmtId="4" fontId="0" fillId="0" borderId="1" xfId="0" applyNumberFormat="1" applyBorder="1"/>
    <xf numFmtId="44" fontId="0" fillId="0" borderId="1" xfId="0" applyNumberFormat="1" applyBorder="1"/>
    <xf numFmtId="49" fontId="12" fillId="0" borderId="0" xfId="0" applyNumberFormat="1" applyFont="1" applyFill="1" applyAlignment="1">
      <alignment horizontal="left"/>
    </xf>
    <xf numFmtId="171" fontId="0" fillId="0" borderId="0" xfId="0" applyNumberFormat="1"/>
    <xf numFmtId="171" fontId="4" fillId="0" borderId="0" xfId="0" applyNumberFormat="1" applyFont="1"/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170" fontId="12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4" fontId="13" fillId="0" borderId="0" xfId="0" applyNumberFormat="1" applyFont="1" applyAlignment="1">
      <alignment horizontal="centerContinuous"/>
    </xf>
    <xf numFmtId="0" fontId="14" fillId="0" borderId="0" xfId="0" applyFont="1" applyBorder="1" applyAlignment="1">
      <alignment horizontal="centerContinuous"/>
    </xf>
    <xf numFmtId="49" fontId="14" fillId="0" borderId="0" xfId="0" applyNumberFormat="1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1" xfId="0" applyBorder="1"/>
    <xf numFmtId="0" fontId="0" fillId="0" borderId="7" xfId="0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3" fontId="0" fillId="0" borderId="2" xfId="0" applyNumberFormat="1" applyBorder="1"/>
    <xf numFmtId="0" fontId="4" fillId="0" borderId="6" xfId="0" applyFont="1" applyBorder="1" applyAlignment="1">
      <alignment horizontal="center" wrapText="1"/>
    </xf>
    <xf numFmtId="3" fontId="4" fillId="0" borderId="15" xfId="0" applyNumberFormat="1" applyFont="1" applyBorder="1"/>
    <xf numFmtId="0" fontId="27" fillId="0" borderId="0" xfId="0" applyFont="1" applyBorder="1" applyAlignment="1">
      <alignment horizontal="center"/>
    </xf>
    <xf numFmtId="17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ill="1" applyBorder="1"/>
  </cellXfs>
  <cellStyles count="5">
    <cellStyle name="Comma" xfId="1" builtinId="3"/>
    <cellStyle name="Currency" xfId="2" builtinId="4"/>
    <cellStyle name="Normal" xfId="0" builtinId="0"/>
    <cellStyle name="Normal_Depr Sch" xfId="4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%20Data\Arrow%20Launch\Rate%20Filing%202-2018\Gabi's%20Paryoll%20Templat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 Summary"/>
      <sheetName val="Qtr 9-30-16"/>
      <sheetName val="Qtr 12-31-16"/>
      <sheetName val="Qtr 3-31-17"/>
      <sheetName val="Qtr 6-30-17"/>
    </sheetNames>
    <sheetDataSet>
      <sheetData sheetId="0"/>
      <sheetData sheetId="1"/>
      <sheetData sheetId="2">
        <row r="313">
          <cell r="F313">
            <v>522.25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E199"/>
  <sheetViews>
    <sheetView workbookViewId="0">
      <pane ySplit="4" topLeftCell="A179" activePane="bottomLeft" state="frozenSplit"/>
      <selection pane="bottomLeft" activeCell="A187" sqref="A187"/>
    </sheetView>
  </sheetViews>
  <sheetFormatPr defaultColWidth="9.140625" defaultRowHeight="12.75" x14ac:dyDescent="0.2"/>
  <cols>
    <col min="1" max="1" width="34.7109375" style="1" customWidth="1"/>
    <col min="2" max="3" width="16.7109375" style="1" customWidth="1"/>
    <col min="4" max="4" width="5.28515625" style="1" customWidth="1"/>
    <col min="5" max="5" width="18" style="1" customWidth="1"/>
    <col min="6" max="6" width="4.42578125" style="1" customWidth="1"/>
    <col min="7" max="7" width="14.140625" style="1" customWidth="1"/>
    <col min="8" max="8" width="4.28515625" style="1" customWidth="1"/>
    <col min="9" max="12" width="15" style="1" customWidth="1"/>
    <col min="13" max="13" width="17.5703125" style="1" customWidth="1"/>
    <col min="14" max="14" width="13.140625" style="1" customWidth="1"/>
    <col min="15" max="15" width="13.42578125" style="1" customWidth="1"/>
    <col min="16" max="17" width="11.85546875" style="1" customWidth="1"/>
    <col min="18" max="20" width="13.42578125" style="1" customWidth="1"/>
    <col min="21" max="21" width="12.5703125" style="1" customWidth="1"/>
    <col min="22" max="22" width="12.85546875" style="1" customWidth="1"/>
    <col min="23" max="23" width="11" style="1" customWidth="1"/>
    <col min="24" max="24" width="11.42578125" style="1" customWidth="1"/>
    <col min="25" max="25" width="12" style="1" customWidth="1"/>
    <col min="26" max="26" width="10.5703125" style="1" customWidth="1"/>
    <col min="27" max="27" width="9.7109375" style="1" customWidth="1"/>
    <col min="28" max="28" width="9.5703125" style="1" customWidth="1"/>
    <col min="29" max="29" width="9.28515625" style="1" customWidth="1"/>
    <col min="30" max="30" width="11.5703125" style="1" customWidth="1"/>
    <col min="31" max="31" width="10.42578125" style="1" customWidth="1"/>
    <col min="32" max="32" width="10" style="1" customWidth="1"/>
    <col min="33" max="33" width="10.28515625" style="1" customWidth="1"/>
    <col min="34" max="34" width="10" style="1" customWidth="1"/>
    <col min="35" max="35" width="10.7109375" style="1" customWidth="1"/>
    <col min="36" max="36" width="9" style="1" customWidth="1"/>
    <col min="37" max="37" width="11" style="1" customWidth="1"/>
    <col min="38" max="39" width="10.7109375" style="1" customWidth="1"/>
    <col min="40" max="40" width="10.42578125" style="1" customWidth="1"/>
    <col min="41" max="41" width="10.5703125" style="1" customWidth="1"/>
    <col min="42" max="42" width="11.28515625" style="1" customWidth="1"/>
    <col min="43" max="43" width="12.85546875" style="1" customWidth="1"/>
    <col min="44" max="44" width="11" style="1" customWidth="1"/>
    <col min="45" max="45" width="12" style="1" customWidth="1"/>
    <col min="46" max="46" width="10.7109375" style="1" customWidth="1"/>
    <col min="47" max="47" width="11.28515625" style="1" customWidth="1"/>
    <col min="48" max="48" width="10" style="1" customWidth="1"/>
    <col min="49" max="49" width="12" style="1" customWidth="1"/>
    <col min="50" max="50" width="12.140625" style="1" customWidth="1"/>
    <col min="51" max="51" width="9.85546875" style="1" customWidth="1"/>
    <col min="52" max="52" width="12.42578125" style="1" customWidth="1"/>
    <col min="53" max="53" width="10.5703125" style="1" customWidth="1"/>
    <col min="54" max="54" width="10.28515625" style="1" customWidth="1"/>
    <col min="55" max="55" width="8.85546875" style="1" customWidth="1"/>
    <col min="56" max="56" width="9.7109375" style="1" customWidth="1"/>
    <col min="57" max="57" width="10.42578125" style="1" customWidth="1"/>
    <col min="58" max="16384" width="9.140625" style="1"/>
  </cols>
  <sheetData>
    <row r="2" spans="1:57" ht="31.5" x14ac:dyDescent="0.25">
      <c r="A2" s="3"/>
      <c r="B2" s="4">
        <v>42551</v>
      </c>
      <c r="C2" s="4">
        <v>42735</v>
      </c>
      <c r="D2" s="4"/>
      <c r="E2" s="3" t="s">
        <v>186</v>
      </c>
      <c r="F2" s="3"/>
      <c r="G2" s="4">
        <v>42916</v>
      </c>
      <c r="H2" s="3"/>
      <c r="I2" s="5" t="s">
        <v>187</v>
      </c>
      <c r="J2" s="5" t="s">
        <v>267</v>
      </c>
      <c r="K2" s="5" t="s">
        <v>267</v>
      </c>
      <c r="L2" s="5" t="s">
        <v>187</v>
      </c>
      <c r="M2" s="3"/>
      <c r="N2" s="3"/>
    </row>
    <row r="3" spans="1:57" ht="15.75" x14ac:dyDescent="0.25">
      <c r="A3" s="3"/>
      <c r="B3" s="4"/>
      <c r="C3" s="4"/>
      <c r="D3" s="4"/>
      <c r="E3" s="4"/>
      <c r="F3" s="3"/>
      <c r="G3" s="4"/>
      <c r="H3" s="3"/>
      <c r="I3" s="3"/>
      <c r="J3" s="3" t="s">
        <v>268</v>
      </c>
      <c r="K3" s="3" t="s">
        <v>268</v>
      </c>
      <c r="L3" s="3"/>
      <c r="M3" s="3"/>
      <c r="N3" s="3"/>
    </row>
    <row r="4" spans="1:57" ht="47.25" customHeight="1" x14ac:dyDescent="0.25">
      <c r="A4" s="6"/>
      <c r="B4" s="7"/>
      <c r="C4" s="7"/>
      <c r="D4" s="7"/>
      <c r="E4" s="7"/>
      <c r="F4" s="3"/>
      <c r="G4" s="3"/>
      <c r="H4" s="3"/>
      <c r="I4" s="3"/>
      <c r="J4" s="4">
        <v>42735</v>
      </c>
      <c r="K4" s="4">
        <v>42916</v>
      </c>
      <c r="L4" s="3"/>
      <c r="M4" s="3"/>
      <c r="N4" s="12" t="s">
        <v>188</v>
      </c>
      <c r="O4" s="12" t="s">
        <v>153</v>
      </c>
      <c r="P4" s="27" t="s">
        <v>213</v>
      </c>
      <c r="Q4" s="27" t="s">
        <v>214</v>
      </c>
      <c r="R4" s="27" t="s">
        <v>189</v>
      </c>
      <c r="S4" s="27" t="s">
        <v>52</v>
      </c>
      <c r="T4" s="27" t="s">
        <v>54</v>
      </c>
      <c r="U4" s="12"/>
      <c r="V4" s="12" t="s">
        <v>190</v>
      </c>
      <c r="W4" s="27" t="s">
        <v>191</v>
      </c>
      <c r="X4" s="1" t="s">
        <v>192</v>
      </c>
      <c r="Y4" s="1" t="s">
        <v>193</v>
      </c>
      <c r="Z4" s="28" t="s">
        <v>194</v>
      </c>
      <c r="AA4" s="28" t="s">
        <v>198</v>
      </c>
      <c r="AB4" s="28" t="s">
        <v>195</v>
      </c>
      <c r="AC4" s="28" t="s">
        <v>748</v>
      </c>
      <c r="AD4" s="1" t="s">
        <v>196</v>
      </c>
      <c r="AE4" s="1" t="s">
        <v>197</v>
      </c>
      <c r="AF4" s="28" t="s">
        <v>199</v>
      </c>
      <c r="AG4" s="28" t="s">
        <v>201</v>
      </c>
      <c r="AH4" s="28" t="s">
        <v>200</v>
      </c>
      <c r="AI4" s="28" t="s">
        <v>150</v>
      </c>
      <c r="AJ4" s="1" t="s">
        <v>202</v>
      </c>
      <c r="AK4" s="1" t="s">
        <v>142</v>
      </c>
      <c r="AL4" s="1" t="s">
        <v>203</v>
      </c>
      <c r="AM4" s="1" t="s">
        <v>204</v>
      </c>
      <c r="AN4" s="1" t="s">
        <v>205</v>
      </c>
      <c r="AO4" s="1" t="s">
        <v>206</v>
      </c>
      <c r="AP4" s="1" t="s">
        <v>207</v>
      </c>
      <c r="AQ4" s="28" t="s">
        <v>147</v>
      </c>
      <c r="AR4" s="1" t="s">
        <v>149</v>
      </c>
      <c r="AS4" s="28" t="s">
        <v>208</v>
      </c>
      <c r="AT4" s="1" t="s">
        <v>154</v>
      </c>
      <c r="AU4" s="1" t="s">
        <v>155</v>
      </c>
      <c r="AV4" s="28" t="s">
        <v>209</v>
      </c>
      <c r="AW4" s="1" t="s">
        <v>164</v>
      </c>
      <c r="AX4" s="28" t="s">
        <v>749</v>
      </c>
      <c r="AY4" s="1" t="s">
        <v>210</v>
      </c>
      <c r="AZ4" s="1" t="s">
        <v>224</v>
      </c>
      <c r="BA4" s="1" t="s">
        <v>211</v>
      </c>
      <c r="BB4" s="1" t="s">
        <v>212</v>
      </c>
      <c r="BC4" s="1" t="s">
        <v>179</v>
      </c>
      <c r="BD4" s="1" t="s">
        <v>181</v>
      </c>
      <c r="BE4" s="1" t="s">
        <v>182</v>
      </c>
    </row>
    <row r="5" spans="1:57" ht="15.75" x14ac:dyDescent="0.25">
      <c r="A5" s="8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57" ht="15.75" x14ac:dyDescent="0.25">
      <c r="A6" s="8" t="s">
        <v>3</v>
      </c>
      <c r="B6" s="14">
        <v>648144.59</v>
      </c>
      <c r="C6" s="9">
        <v>1445250.1</v>
      </c>
      <c r="D6" s="9"/>
      <c r="E6" s="14">
        <f>+C6-B6</f>
        <v>797105.51000000013</v>
      </c>
      <c r="F6" s="12"/>
      <c r="G6" s="14">
        <v>873024.7</v>
      </c>
      <c r="H6" s="12"/>
      <c r="I6" s="12">
        <f>+E6+G6</f>
        <v>1670130.21</v>
      </c>
      <c r="J6" s="12"/>
      <c r="K6" s="12"/>
      <c r="L6" s="12">
        <f>+I6+J6+K6</f>
        <v>1670130.21</v>
      </c>
      <c r="M6" s="12"/>
      <c r="N6" s="12">
        <f>+L6</f>
        <v>1670130.21</v>
      </c>
      <c r="O6" s="12"/>
      <c r="P6" s="12"/>
      <c r="Q6" s="12"/>
      <c r="R6" s="12"/>
      <c r="S6" s="12"/>
      <c r="T6" s="12"/>
      <c r="U6" s="12"/>
      <c r="V6" s="12"/>
      <c r="W6" s="12"/>
    </row>
    <row r="7" spans="1:57" ht="15.75" x14ac:dyDescent="0.25">
      <c r="A7" s="8" t="s">
        <v>4</v>
      </c>
      <c r="B7" s="14">
        <v>90858.79</v>
      </c>
      <c r="C7" s="9">
        <v>161334.43</v>
      </c>
      <c r="D7" s="9"/>
      <c r="E7" s="14">
        <f t="shared" ref="E7:E57" si="0">+C7-B7</f>
        <v>70475.64</v>
      </c>
      <c r="F7" s="12"/>
      <c r="G7" s="14">
        <v>89919.39</v>
      </c>
      <c r="H7" s="12"/>
      <c r="I7" s="12">
        <f t="shared" ref="I7:I57" si="1">+E7+G7</f>
        <v>160395.03</v>
      </c>
      <c r="J7" s="12"/>
      <c r="K7" s="12"/>
      <c r="L7" s="12">
        <f t="shared" ref="L7:L57" si="2">+I7+J7+K7</f>
        <v>160395.03</v>
      </c>
      <c r="M7" s="12"/>
      <c r="N7" s="12"/>
      <c r="O7" s="12">
        <f>+L7</f>
        <v>160395.03</v>
      </c>
      <c r="P7" s="12"/>
      <c r="Q7" s="12"/>
      <c r="R7" s="12"/>
      <c r="S7" s="12"/>
      <c r="T7" s="12"/>
      <c r="U7" s="12"/>
      <c r="V7" s="12"/>
      <c r="W7" s="12"/>
    </row>
    <row r="8" spans="1:57" ht="15.75" x14ac:dyDescent="0.25">
      <c r="A8" s="8" t="s">
        <v>5</v>
      </c>
      <c r="B8" s="14">
        <v>23804.7</v>
      </c>
      <c r="C8" s="9">
        <v>43218.39</v>
      </c>
      <c r="D8" s="9"/>
      <c r="E8" s="14">
        <f t="shared" si="0"/>
        <v>19413.689999999999</v>
      </c>
      <c r="F8" s="12"/>
      <c r="G8" s="14">
        <v>24732.58</v>
      </c>
      <c r="H8" s="12"/>
      <c r="I8" s="12">
        <f t="shared" si="1"/>
        <v>44146.270000000004</v>
      </c>
      <c r="J8" s="12"/>
      <c r="K8" s="12"/>
      <c r="L8" s="12">
        <f t="shared" si="2"/>
        <v>44146.270000000004</v>
      </c>
      <c r="M8" s="12"/>
      <c r="N8" s="12"/>
      <c r="O8" s="12"/>
      <c r="P8" s="12">
        <f>+L8</f>
        <v>44146.270000000004</v>
      </c>
      <c r="Q8" s="12"/>
      <c r="R8" s="12"/>
      <c r="S8" s="12"/>
      <c r="T8" s="12"/>
      <c r="U8" s="12"/>
      <c r="V8" s="12"/>
      <c r="W8" s="12"/>
    </row>
    <row r="9" spans="1:57" ht="15.75" x14ac:dyDescent="0.25">
      <c r="A9" s="8" t="s">
        <v>6</v>
      </c>
      <c r="B9" s="14">
        <v>127240.7</v>
      </c>
      <c r="C9" s="9">
        <v>276086.96999999997</v>
      </c>
      <c r="D9" s="9"/>
      <c r="E9" s="14">
        <f t="shared" si="0"/>
        <v>148846.26999999996</v>
      </c>
      <c r="F9" s="12"/>
      <c r="G9" s="14">
        <v>144377.48000000001</v>
      </c>
      <c r="H9" s="12"/>
      <c r="I9" s="12">
        <f t="shared" si="1"/>
        <v>293223.75</v>
      </c>
      <c r="J9" s="12"/>
      <c r="K9" s="12"/>
      <c r="L9" s="12">
        <f t="shared" si="2"/>
        <v>293223.75</v>
      </c>
      <c r="M9" s="12"/>
      <c r="N9" s="12"/>
      <c r="O9" s="12"/>
      <c r="P9" s="12"/>
      <c r="Q9" s="12">
        <f>+L9</f>
        <v>293223.75</v>
      </c>
      <c r="R9" s="12"/>
      <c r="S9" s="12"/>
      <c r="T9" s="12"/>
      <c r="U9" s="12"/>
      <c r="V9" s="12"/>
      <c r="W9" s="12"/>
    </row>
    <row r="10" spans="1:57" ht="15.75" x14ac:dyDescent="0.25">
      <c r="A10" s="8" t="s">
        <v>7</v>
      </c>
      <c r="B10" s="14">
        <v>47825</v>
      </c>
      <c r="C10" s="9">
        <v>87125</v>
      </c>
      <c r="D10" s="9"/>
      <c r="E10" s="14">
        <f t="shared" si="0"/>
        <v>39300</v>
      </c>
      <c r="F10" s="12"/>
      <c r="G10" s="14">
        <v>42900</v>
      </c>
      <c r="H10" s="12"/>
      <c r="I10" s="12">
        <f t="shared" si="1"/>
        <v>82200</v>
      </c>
      <c r="J10" s="12"/>
      <c r="K10" s="12"/>
      <c r="L10" s="12">
        <f t="shared" si="2"/>
        <v>82200</v>
      </c>
      <c r="M10" s="12"/>
      <c r="N10" s="12"/>
      <c r="O10" s="12"/>
      <c r="P10" s="12"/>
      <c r="Q10" s="12"/>
      <c r="R10" s="12">
        <f>+L10</f>
        <v>82200</v>
      </c>
      <c r="S10" s="12"/>
      <c r="T10" s="12"/>
      <c r="U10" s="12"/>
      <c r="V10" s="12"/>
      <c r="W10" s="12"/>
    </row>
    <row r="11" spans="1:57" ht="15.75" x14ac:dyDescent="0.25">
      <c r="A11" s="8" t="s">
        <v>8</v>
      </c>
      <c r="B11" s="14">
        <v>16100</v>
      </c>
      <c r="C11" s="9">
        <v>29650</v>
      </c>
      <c r="D11" s="9"/>
      <c r="E11" s="14">
        <f t="shared" si="0"/>
        <v>13550</v>
      </c>
      <c r="F11" s="12"/>
      <c r="G11" s="14">
        <v>13350</v>
      </c>
      <c r="H11" s="12"/>
      <c r="I11" s="12">
        <f t="shared" si="1"/>
        <v>26900</v>
      </c>
      <c r="J11" s="12"/>
      <c r="K11" s="12"/>
      <c r="L11" s="12">
        <f t="shared" si="2"/>
        <v>26900</v>
      </c>
      <c r="M11" s="12"/>
      <c r="N11" s="12"/>
      <c r="O11" s="12"/>
      <c r="P11" s="12"/>
      <c r="Q11" s="12"/>
      <c r="R11" s="12">
        <f t="shared" ref="R11:R13" si="3">+L11</f>
        <v>26900</v>
      </c>
      <c r="S11" s="12"/>
      <c r="T11" s="12"/>
      <c r="U11" s="12"/>
      <c r="V11" s="12"/>
      <c r="W11" s="12"/>
    </row>
    <row r="12" spans="1:57" ht="15.75" x14ac:dyDescent="0.25">
      <c r="A12" s="8" t="s">
        <v>9</v>
      </c>
      <c r="B12" s="14">
        <v>23250</v>
      </c>
      <c r="C12" s="9">
        <v>43700</v>
      </c>
      <c r="D12" s="9"/>
      <c r="E12" s="14">
        <f t="shared" si="0"/>
        <v>20450</v>
      </c>
      <c r="F12" s="12"/>
      <c r="G12" s="14">
        <v>20225</v>
      </c>
      <c r="H12" s="12"/>
      <c r="I12" s="12">
        <f t="shared" si="1"/>
        <v>40675</v>
      </c>
      <c r="J12" s="12"/>
      <c r="K12" s="12"/>
      <c r="L12" s="12">
        <f t="shared" si="2"/>
        <v>40675</v>
      </c>
      <c r="M12" s="12"/>
      <c r="N12" s="12"/>
      <c r="O12" s="12"/>
      <c r="P12" s="12"/>
      <c r="Q12" s="12"/>
      <c r="R12" s="12">
        <f t="shared" si="3"/>
        <v>40675</v>
      </c>
      <c r="S12" s="12"/>
      <c r="T12" s="12"/>
      <c r="U12" s="12"/>
      <c r="V12" s="12"/>
      <c r="W12" s="12"/>
    </row>
    <row r="13" spans="1:57" ht="15.75" x14ac:dyDescent="0.25">
      <c r="A13" s="8" t="s">
        <v>10</v>
      </c>
      <c r="B13" s="14">
        <v>14625</v>
      </c>
      <c r="C13" s="9">
        <v>31785</v>
      </c>
      <c r="D13" s="9"/>
      <c r="E13" s="14">
        <f t="shared" si="0"/>
        <v>17160</v>
      </c>
      <c r="F13" s="12"/>
      <c r="G13" s="14">
        <v>13065</v>
      </c>
      <c r="H13" s="12"/>
      <c r="I13" s="12">
        <f t="shared" si="1"/>
        <v>30225</v>
      </c>
      <c r="J13" s="12"/>
      <c r="K13" s="12"/>
      <c r="L13" s="12">
        <f t="shared" si="2"/>
        <v>30225</v>
      </c>
      <c r="M13" s="12"/>
      <c r="N13" s="12"/>
      <c r="O13" s="12"/>
      <c r="P13" s="12"/>
      <c r="Q13" s="12"/>
      <c r="R13" s="12">
        <f t="shared" si="3"/>
        <v>30225</v>
      </c>
      <c r="S13" s="12"/>
      <c r="T13" s="12"/>
      <c r="U13" s="12"/>
      <c r="V13" s="12"/>
      <c r="W13" s="12"/>
    </row>
    <row r="14" spans="1:57" ht="15.75" x14ac:dyDescent="0.25">
      <c r="A14" s="8" t="s">
        <v>11</v>
      </c>
      <c r="B14" s="14">
        <v>471882.22</v>
      </c>
      <c r="C14" s="9">
        <v>876339.53</v>
      </c>
      <c r="D14" s="9"/>
      <c r="E14" s="14">
        <f t="shared" si="0"/>
        <v>404457.31000000006</v>
      </c>
      <c r="F14" s="12"/>
      <c r="G14" s="14">
        <v>487200.03</v>
      </c>
      <c r="H14" s="12"/>
      <c r="I14" s="12">
        <f t="shared" si="1"/>
        <v>891657.34000000008</v>
      </c>
      <c r="J14" s="12"/>
      <c r="K14" s="12"/>
      <c r="L14" s="12">
        <f t="shared" si="2"/>
        <v>891657.34000000008</v>
      </c>
      <c r="M14" s="12"/>
      <c r="N14" s="12">
        <f>+L14</f>
        <v>891657.34000000008</v>
      </c>
      <c r="O14" s="12"/>
      <c r="P14" s="12"/>
      <c r="Q14" s="12"/>
      <c r="R14" s="12"/>
      <c r="S14" s="12"/>
      <c r="T14" s="12"/>
      <c r="U14" s="12"/>
      <c r="V14" s="12"/>
      <c r="W14" s="12"/>
    </row>
    <row r="15" spans="1:57" ht="15.75" x14ac:dyDescent="0.25">
      <c r="A15" s="8" t="s">
        <v>12</v>
      </c>
      <c r="B15" s="14">
        <v>36046</v>
      </c>
      <c r="C15" s="9">
        <v>58371.01</v>
      </c>
      <c r="D15" s="9"/>
      <c r="E15" s="14">
        <f t="shared" si="0"/>
        <v>22325.010000000002</v>
      </c>
      <c r="F15" s="12"/>
      <c r="G15" s="14">
        <v>53167.51</v>
      </c>
      <c r="H15" s="12"/>
      <c r="I15" s="12">
        <f t="shared" si="1"/>
        <v>75492.52</v>
      </c>
      <c r="J15" s="12"/>
      <c r="K15" s="12"/>
      <c r="L15" s="12">
        <f t="shared" si="2"/>
        <v>75492.52</v>
      </c>
      <c r="M15" s="12"/>
      <c r="N15" s="12"/>
      <c r="O15" s="12">
        <f>+L15</f>
        <v>75492.52</v>
      </c>
      <c r="P15" s="12"/>
      <c r="Q15" s="12"/>
      <c r="R15" s="12"/>
      <c r="S15" s="12"/>
      <c r="T15" s="12"/>
      <c r="U15" s="12"/>
      <c r="V15" s="12"/>
      <c r="W15" s="12"/>
    </row>
    <row r="16" spans="1:57" ht="15.75" x14ac:dyDescent="0.25">
      <c r="A16" s="8" t="s">
        <v>13</v>
      </c>
      <c r="B16" s="14">
        <v>10609.34</v>
      </c>
      <c r="C16" s="9">
        <v>17859.23</v>
      </c>
      <c r="D16" s="9"/>
      <c r="E16" s="14">
        <f t="shared" si="0"/>
        <v>7249.8899999999994</v>
      </c>
      <c r="F16" s="12"/>
      <c r="G16" s="14">
        <v>15372.49</v>
      </c>
      <c r="H16" s="12"/>
      <c r="I16" s="12">
        <f t="shared" si="1"/>
        <v>22622.379999999997</v>
      </c>
      <c r="J16" s="12"/>
      <c r="K16" s="12"/>
      <c r="L16" s="12">
        <f t="shared" si="2"/>
        <v>22622.379999999997</v>
      </c>
      <c r="M16" s="12"/>
      <c r="N16" s="12"/>
      <c r="O16" s="12"/>
      <c r="P16" s="12">
        <f>+L16</f>
        <v>22622.379999999997</v>
      </c>
      <c r="Q16" s="12"/>
      <c r="R16" s="12"/>
      <c r="S16" s="12"/>
      <c r="T16" s="12"/>
      <c r="U16" s="12"/>
      <c r="V16" s="12"/>
      <c r="W16" s="12"/>
    </row>
    <row r="17" spans="1:23" ht="15.75" x14ac:dyDescent="0.25">
      <c r="A17" s="8" t="s">
        <v>14</v>
      </c>
      <c r="B17" s="14">
        <v>91533.35</v>
      </c>
      <c r="C17" s="9">
        <v>169113.16</v>
      </c>
      <c r="D17" s="9"/>
      <c r="E17" s="14">
        <f t="shared" si="0"/>
        <v>77579.81</v>
      </c>
      <c r="F17" s="12"/>
      <c r="G17" s="14">
        <v>90107.27</v>
      </c>
      <c r="H17" s="12"/>
      <c r="I17" s="12">
        <f t="shared" si="1"/>
        <v>167687.08000000002</v>
      </c>
      <c r="J17" s="12"/>
      <c r="K17" s="12"/>
      <c r="L17" s="12">
        <f t="shared" si="2"/>
        <v>167687.08000000002</v>
      </c>
      <c r="M17" s="12"/>
      <c r="N17" s="12"/>
      <c r="O17" s="12"/>
      <c r="P17" s="12"/>
      <c r="Q17" s="12">
        <f>+L17</f>
        <v>167687.08000000002</v>
      </c>
      <c r="R17" s="12"/>
      <c r="S17" s="12"/>
      <c r="T17" s="12"/>
      <c r="U17" s="12"/>
      <c r="V17" s="12"/>
      <c r="W17" s="12"/>
    </row>
    <row r="18" spans="1:23" ht="15.75" x14ac:dyDescent="0.25">
      <c r="A18" s="8" t="s">
        <v>15</v>
      </c>
      <c r="B18" s="14">
        <v>1600</v>
      </c>
      <c r="C18" s="9">
        <v>7200</v>
      </c>
      <c r="D18" s="9"/>
      <c r="E18" s="14">
        <f t="shared" si="0"/>
        <v>5600</v>
      </c>
      <c r="F18" s="12"/>
      <c r="G18" s="14">
        <v>800</v>
      </c>
      <c r="H18" s="12"/>
      <c r="I18" s="12">
        <f t="shared" si="1"/>
        <v>6400</v>
      </c>
      <c r="J18" s="12"/>
      <c r="K18" s="12"/>
      <c r="L18" s="12">
        <f t="shared" si="2"/>
        <v>6400</v>
      </c>
      <c r="M18" s="12"/>
      <c r="N18" s="12"/>
      <c r="O18" s="12"/>
      <c r="P18" s="12"/>
      <c r="Q18" s="12"/>
      <c r="R18" s="12">
        <f>+L18</f>
        <v>6400</v>
      </c>
      <c r="S18" s="12"/>
      <c r="T18" s="12"/>
      <c r="U18" s="12"/>
      <c r="V18" s="12"/>
      <c r="W18" s="12"/>
    </row>
    <row r="19" spans="1:23" ht="15.75" x14ac:dyDescent="0.25">
      <c r="A19" s="8" t="s">
        <v>16</v>
      </c>
      <c r="B19" s="14">
        <v>51976.29</v>
      </c>
      <c r="C19" s="9">
        <v>99720.63</v>
      </c>
      <c r="D19" s="9"/>
      <c r="E19" s="14">
        <f t="shared" si="0"/>
        <v>47744.340000000004</v>
      </c>
      <c r="F19" s="12"/>
      <c r="G19" s="14">
        <v>60116.08</v>
      </c>
      <c r="H19" s="12"/>
      <c r="I19" s="12">
        <f t="shared" si="1"/>
        <v>107860.42000000001</v>
      </c>
      <c r="J19" s="12"/>
      <c r="K19" s="12"/>
      <c r="L19" s="12">
        <f t="shared" si="2"/>
        <v>107860.42000000001</v>
      </c>
      <c r="M19" s="12"/>
      <c r="N19" s="12"/>
      <c r="O19" s="12"/>
      <c r="P19" s="12"/>
      <c r="Q19" s="12"/>
      <c r="R19" s="12">
        <f>+L19</f>
        <v>107860.42000000001</v>
      </c>
      <c r="S19" s="12"/>
      <c r="T19" s="12"/>
      <c r="U19" s="12"/>
      <c r="V19" s="12"/>
      <c r="W19" s="12"/>
    </row>
    <row r="20" spans="1:23" ht="15.75" x14ac:dyDescent="0.25">
      <c r="A20" s="8" t="s">
        <v>17</v>
      </c>
      <c r="B20" s="14">
        <v>212189.13</v>
      </c>
      <c r="C20" s="9">
        <v>527276.05000000005</v>
      </c>
      <c r="D20" s="9"/>
      <c r="E20" s="14">
        <f t="shared" si="0"/>
        <v>315086.92000000004</v>
      </c>
      <c r="F20" s="12"/>
      <c r="G20" s="14">
        <v>328823.84000000003</v>
      </c>
      <c r="H20" s="12"/>
      <c r="I20" s="12">
        <f t="shared" si="1"/>
        <v>643910.76</v>
      </c>
      <c r="J20" s="12"/>
      <c r="K20" s="12"/>
      <c r="L20" s="12">
        <f t="shared" si="2"/>
        <v>643910.76</v>
      </c>
      <c r="M20" s="12"/>
      <c r="N20" s="12">
        <f>+L20</f>
        <v>643910.76</v>
      </c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5.75" x14ac:dyDescent="0.25">
      <c r="A21" s="8" t="s">
        <v>18</v>
      </c>
      <c r="B21" s="14">
        <v>24950.63</v>
      </c>
      <c r="C21" s="9">
        <v>49458.76</v>
      </c>
      <c r="D21" s="9"/>
      <c r="E21" s="14">
        <f t="shared" si="0"/>
        <v>24508.13</v>
      </c>
      <c r="F21" s="12"/>
      <c r="G21" s="14">
        <v>36911.25</v>
      </c>
      <c r="H21" s="12"/>
      <c r="I21" s="12">
        <f t="shared" si="1"/>
        <v>61419.380000000005</v>
      </c>
      <c r="J21" s="12"/>
      <c r="K21" s="12"/>
      <c r="L21" s="12">
        <f t="shared" si="2"/>
        <v>61419.380000000005</v>
      </c>
      <c r="M21" s="12"/>
      <c r="N21" s="12"/>
      <c r="O21" s="12">
        <f>+L21</f>
        <v>61419.380000000005</v>
      </c>
      <c r="P21" s="12"/>
      <c r="Q21" s="12"/>
      <c r="R21" s="12"/>
      <c r="S21" s="12"/>
      <c r="T21" s="12"/>
      <c r="U21" s="12"/>
      <c r="V21" s="12"/>
      <c r="W21" s="12"/>
    </row>
    <row r="22" spans="1:23" ht="15.75" x14ac:dyDescent="0.25">
      <c r="A22" s="8" t="s">
        <v>19</v>
      </c>
      <c r="B22" s="14">
        <v>8103.5</v>
      </c>
      <c r="C22" s="9">
        <v>15156.67</v>
      </c>
      <c r="D22" s="9"/>
      <c r="E22" s="14">
        <f t="shared" si="0"/>
        <v>7053.17</v>
      </c>
      <c r="F22" s="12"/>
      <c r="G22" s="14">
        <v>10302.27</v>
      </c>
      <c r="H22" s="12"/>
      <c r="I22" s="12">
        <f t="shared" si="1"/>
        <v>17355.440000000002</v>
      </c>
      <c r="J22" s="12"/>
      <c r="K22" s="12"/>
      <c r="L22" s="12">
        <f t="shared" si="2"/>
        <v>17355.440000000002</v>
      </c>
      <c r="M22" s="12"/>
      <c r="N22" s="12"/>
      <c r="O22" s="12"/>
      <c r="P22" s="12">
        <f>+L22</f>
        <v>17355.440000000002</v>
      </c>
      <c r="Q22" s="12"/>
      <c r="R22" s="12"/>
      <c r="S22" s="12"/>
      <c r="T22" s="12"/>
      <c r="U22" s="12"/>
      <c r="V22" s="12"/>
      <c r="W22" s="12"/>
    </row>
    <row r="23" spans="1:23" ht="15.75" x14ac:dyDescent="0.25">
      <c r="A23" s="8" t="s">
        <v>20</v>
      </c>
      <c r="B23" s="14">
        <v>38411.730000000003</v>
      </c>
      <c r="C23" s="9">
        <v>96838.11</v>
      </c>
      <c r="D23" s="9"/>
      <c r="E23" s="14">
        <f t="shared" si="0"/>
        <v>58426.38</v>
      </c>
      <c r="F23" s="12"/>
      <c r="G23" s="14">
        <v>59779.51</v>
      </c>
      <c r="H23" s="12"/>
      <c r="I23" s="12">
        <f t="shared" si="1"/>
        <v>118205.89</v>
      </c>
      <c r="J23" s="12"/>
      <c r="K23" s="12"/>
      <c r="L23" s="12">
        <f t="shared" si="2"/>
        <v>118205.89</v>
      </c>
      <c r="M23" s="12"/>
      <c r="N23" s="12"/>
      <c r="O23" s="12"/>
      <c r="P23" s="12"/>
      <c r="Q23" s="12">
        <f>+L23</f>
        <v>118205.89</v>
      </c>
      <c r="R23" s="12"/>
      <c r="S23" s="12"/>
      <c r="T23" s="12"/>
      <c r="U23" s="12"/>
      <c r="V23" s="12"/>
      <c r="W23" s="12"/>
    </row>
    <row r="24" spans="1:23" ht="15.75" x14ac:dyDescent="0.25">
      <c r="A24" s="8" t="s">
        <v>21</v>
      </c>
      <c r="B24" s="14">
        <v>4650</v>
      </c>
      <c r="C24" s="9">
        <v>9200</v>
      </c>
      <c r="D24" s="9"/>
      <c r="E24" s="14">
        <f t="shared" si="0"/>
        <v>4550</v>
      </c>
      <c r="F24" s="12"/>
      <c r="G24" s="14">
        <v>7050</v>
      </c>
      <c r="H24" s="12"/>
      <c r="I24" s="12">
        <f t="shared" si="1"/>
        <v>11600</v>
      </c>
      <c r="J24" s="12"/>
      <c r="K24" s="12"/>
      <c r="L24" s="12">
        <f t="shared" si="2"/>
        <v>11600</v>
      </c>
      <c r="M24" s="12"/>
      <c r="N24" s="12"/>
      <c r="O24" s="12"/>
      <c r="P24" s="12"/>
      <c r="Q24" s="12"/>
      <c r="R24" s="12">
        <f t="shared" ref="R24:R44" si="4">+L24</f>
        <v>11600</v>
      </c>
      <c r="S24" s="12"/>
      <c r="T24" s="12"/>
      <c r="U24" s="12"/>
      <c r="V24" s="12"/>
      <c r="W24" s="12"/>
    </row>
    <row r="25" spans="1:23" ht="15.75" x14ac:dyDescent="0.25">
      <c r="A25" s="8" t="s">
        <v>22</v>
      </c>
      <c r="B25" s="14">
        <v>1150</v>
      </c>
      <c r="C25" s="9">
        <v>2475</v>
      </c>
      <c r="D25" s="9"/>
      <c r="E25" s="14">
        <f t="shared" si="0"/>
        <v>1325</v>
      </c>
      <c r="F25" s="12"/>
      <c r="G25" s="14">
        <v>1900</v>
      </c>
      <c r="H25" s="12"/>
      <c r="I25" s="12">
        <f t="shared" si="1"/>
        <v>3225</v>
      </c>
      <c r="J25" s="12"/>
      <c r="K25" s="12"/>
      <c r="L25" s="12">
        <f t="shared" si="2"/>
        <v>3225</v>
      </c>
      <c r="M25" s="12"/>
      <c r="N25" s="12"/>
      <c r="O25" s="12"/>
      <c r="P25" s="12"/>
      <c r="Q25" s="12"/>
      <c r="R25" s="12">
        <f t="shared" si="4"/>
        <v>3225</v>
      </c>
      <c r="S25" s="12"/>
      <c r="T25" s="12"/>
      <c r="U25" s="12"/>
      <c r="V25" s="12"/>
      <c r="W25" s="12"/>
    </row>
    <row r="26" spans="1:23" ht="15.75" x14ac:dyDescent="0.25">
      <c r="A26" s="8" t="s">
        <v>23</v>
      </c>
      <c r="B26" s="14">
        <v>2800</v>
      </c>
      <c r="C26" s="9">
        <v>5750</v>
      </c>
      <c r="D26" s="9"/>
      <c r="E26" s="14">
        <f t="shared" si="0"/>
        <v>2950</v>
      </c>
      <c r="F26" s="12"/>
      <c r="G26" s="14">
        <v>4525</v>
      </c>
      <c r="H26" s="12"/>
      <c r="I26" s="12">
        <f t="shared" si="1"/>
        <v>7475</v>
      </c>
      <c r="J26" s="12"/>
      <c r="K26" s="12"/>
      <c r="L26" s="12">
        <f t="shared" si="2"/>
        <v>7475</v>
      </c>
      <c r="M26" s="12"/>
      <c r="N26" s="12"/>
      <c r="O26" s="12"/>
      <c r="P26" s="12"/>
      <c r="Q26" s="12"/>
      <c r="R26" s="12">
        <f t="shared" si="4"/>
        <v>7475</v>
      </c>
      <c r="S26" s="12"/>
      <c r="T26" s="12"/>
      <c r="U26" s="12"/>
      <c r="V26" s="12"/>
      <c r="W26" s="12"/>
    </row>
    <row r="27" spans="1:23" ht="15.75" x14ac:dyDescent="0.25">
      <c r="A27" s="8" t="s">
        <v>24</v>
      </c>
      <c r="B27" s="14">
        <v>390</v>
      </c>
      <c r="C27" s="9">
        <v>390</v>
      </c>
      <c r="D27" s="9"/>
      <c r="E27" s="14">
        <f t="shared" si="0"/>
        <v>0</v>
      </c>
      <c r="F27" s="12"/>
      <c r="G27" s="14">
        <v>0</v>
      </c>
      <c r="H27" s="12"/>
      <c r="I27" s="12">
        <f t="shared" si="1"/>
        <v>0</v>
      </c>
      <c r="J27" s="12"/>
      <c r="K27" s="12"/>
      <c r="L27" s="12">
        <f t="shared" si="2"/>
        <v>0</v>
      </c>
      <c r="M27" s="12"/>
      <c r="N27" s="12"/>
      <c r="O27" s="12"/>
      <c r="P27" s="12"/>
      <c r="Q27" s="12"/>
      <c r="R27" s="12">
        <f t="shared" si="4"/>
        <v>0</v>
      </c>
      <c r="S27" s="12"/>
      <c r="T27" s="12"/>
      <c r="U27" s="12"/>
      <c r="V27" s="12"/>
      <c r="W27" s="12"/>
    </row>
    <row r="28" spans="1:23" ht="15.75" x14ac:dyDescent="0.25">
      <c r="A28" s="8" t="s">
        <v>25</v>
      </c>
      <c r="B28" s="14">
        <v>144716.25</v>
      </c>
      <c r="C28" s="9">
        <v>278916.25</v>
      </c>
      <c r="D28" s="9"/>
      <c r="E28" s="14">
        <f t="shared" si="0"/>
        <v>134200</v>
      </c>
      <c r="F28" s="12"/>
      <c r="G28" s="14">
        <v>46563.75</v>
      </c>
      <c r="H28" s="12"/>
      <c r="I28" s="12">
        <f t="shared" si="1"/>
        <v>180763.75</v>
      </c>
      <c r="J28" s="12"/>
      <c r="K28" s="12"/>
      <c r="L28" s="12">
        <f t="shared" si="2"/>
        <v>180763.75</v>
      </c>
      <c r="M28" s="12"/>
      <c r="N28" s="12"/>
      <c r="O28" s="12"/>
      <c r="P28" s="12"/>
      <c r="Q28" s="12"/>
      <c r="R28" s="12">
        <f t="shared" si="4"/>
        <v>180763.75</v>
      </c>
      <c r="S28" s="12"/>
      <c r="T28" s="12"/>
      <c r="U28" s="12"/>
      <c r="V28" s="12"/>
      <c r="W28" s="12"/>
    </row>
    <row r="29" spans="1:23" ht="15.75" x14ac:dyDescent="0.25">
      <c r="A29" s="8" t="s">
        <v>26</v>
      </c>
      <c r="B29" s="14">
        <v>20767.89</v>
      </c>
      <c r="C29" s="9">
        <v>40909.949999999997</v>
      </c>
      <c r="D29" s="9"/>
      <c r="E29" s="14">
        <f t="shared" si="0"/>
        <v>20142.059999999998</v>
      </c>
      <c r="F29" s="12"/>
      <c r="G29" s="14">
        <v>8955.33</v>
      </c>
      <c r="H29" s="12"/>
      <c r="I29" s="12">
        <f t="shared" si="1"/>
        <v>29097.39</v>
      </c>
      <c r="J29" s="12"/>
      <c r="K29" s="12"/>
      <c r="L29" s="12">
        <f t="shared" si="2"/>
        <v>29097.39</v>
      </c>
      <c r="M29" s="12"/>
      <c r="N29" s="12"/>
      <c r="O29" s="12"/>
      <c r="P29" s="12"/>
      <c r="Q29" s="12"/>
      <c r="R29" s="12">
        <f t="shared" si="4"/>
        <v>29097.39</v>
      </c>
      <c r="S29" s="12"/>
      <c r="T29" s="12"/>
      <c r="U29" s="12"/>
      <c r="V29" s="12"/>
      <c r="W29" s="12"/>
    </row>
    <row r="30" spans="1:23" ht="15.75" x14ac:dyDescent="0.25">
      <c r="A30" s="8" t="s">
        <v>27</v>
      </c>
      <c r="B30" s="14">
        <v>7087.5</v>
      </c>
      <c r="C30" s="9">
        <v>15026</v>
      </c>
      <c r="D30" s="9"/>
      <c r="E30" s="14">
        <f t="shared" si="0"/>
        <v>7938.5</v>
      </c>
      <c r="F30" s="12"/>
      <c r="G30" s="14">
        <v>4350</v>
      </c>
      <c r="H30" s="12"/>
      <c r="I30" s="12">
        <f t="shared" si="1"/>
        <v>12288.5</v>
      </c>
      <c r="J30" s="12"/>
      <c r="K30" s="12"/>
      <c r="L30" s="12">
        <f t="shared" si="2"/>
        <v>12288.5</v>
      </c>
      <c r="M30" s="12"/>
      <c r="N30" s="12"/>
      <c r="O30" s="12"/>
      <c r="P30" s="12"/>
      <c r="Q30" s="12"/>
      <c r="R30" s="12">
        <f t="shared" si="4"/>
        <v>12288.5</v>
      </c>
      <c r="S30" s="12"/>
      <c r="T30" s="12"/>
      <c r="U30" s="12"/>
      <c r="V30" s="12"/>
      <c r="W30" s="12"/>
    </row>
    <row r="31" spans="1:23" ht="15.75" x14ac:dyDescent="0.25">
      <c r="A31" s="8" t="s">
        <v>28</v>
      </c>
      <c r="B31" s="14">
        <v>2800</v>
      </c>
      <c r="C31" s="9">
        <v>5500</v>
      </c>
      <c r="D31" s="9"/>
      <c r="E31" s="14">
        <f t="shared" si="0"/>
        <v>2700</v>
      </c>
      <c r="F31" s="12"/>
      <c r="G31" s="14">
        <v>1400</v>
      </c>
      <c r="H31" s="12"/>
      <c r="I31" s="12">
        <f t="shared" si="1"/>
        <v>4100</v>
      </c>
      <c r="J31" s="12"/>
      <c r="K31" s="12"/>
      <c r="L31" s="12">
        <f t="shared" si="2"/>
        <v>4100</v>
      </c>
      <c r="M31" s="12"/>
      <c r="N31" s="12"/>
      <c r="O31" s="12"/>
      <c r="P31" s="12"/>
      <c r="Q31" s="12"/>
      <c r="R31" s="12">
        <f t="shared" si="4"/>
        <v>4100</v>
      </c>
      <c r="S31" s="12"/>
      <c r="T31" s="12"/>
      <c r="U31" s="12"/>
      <c r="V31" s="12"/>
      <c r="W31" s="12"/>
    </row>
    <row r="32" spans="1:23" ht="15.75" x14ac:dyDescent="0.25">
      <c r="A32" s="8" t="s">
        <v>29</v>
      </c>
      <c r="B32" s="14">
        <v>4000</v>
      </c>
      <c r="C32" s="9">
        <v>8000</v>
      </c>
      <c r="D32" s="9"/>
      <c r="E32" s="14">
        <f t="shared" si="0"/>
        <v>4000</v>
      </c>
      <c r="F32" s="12"/>
      <c r="G32" s="14">
        <v>2075</v>
      </c>
      <c r="H32" s="12"/>
      <c r="I32" s="12">
        <f t="shared" si="1"/>
        <v>6075</v>
      </c>
      <c r="J32" s="12"/>
      <c r="K32" s="12"/>
      <c r="L32" s="12">
        <f t="shared" si="2"/>
        <v>6075</v>
      </c>
      <c r="M32" s="12"/>
      <c r="N32" s="12"/>
      <c r="O32" s="12"/>
      <c r="P32" s="12"/>
      <c r="Q32" s="12"/>
      <c r="R32" s="12">
        <f t="shared" si="4"/>
        <v>6075</v>
      </c>
      <c r="S32" s="12"/>
      <c r="T32" s="12"/>
      <c r="U32" s="12"/>
      <c r="V32" s="12"/>
      <c r="W32" s="12"/>
    </row>
    <row r="33" spans="1:23" ht="15.75" x14ac:dyDescent="0.25">
      <c r="A33" s="8" t="s">
        <v>30</v>
      </c>
      <c r="B33" s="14">
        <v>0</v>
      </c>
      <c r="C33" s="9">
        <v>125</v>
      </c>
      <c r="D33" s="9"/>
      <c r="E33" s="14">
        <f t="shared" si="0"/>
        <v>125</v>
      </c>
      <c r="F33" s="12"/>
      <c r="G33" s="14">
        <v>0</v>
      </c>
      <c r="H33" s="12"/>
      <c r="I33" s="12">
        <f t="shared" si="1"/>
        <v>125</v>
      </c>
      <c r="J33" s="12"/>
      <c r="K33" s="12"/>
      <c r="L33" s="12">
        <f t="shared" si="2"/>
        <v>125</v>
      </c>
      <c r="M33" s="12"/>
      <c r="N33" s="12"/>
      <c r="O33" s="12"/>
      <c r="P33" s="12"/>
      <c r="Q33" s="12"/>
      <c r="R33" s="12">
        <f t="shared" si="4"/>
        <v>125</v>
      </c>
      <c r="S33" s="12"/>
      <c r="T33" s="12"/>
      <c r="U33" s="12"/>
      <c r="V33" s="12"/>
      <c r="W33" s="12"/>
    </row>
    <row r="34" spans="1:23" ht="15.75" x14ac:dyDescent="0.25">
      <c r="A34" s="8" t="s">
        <v>31</v>
      </c>
      <c r="B34" s="14">
        <v>31750</v>
      </c>
      <c r="C34" s="9">
        <v>54200</v>
      </c>
      <c r="D34" s="9"/>
      <c r="E34" s="14">
        <f t="shared" si="0"/>
        <v>22450</v>
      </c>
      <c r="F34" s="12"/>
      <c r="G34" s="14">
        <v>34273.160000000003</v>
      </c>
      <c r="H34" s="12"/>
      <c r="I34" s="12">
        <f t="shared" si="1"/>
        <v>56723.16</v>
      </c>
      <c r="J34" s="12"/>
      <c r="K34" s="12"/>
      <c r="L34" s="12">
        <f t="shared" si="2"/>
        <v>56723.16</v>
      </c>
      <c r="M34" s="12"/>
      <c r="N34" s="12"/>
      <c r="O34" s="12"/>
      <c r="P34" s="12"/>
      <c r="Q34" s="12"/>
      <c r="R34" s="12">
        <f t="shared" si="4"/>
        <v>56723.16</v>
      </c>
      <c r="S34" s="12"/>
      <c r="T34" s="12"/>
      <c r="U34" s="12"/>
      <c r="V34" s="12"/>
      <c r="W34" s="12"/>
    </row>
    <row r="35" spans="1:23" ht="15.75" x14ac:dyDescent="0.25">
      <c r="A35" s="8" t="s">
        <v>32</v>
      </c>
      <c r="B35" s="14">
        <v>9950</v>
      </c>
      <c r="C35" s="9">
        <v>16700</v>
      </c>
      <c r="D35" s="9"/>
      <c r="E35" s="14">
        <f t="shared" si="0"/>
        <v>6750</v>
      </c>
      <c r="F35" s="12"/>
      <c r="G35" s="14">
        <v>10700</v>
      </c>
      <c r="H35" s="12"/>
      <c r="I35" s="12">
        <f t="shared" si="1"/>
        <v>17450</v>
      </c>
      <c r="J35" s="12"/>
      <c r="K35" s="12"/>
      <c r="L35" s="12">
        <f t="shared" si="2"/>
        <v>17450</v>
      </c>
      <c r="M35" s="12"/>
      <c r="N35" s="12"/>
      <c r="O35" s="12"/>
      <c r="P35" s="12"/>
      <c r="Q35" s="12"/>
      <c r="R35" s="12">
        <f t="shared" si="4"/>
        <v>17450</v>
      </c>
      <c r="S35" s="12"/>
      <c r="T35" s="12"/>
      <c r="U35" s="12"/>
      <c r="V35" s="12"/>
      <c r="W35" s="12"/>
    </row>
    <row r="36" spans="1:23" ht="15.75" x14ac:dyDescent="0.25">
      <c r="A36" s="8" t="s">
        <v>33</v>
      </c>
      <c r="B36" s="14">
        <v>12275</v>
      </c>
      <c r="C36" s="9">
        <v>21085.26</v>
      </c>
      <c r="D36" s="9"/>
      <c r="E36" s="14">
        <f t="shared" si="0"/>
        <v>8810.2599999999984</v>
      </c>
      <c r="F36" s="12"/>
      <c r="G36" s="14">
        <v>14525</v>
      </c>
      <c r="H36" s="12"/>
      <c r="I36" s="12">
        <f t="shared" si="1"/>
        <v>23335.26</v>
      </c>
      <c r="J36" s="12"/>
      <c r="K36" s="12"/>
      <c r="L36" s="12">
        <f t="shared" si="2"/>
        <v>23335.26</v>
      </c>
      <c r="M36" s="12"/>
      <c r="N36" s="12"/>
      <c r="O36" s="12"/>
      <c r="P36" s="12"/>
      <c r="Q36" s="12"/>
      <c r="R36" s="12">
        <f t="shared" si="4"/>
        <v>23335.26</v>
      </c>
      <c r="S36" s="12"/>
      <c r="T36" s="12"/>
      <c r="U36" s="12"/>
      <c r="V36" s="12"/>
      <c r="W36" s="12"/>
    </row>
    <row r="37" spans="1:23" ht="15.75" x14ac:dyDescent="0.25">
      <c r="A37" s="8" t="s">
        <v>34</v>
      </c>
      <c r="B37" s="14">
        <v>1560</v>
      </c>
      <c r="C37" s="9">
        <v>1560</v>
      </c>
      <c r="D37" s="9"/>
      <c r="E37" s="14">
        <f t="shared" si="0"/>
        <v>0</v>
      </c>
      <c r="F37" s="12"/>
      <c r="G37" s="14">
        <v>2340</v>
      </c>
      <c r="H37" s="12"/>
      <c r="I37" s="12">
        <f t="shared" si="1"/>
        <v>2340</v>
      </c>
      <c r="J37" s="12"/>
      <c r="K37" s="12"/>
      <c r="L37" s="12">
        <f t="shared" si="2"/>
        <v>2340</v>
      </c>
      <c r="M37" s="12"/>
      <c r="N37" s="12"/>
      <c r="O37" s="12"/>
      <c r="P37" s="12"/>
      <c r="Q37" s="12"/>
      <c r="R37" s="12">
        <f t="shared" si="4"/>
        <v>2340</v>
      </c>
      <c r="S37" s="12"/>
      <c r="T37" s="12"/>
      <c r="U37" s="12"/>
      <c r="V37" s="12"/>
      <c r="W37" s="12"/>
    </row>
    <row r="38" spans="1:23" ht="15.75" x14ac:dyDescent="0.25">
      <c r="A38" s="8" t="s">
        <v>35</v>
      </c>
      <c r="B38" s="14">
        <v>0</v>
      </c>
      <c r="C38" s="9">
        <v>515</v>
      </c>
      <c r="D38" s="9"/>
      <c r="E38" s="14">
        <f t="shared" si="0"/>
        <v>515</v>
      </c>
      <c r="F38" s="12"/>
      <c r="G38" s="14">
        <v>-1160</v>
      </c>
      <c r="H38" s="12"/>
      <c r="I38" s="12">
        <f t="shared" si="1"/>
        <v>-645</v>
      </c>
      <c r="J38" s="12"/>
      <c r="K38" s="12"/>
      <c r="L38" s="12">
        <f t="shared" si="2"/>
        <v>-645</v>
      </c>
      <c r="M38" s="12"/>
      <c r="N38" s="12"/>
      <c r="O38" s="12"/>
      <c r="P38" s="12"/>
      <c r="Q38" s="12"/>
      <c r="R38" s="12">
        <f t="shared" si="4"/>
        <v>-645</v>
      </c>
      <c r="S38" s="12"/>
      <c r="T38" s="12"/>
      <c r="U38" s="12"/>
      <c r="V38" s="12"/>
      <c r="W38" s="12"/>
    </row>
    <row r="39" spans="1:23" ht="15.75" x14ac:dyDescent="0.25">
      <c r="A39" s="8" t="s">
        <v>36</v>
      </c>
      <c r="B39" s="14">
        <v>100085</v>
      </c>
      <c r="C39" s="9">
        <v>194184.25</v>
      </c>
      <c r="D39" s="9"/>
      <c r="E39" s="14">
        <f t="shared" si="0"/>
        <v>94099.25</v>
      </c>
      <c r="F39" s="12"/>
      <c r="G39" s="14">
        <v>150315.01999999999</v>
      </c>
      <c r="H39" s="12"/>
      <c r="I39" s="12">
        <f t="shared" si="1"/>
        <v>244414.27</v>
      </c>
      <c r="J39" s="12"/>
      <c r="K39" s="12"/>
      <c r="L39" s="12">
        <f t="shared" si="2"/>
        <v>244414.27</v>
      </c>
      <c r="M39" s="12"/>
      <c r="N39" s="12"/>
      <c r="O39" s="12"/>
      <c r="P39" s="12"/>
      <c r="Q39" s="12"/>
      <c r="R39" s="12">
        <f t="shared" si="4"/>
        <v>244414.27</v>
      </c>
      <c r="S39" s="12"/>
      <c r="T39" s="12"/>
      <c r="U39" s="12"/>
      <c r="V39" s="12"/>
      <c r="W39" s="12"/>
    </row>
    <row r="40" spans="1:23" ht="15.75" x14ac:dyDescent="0.25">
      <c r="A40" s="8" t="s">
        <v>37</v>
      </c>
      <c r="B40" s="14">
        <v>13958.28</v>
      </c>
      <c r="C40" s="9">
        <v>29856.93</v>
      </c>
      <c r="D40" s="9"/>
      <c r="E40" s="14">
        <f t="shared" si="0"/>
        <v>15898.65</v>
      </c>
      <c r="F40" s="12"/>
      <c r="G40" s="14">
        <v>19766.3</v>
      </c>
      <c r="H40" s="12"/>
      <c r="I40" s="12">
        <f t="shared" si="1"/>
        <v>35664.949999999997</v>
      </c>
      <c r="J40" s="12"/>
      <c r="K40" s="12"/>
      <c r="L40" s="12">
        <f t="shared" si="2"/>
        <v>35664.949999999997</v>
      </c>
      <c r="M40" s="12"/>
      <c r="N40" s="12"/>
      <c r="O40" s="12"/>
      <c r="P40" s="12"/>
      <c r="Q40" s="12"/>
      <c r="R40" s="12">
        <f t="shared" si="4"/>
        <v>35664.949999999997</v>
      </c>
      <c r="S40" s="12"/>
      <c r="T40" s="12"/>
      <c r="U40" s="12"/>
      <c r="V40" s="12"/>
      <c r="W40" s="12"/>
    </row>
    <row r="41" spans="1:23" ht="15.75" x14ac:dyDescent="0.25">
      <c r="A41" s="8" t="s">
        <v>38</v>
      </c>
      <c r="B41" s="14">
        <v>5676.25</v>
      </c>
      <c r="C41" s="9">
        <v>11826.25</v>
      </c>
      <c r="D41" s="9"/>
      <c r="E41" s="14">
        <f t="shared" si="0"/>
        <v>6150</v>
      </c>
      <c r="F41" s="12"/>
      <c r="G41" s="14">
        <v>7200</v>
      </c>
      <c r="H41" s="12"/>
      <c r="I41" s="12">
        <f t="shared" si="1"/>
        <v>13350</v>
      </c>
      <c r="J41" s="12"/>
      <c r="K41" s="12"/>
      <c r="L41" s="12">
        <f t="shared" si="2"/>
        <v>13350</v>
      </c>
      <c r="M41" s="12"/>
      <c r="N41" s="12"/>
      <c r="O41" s="12"/>
      <c r="P41" s="12"/>
      <c r="Q41" s="12"/>
      <c r="R41" s="12">
        <f t="shared" si="4"/>
        <v>13350</v>
      </c>
      <c r="S41" s="12"/>
      <c r="T41" s="12"/>
      <c r="U41" s="12"/>
      <c r="V41" s="12"/>
      <c r="W41" s="12"/>
    </row>
    <row r="42" spans="1:23" ht="15.75" x14ac:dyDescent="0.25">
      <c r="A42" s="8" t="s">
        <v>39</v>
      </c>
      <c r="B42" s="14">
        <v>2000</v>
      </c>
      <c r="C42" s="9">
        <v>3950</v>
      </c>
      <c r="D42" s="9"/>
      <c r="E42" s="14">
        <f t="shared" si="0"/>
        <v>1950</v>
      </c>
      <c r="F42" s="12"/>
      <c r="G42" s="14">
        <v>2400</v>
      </c>
      <c r="H42" s="12"/>
      <c r="I42" s="12">
        <f t="shared" si="1"/>
        <v>4350</v>
      </c>
      <c r="J42" s="12"/>
      <c r="K42" s="12"/>
      <c r="L42" s="12">
        <f t="shared" si="2"/>
        <v>4350</v>
      </c>
      <c r="M42" s="12"/>
      <c r="N42" s="12"/>
      <c r="O42" s="12"/>
      <c r="P42" s="12"/>
      <c r="Q42" s="12"/>
      <c r="R42" s="12">
        <f t="shared" si="4"/>
        <v>4350</v>
      </c>
      <c r="S42" s="12"/>
      <c r="T42" s="12"/>
      <c r="U42" s="12"/>
      <c r="V42" s="12"/>
      <c r="W42" s="12"/>
    </row>
    <row r="43" spans="1:23" ht="15.75" x14ac:dyDescent="0.25">
      <c r="A43" s="8" t="s">
        <v>40</v>
      </c>
      <c r="B43" s="14">
        <v>3150</v>
      </c>
      <c r="C43" s="9">
        <v>6050</v>
      </c>
      <c r="D43" s="9"/>
      <c r="E43" s="14">
        <f t="shared" si="0"/>
        <v>2900</v>
      </c>
      <c r="F43" s="12"/>
      <c r="G43" s="14">
        <v>3525</v>
      </c>
      <c r="H43" s="12"/>
      <c r="I43" s="12">
        <f t="shared" si="1"/>
        <v>6425</v>
      </c>
      <c r="J43" s="12"/>
      <c r="K43" s="12"/>
      <c r="L43" s="12">
        <f t="shared" si="2"/>
        <v>6425</v>
      </c>
      <c r="M43" s="12"/>
      <c r="N43" s="12"/>
      <c r="O43" s="12"/>
      <c r="P43" s="12"/>
      <c r="Q43" s="12"/>
      <c r="R43" s="12">
        <f t="shared" si="4"/>
        <v>6425</v>
      </c>
      <c r="S43" s="12"/>
      <c r="T43" s="12"/>
      <c r="U43" s="12"/>
      <c r="V43" s="12"/>
      <c r="W43" s="12"/>
    </row>
    <row r="44" spans="1:23" ht="15.75" x14ac:dyDescent="0.25">
      <c r="A44" s="8" t="s">
        <v>41</v>
      </c>
      <c r="B44" s="14">
        <v>0</v>
      </c>
      <c r="C44" s="9">
        <v>390</v>
      </c>
      <c r="D44" s="9"/>
      <c r="E44" s="14">
        <f t="shared" si="0"/>
        <v>390</v>
      </c>
      <c r="F44" s="12"/>
      <c r="G44" s="14">
        <v>195</v>
      </c>
      <c r="H44" s="12"/>
      <c r="I44" s="12">
        <f t="shared" si="1"/>
        <v>585</v>
      </c>
      <c r="J44" s="12"/>
      <c r="K44" s="12"/>
      <c r="L44" s="12">
        <f t="shared" si="2"/>
        <v>585</v>
      </c>
      <c r="M44" s="12"/>
      <c r="N44" s="12"/>
      <c r="O44" s="12"/>
      <c r="P44" s="12"/>
      <c r="Q44" s="12"/>
      <c r="R44" s="12">
        <f t="shared" si="4"/>
        <v>585</v>
      </c>
      <c r="S44" s="12"/>
      <c r="T44" s="12"/>
      <c r="U44" s="12"/>
      <c r="V44" s="12"/>
      <c r="W44" s="12"/>
    </row>
    <row r="45" spans="1:23" ht="15.75" x14ac:dyDescent="0.25">
      <c r="A45" s="8" t="s">
        <v>42</v>
      </c>
      <c r="B45" s="14">
        <v>1912.5</v>
      </c>
      <c r="C45" s="9">
        <v>1912.5</v>
      </c>
      <c r="D45" s="9"/>
      <c r="E45" s="14">
        <f t="shared" si="0"/>
        <v>0</v>
      </c>
      <c r="F45" s="12"/>
      <c r="G45" s="14">
        <v>0</v>
      </c>
      <c r="H45" s="12"/>
      <c r="I45" s="12">
        <f t="shared" si="1"/>
        <v>0</v>
      </c>
      <c r="J45" s="12"/>
      <c r="K45" s="12"/>
      <c r="L45" s="12">
        <f t="shared" si="2"/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5.75" x14ac:dyDescent="0.25">
      <c r="A46" s="8" t="s">
        <v>43</v>
      </c>
      <c r="B46" s="14">
        <v>1040.6400000000001</v>
      </c>
      <c r="C46" s="9">
        <v>1040.6400000000001</v>
      </c>
      <c r="D46" s="9"/>
      <c r="E46" s="14">
        <f t="shared" si="0"/>
        <v>0</v>
      </c>
      <c r="F46" s="12"/>
      <c r="G46" s="14">
        <v>0</v>
      </c>
      <c r="H46" s="12"/>
      <c r="I46" s="12">
        <f t="shared" si="1"/>
        <v>0</v>
      </c>
      <c r="J46" s="12"/>
      <c r="K46" s="12"/>
      <c r="L46" s="12">
        <f t="shared" si="2"/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5.75" x14ac:dyDescent="0.25">
      <c r="A47" s="8" t="s">
        <v>44</v>
      </c>
      <c r="B47" s="14">
        <v>163514.82999999999</v>
      </c>
      <c r="C47" s="9">
        <v>369028.79</v>
      </c>
      <c r="D47" s="9"/>
      <c r="E47" s="14">
        <f t="shared" si="0"/>
        <v>205513.96</v>
      </c>
      <c r="F47" s="12"/>
      <c r="G47" s="14">
        <v>147186.70000000001</v>
      </c>
      <c r="H47" s="12"/>
      <c r="I47" s="12">
        <f t="shared" si="1"/>
        <v>352700.66000000003</v>
      </c>
      <c r="J47" s="12"/>
      <c r="K47" s="12"/>
      <c r="L47" s="12">
        <f t="shared" si="2"/>
        <v>352700.66000000003</v>
      </c>
      <c r="M47" s="12"/>
      <c r="N47" s="12">
        <f>+L47</f>
        <v>352700.66000000003</v>
      </c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5.75" x14ac:dyDescent="0.25">
      <c r="A48" s="8" t="s">
        <v>45</v>
      </c>
      <c r="B48" s="14">
        <v>22165</v>
      </c>
      <c r="C48" s="9">
        <v>53593.75</v>
      </c>
      <c r="D48" s="9"/>
      <c r="E48" s="14">
        <f t="shared" si="0"/>
        <v>31428.75</v>
      </c>
      <c r="F48" s="12"/>
      <c r="G48" s="14">
        <v>23401.88</v>
      </c>
      <c r="H48" s="12"/>
      <c r="I48" s="12">
        <f t="shared" si="1"/>
        <v>54830.630000000005</v>
      </c>
      <c r="J48" s="12"/>
      <c r="K48" s="12"/>
      <c r="L48" s="12">
        <f t="shared" si="2"/>
        <v>54830.630000000005</v>
      </c>
      <c r="M48" s="12"/>
      <c r="N48" s="12"/>
      <c r="O48" s="12">
        <f>+L48</f>
        <v>54830.630000000005</v>
      </c>
      <c r="P48" s="12"/>
      <c r="Q48" s="12"/>
      <c r="R48" s="12"/>
      <c r="S48" s="12"/>
      <c r="T48" s="12"/>
      <c r="U48" s="12"/>
      <c r="V48" s="12"/>
      <c r="W48" s="12"/>
    </row>
    <row r="49" spans="1:23" ht="15.75" x14ac:dyDescent="0.25">
      <c r="A49" s="8" t="s">
        <v>46</v>
      </c>
      <c r="B49" s="14">
        <v>6383.15</v>
      </c>
      <c r="C49" s="9">
        <v>15205.41</v>
      </c>
      <c r="D49" s="9"/>
      <c r="E49" s="14">
        <f t="shared" si="0"/>
        <v>8822.26</v>
      </c>
      <c r="F49" s="12"/>
      <c r="G49" s="14">
        <v>5920.07</v>
      </c>
      <c r="H49" s="12"/>
      <c r="I49" s="12">
        <f t="shared" si="1"/>
        <v>14742.33</v>
      </c>
      <c r="J49" s="12"/>
      <c r="K49" s="12"/>
      <c r="L49" s="12">
        <f t="shared" si="2"/>
        <v>14742.33</v>
      </c>
      <c r="M49" s="12"/>
      <c r="N49" s="12"/>
      <c r="O49" s="12"/>
      <c r="P49" s="12">
        <f>+L49</f>
        <v>14742.33</v>
      </c>
      <c r="Q49" s="12"/>
      <c r="R49" s="12"/>
      <c r="S49" s="12"/>
      <c r="T49" s="12"/>
      <c r="U49" s="12"/>
      <c r="V49" s="12"/>
      <c r="W49" s="12"/>
    </row>
    <row r="50" spans="1:23" ht="15.75" x14ac:dyDescent="0.25">
      <c r="A50" s="8" t="s">
        <v>47</v>
      </c>
      <c r="B50" s="14">
        <v>29840.720000000001</v>
      </c>
      <c r="C50" s="9">
        <v>67552.55</v>
      </c>
      <c r="D50" s="9"/>
      <c r="E50" s="14">
        <f t="shared" si="0"/>
        <v>37711.83</v>
      </c>
      <c r="F50" s="12"/>
      <c r="G50" s="14">
        <v>27016.25</v>
      </c>
      <c r="H50" s="12"/>
      <c r="I50" s="12">
        <f t="shared" si="1"/>
        <v>64728.08</v>
      </c>
      <c r="J50" s="12"/>
      <c r="K50" s="12"/>
      <c r="L50" s="12">
        <f t="shared" si="2"/>
        <v>64728.08</v>
      </c>
      <c r="M50" s="12"/>
      <c r="N50" s="12"/>
      <c r="O50" s="12"/>
      <c r="P50" s="12"/>
      <c r="Q50" s="12">
        <f>+L50</f>
        <v>64728.08</v>
      </c>
      <c r="R50" s="12"/>
      <c r="S50" s="12"/>
      <c r="T50" s="12"/>
      <c r="U50" s="12"/>
      <c r="V50" s="12"/>
      <c r="W50" s="12"/>
    </row>
    <row r="51" spans="1:23" ht="15.75" x14ac:dyDescent="0.25">
      <c r="A51" s="8" t="s">
        <v>48</v>
      </c>
      <c r="B51" s="14">
        <v>3500</v>
      </c>
      <c r="C51" s="9">
        <v>9500</v>
      </c>
      <c r="D51" s="9"/>
      <c r="E51" s="14">
        <f t="shared" si="0"/>
        <v>6000</v>
      </c>
      <c r="F51" s="12"/>
      <c r="G51" s="14">
        <v>4650</v>
      </c>
      <c r="H51" s="12"/>
      <c r="I51" s="12">
        <f t="shared" si="1"/>
        <v>10650</v>
      </c>
      <c r="J51" s="12"/>
      <c r="K51" s="12"/>
      <c r="L51" s="12">
        <f t="shared" si="2"/>
        <v>10650</v>
      </c>
      <c r="M51" s="12"/>
      <c r="N51" s="12"/>
      <c r="O51" s="12"/>
      <c r="P51" s="12"/>
      <c r="Q51" s="12"/>
      <c r="R51" s="12">
        <f>+L51</f>
        <v>10650</v>
      </c>
      <c r="S51" s="12"/>
      <c r="T51" s="12"/>
      <c r="U51" s="12"/>
      <c r="V51" s="12"/>
      <c r="W51" s="12"/>
    </row>
    <row r="52" spans="1:23" ht="15.75" x14ac:dyDescent="0.25">
      <c r="A52" s="8" t="s">
        <v>49</v>
      </c>
      <c r="B52" s="14">
        <v>1100</v>
      </c>
      <c r="C52" s="9">
        <v>3100</v>
      </c>
      <c r="D52" s="9"/>
      <c r="E52" s="14">
        <f t="shared" si="0"/>
        <v>2000</v>
      </c>
      <c r="F52" s="12"/>
      <c r="G52" s="14">
        <v>1550</v>
      </c>
      <c r="H52" s="12"/>
      <c r="I52" s="12">
        <f t="shared" si="1"/>
        <v>3550</v>
      </c>
      <c r="J52" s="12"/>
      <c r="K52" s="12"/>
      <c r="L52" s="12">
        <f t="shared" si="2"/>
        <v>3550</v>
      </c>
      <c r="M52" s="12"/>
      <c r="N52" s="12"/>
      <c r="O52" s="12"/>
      <c r="P52" s="12"/>
      <c r="Q52" s="12"/>
      <c r="R52" s="12">
        <f>+L52</f>
        <v>3550</v>
      </c>
      <c r="S52" s="12"/>
      <c r="T52" s="12"/>
      <c r="U52" s="12"/>
      <c r="V52" s="12"/>
      <c r="W52" s="12"/>
    </row>
    <row r="53" spans="1:23" ht="15.75" x14ac:dyDescent="0.25">
      <c r="A53" s="8" t="s">
        <v>50</v>
      </c>
      <c r="B53" s="14">
        <v>1930</v>
      </c>
      <c r="C53" s="9">
        <v>5505</v>
      </c>
      <c r="D53" s="9"/>
      <c r="E53" s="14">
        <f t="shared" si="0"/>
        <v>3575</v>
      </c>
      <c r="F53" s="12"/>
      <c r="G53" s="14">
        <v>2950</v>
      </c>
      <c r="H53" s="12"/>
      <c r="I53" s="12">
        <f t="shared" si="1"/>
        <v>6525</v>
      </c>
      <c r="J53" s="12"/>
      <c r="K53" s="12"/>
      <c r="L53" s="12">
        <f t="shared" si="2"/>
        <v>6525</v>
      </c>
      <c r="M53" s="12"/>
      <c r="N53" s="12"/>
      <c r="O53" s="12"/>
      <c r="P53" s="12"/>
      <c r="Q53" s="12"/>
      <c r="R53" s="12">
        <f>+L53</f>
        <v>6525</v>
      </c>
      <c r="S53" s="12"/>
      <c r="T53" s="12"/>
      <c r="U53" s="12"/>
      <c r="V53" s="12"/>
      <c r="W53" s="12"/>
    </row>
    <row r="54" spans="1:23" ht="15.75" x14ac:dyDescent="0.25">
      <c r="A54" s="8" t="s">
        <v>51</v>
      </c>
      <c r="B54" s="14">
        <v>585</v>
      </c>
      <c r="C54" s="9">
        <v>585</v>
      </c>
      <c r="D54" s="9"/>
      <c r="E54" s="14">
        <f t="shared" si="0"/>
        <v>0</v>
      </c>
      <c r="F54" s="12"/>
      <c r="G54" s="14">
        <v>390</v>
      </c>
      <c r="H54" s="12"/>
      <c r="I54" s="12">
        <f t="shared" si="1"/>
        <v>390</v>
      </c>
      <c r="J54" s="12"/>
      <c r="K54" s="12"/>
      <c r="L54" s="12">
        <f t="shared" si="2"/>
        <v>390</v>
      </c>
      <c r="M54" s="12"/>
      <c r="N54" s="12"/>
      <c r="O54" s="12"/>
      <c r="P54" s="12"/>
      <c r="Q54" s="12"/>
      <c r="R54" s="12">
        <f>+L54</f>
        <v>390</v>
      </c>
      <c r="S54" s="12"/>
      <c r="T54" s="12"/>
      <c r="U54" s="12"/>
      <c r="V54" s="12"/>
      <c r="W54" s="12"/>
    </row>
    <row r="55" spans="1:23" ht="15.75" x14ac:dyDescent="0.25">
      <c r="A55" s="8" t="s">
        <v>52</v>
      </c>
      <c r="B55" s="14">
        <v>2548.9699999999998</v>
      </c>
      <c r="C55" s="14">
        <v>4847.3900000000003</v>
      </c>
      <c r="D55" s="14"/>
      <c r="E55" s="14">
        <f t="shared" si="0"/>
        <v>2298.4200000000005</v>
      </c>
      <c r="F55" s="12"/>
      <c r="G55" s="14">
        <v>1960.72</v>
      </c>
      <c r="H55" s="12"/>
      <c r="I55" s="12">
        <f t="shared" si="1"/>
        <v>4259.1400000000003</v>
      </c>
      <c r="J55" s="12"/>
      <c r="K55" s="12"/>
      <c r="L55" s="12">
        <f t="shared" si="2"/>
        <v>4259.1400000000003</v>
      </c>
      <c r="M55" s="12"/>
      <c r="N55" s="12"/>
      <c r="O55" s="12"/>
      <c r="P55" s="12"/>
      <c r="Q55" s="12"/>
      <c r="R55" s="12"/>
      <c r="S55" s="12">
        <f>+L55</f>
        <v>4259.1400000000003</v>
      </c>
      <c r="T55" s="12"/>
      <c r="U55" s="12"/>
      <c r="V55" s="12"/>
      <c r="W55" s="12"/>
    </row>
    <row r="56" spans="1:23" ht="15.75" x14ac:dyDescent="0.25">
      <c r="A56" s="8" t="s">
        <v>53</v>
      </c>
      <c r="B56" s="14">
        <v>0</v>
      </c>
      <c r="C56" s="14"/>
      <c r="D56" s="14"/>
      <c r="E56" s="14">
        <f t="shared" si="0"/>
        <v>0</v>
      </c>
      <c r="F56" s="12"/>
      <c r="G56" s="14">
        <v>0</v>
      </c>
      <c r="H56" s="12"/>
      <c r="I56" s="12">
        <f t="shared" si="1"/>
        <v>0</v>
      </c>
      <c r="J56" s="12"/>
      <c r="K56" s="12"/>
      <c r="L56" s="12">
        <f t="shared" si="2"/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5.75" x14ac:dyDescent="0.25">
      <c r="A57" s="8" t="s">
        <v>54</v>
      </c>
      <c r="B57" s="15">
        <v>5207.49</v>
      </c>
      <c r="C57" s="15">
        <v>7190.87</v>
      </c>
      <c r="D57" s="20"/>
      <c r="E57" s="15">
        <f t="shared" si="0"/>
        <v>1983.38</v>
      </c>
      <c r="F57" s="22"/>
      <c r="G57" s="15">
        <v>25244.89</v>
      </c>
      <c r="H57" s="12"/>
      <c r="I57" s="16">
        <f t="shared" si="1"/>
        <v>27228.27</v>
      </c>
      <c r="J57" s="22"/>
      <c r="K57" s="22"/>
      <c r="L57" s="16">
        <f t="shared" si="2"/>
        <v>27228.27</v>
      </c>
      <c r="M57" s="12"/>
      <c r="N57" s="16"/>
      <c r="O57" s="16"/>
      <c r="P57" s="16"/>
      <c r="Q57" s="16"/>
      <c r="R57" s="16"/>
      <c r="S57" s="16"/>
      <c r="T57" s="16">
        <f>+L57</f>
        <v>27228.27</v>
      </c>
      <c r="U57" s="12"/>
      <c r="V57" s="12"/>
      <c r="W57" s="12"/>
    </row>
    <row r="58" spans="1:23" ht="15.75" x14ac:dyDescent="0.25">
      <c r="A58" s="8" t="s">
        <v>55</v>
      </c>
      <c r="B58" s="14">
        <f>SUM(B6:B57)</f>
        <v>2547645.4400000009</v>
      </c>
      <c r="C58" s="14">
        <f>SUM(C6:C57)</f>
        <v>5281154.8299999982</v>
      </c>
      <c r="D58" s="14"/>
      <c r="E58" s="14">
        <f t="shared" ref="E58:T58" si="5">SUM(E6:E57)</f>
        <v>2733509.3899999992</v>
      </c>
      <c r="F58" s="14"/>
      <c r="G58" s="14">
        <f t="shared" si="5"/>
        <v>2925343.47</v>
      </c>
      <c r="H58" s="12"/>
      <c r="I58" s="14">
        <f t="shared" si="5"/>
        <v>5658852.8599999985</v>
      </c>
      <c r="J58" s="14"/>
      <c r="K58" s="14"/>
      <c r="L58" s="14">
        <f t="shared" si="5"/>
        <v>5658852.8599999985</v>
      </c>
      <c r="M58" s="12"/>
      <c r="N58" s="14">
        <f t="shared" si="5"/>
        <v>3558398.9699999997</v>
      </c>
      <c r="O58" s="14">
        <f t="shared" si="5"/>
        <v>352137.56</v>
      </c>
      <c r="P58" s="14">
        <f t="shared" si="5"/>
        <v>98866.42</v>
      </c>
      <c r="Q58" s="14">
        <f t="shared" si="5"/>
        <v>643844.79999999993</v>
      </c>
      <c r="R58" s="14">
        <f t="shared" si="5"/>
        <v>974117.70000000007</v>
      </c>
      <c r="S58" s="14">
        <f t="shared" si="5"/>
        <v>4259.1400000000003</v>
      </c>
      <c r="T58" s="14">
        <f t="shared" si="5"/>
        <v>27228.27</v>
      </c>
      <c r="U58" s="12"/>
      <c r="V58" s="12"/>
      <c r="W58" s="12"/>
    </row>
    <row r="59" spans="1:23" customFormat="1" ht="15.75" x14ac:dyDescent="0.25">
      <c r="A59" s="10"/>
      <c r="B59" s="13"/>
      <c r="C59" s="13"/>
      <c r="D59" s="13"/>
      <c r="E59" s="13"/>
      <c r="F59" s="9"/>
      <c r="G59" s="9"/>
      <c r="H59" s="9"/>
      <c r="I59" s="9"/>
      <c r="J59" s="9"/>
      <c r="K59" s="9"/>
      <c r="L59" s="9"/>
      <c r="M59" s="9"/>
      <c r="N59" s="26">
        <f t="shared" ref="N59:Q59" si="6">+N58/$I$58</f>
        <v>0.62881984353274045</v>
      </c>
      <c r="O59" s="26">
        <f t="shared" si="6"/>
        <v>6.2227728607172177E-2</v>
      </c>
      <c r="P59" s="26">
        <f t="shared" si="6"/>
        <v>1.7471106325955967E-2</v>
      </c>
      <c r="Q59" s="26">
        <f t="shared" si="6"/>
        <v>0.11377655788703439</v>
      </c>
      <c r="R59" s="26">
        <f>+R58/$I$58</f>
        <v>0.17214048926516889</v>
      </c>
      <c r="S59" s="26">
        <f t="shared" ref="S59:T59" si="7">+S58/$I$58</f>
        <v>7.5265077664521591E-4</v>
      </c>
      <c r="T59" s="26">
        <f t="shared" si="7"/>
        <v>4.8116236052831397E-3</v>
      </c>
      <c r="U59" s="25"/>
      <c r="V59" s="25"/>
      <c r="W59" s="25"/>
    </row>
    <row r="60" spans="1:23" ht="15.75" x14ac:dyDescent="0.25">
      <c r="A60" s="6" t="s">
        <v>0</v>
      </c>
      <c r="B60" s="12"/>
      <c r="C60" s="12">
        <f>+C57+C55</f>
        <v>12038.26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5.75" x14ac:dyDescent="0.25">
      <c r="A61" s="8" t="s">
        <v>56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5.75" x14ac:dyDescent="0.25">
      <c r="A62" s="8" t="s">
        <v>35</v>
      </c>
      <c r="B62" s="14">
        <v>0</v>
      </c>
      <c r="C62" s="9">
        <v>300</v>
      </c>
      <c r="D62" s="9"/>
      <c r="E62" s="14">
        <f t="shared" ref="E62:E125" si="8">+C62-B62</f>
        <v>300</v>
      </c>
      <c r="F62" s="12"/>
      <c r="G62" s="14">
        <v>186</v>
      </c>
      <c r="H62" s="12"/>
      <c r="I62" s="12">
        <f t="shared" ref="I62:I125" si="9">+E62+G62</f>
        <v>486</v>
      </c>
      <c r="J62" s="12"/>
      <c r="K62" s="12"/>
      <c r="L62" s="12">
        <f t="shared" ref="L62:L125" si="10">+I62+J62+K62</f>
        <v>486</v>
      </c>
      <c r="M62" s="12"/>
      <c r="N62" s="12"/>
      <c r="O62" s="12"/>
      <c r="P62" s="12"/>
      <c r="Q62" s="12"/>
      <c r="R62" s="12"/>
      <c r="S62" s="12"/>
      <c r="T62" s="12"/>
      <c r="U62" s="12"/>
      <c r="V62" s="12">
        <f>+L62</f>
        <v>486</v>
      </c>
      <c r="W62" s="12"/>
    </row>
    <row r="63" spans="1:23" ht="15.75" x14ac:dyDescent="0.25">
      <c r="A63" s="8" t="s">
        <v>57</v>
      </c>
      <c r="B63" s="14">
        <v>0</v>
      </c>
      <c r="C63" s="9">
        <v>0</v>
      </c>
      <c r="D63" s="9"/>
      <c r="E63" s="14">
        <f t="shared" si="8"/>
        <v>0</v>
      </c>
      <c r="F63" s="12"/>
      <c r="G63" s="14">
        <v>0</v>
      </c>
      <c r="H63" s="12"/>
      <c r="I63" s="12">
        <f t="shared" si="9"/>
        <v>0</v>
      </c>
      <c r="J63" s="12"/>
      <c r="K63" s="12"/>
      <c r="L63" s="12">
        <f t="shared" si="10"/>
        <v>0</v>
      </c>
      <c r="M63" s="12"/>
      <c r="N63" s="12"/>
      <c r="O63" s="12"/>
      <c r="P63" s="12"/>
      <c r="Q63" s="12"/>
      <c r="R63" s="12"/>
      <c r="S63" s="12"/>
      <c r="T63" s="12"/>
      <c r="U63" s="12"/>
      <c r="V63" s="12">
        <f t="shared" ref="V63:V66" si="11">+L63</f>
        <v>0</v>
      </c>
      <c r="W63" s="12"/>
    </row>
    <row r="64" spans="1:23" ht="15.75" x14ac:dyDescent="0.25">
      <c r="A64" s="8" t="s">
        <v>58</v>
      </c>
      <c r="B64" s="14">
        <v>4870.95</v>
      </c>
      <c r="C64" s="9">
        <v>5548.45</v>
      </c>
      <c r="D64" s="9"/>
      <c r="E64" s="14">
        <f t="shared" si="8"/>
        <v>677.5</v>
      </c>
      <c r="F64" s="12"/>
      <c r="G64" s="14">
        <v>1513.6</v>
      </c>
      <c r="H64" s="12"/>
      <c r="I64" s="12">
        <f t="shared" si="9"/>
        <v>2191.1</v>
      </c>
      <c r="J64" s="12"/>
      <c r="K64" s="12"/>
      <c r="L64" s="12">
        <f t="shared" si="10"/>
        <v>2191.1</v>
      </c>
      <c r="M64" s="12"/>
      <c r="N64" s="12"/>
      <c r="O64" s="12"/>
      <c r="P64" s="12"/>
      <c r="Q64" s="12"/>
      <c r="R64" s="12"/>
      <c r="S64" s="12"/>
      <c r="T64" s="12"/>
      <c r="U64" s="12"/>
      <c r="V64" s="12">
        <f t="shared" si="11"/>
        <v>2191.1</v>
      </c>
      <c r="W64" s="12"/>
    </row>
    <row r="65" spans="1:24" ht="15.75" x14ac:dyDescent="0.25">
      <c r="A65" s="8" t="s">
        <v>59</v>
      </c>
      <c r="B65" s="14">
        <v>0</v>
      </c>
      <c r="C65" s="12"/>
      <c r="D65" s="12"/>
      <c r="E65" s="14">
        <f t="shared" si="8"/>
        <v>0</v>
      </c>
      <c r="F65" s="12"/>
      <c r="G65" s="14">
        <v>597.87</v>
      </c>
      <c r="H65" s="12"/>
      <c r="I65" s="12">
        <f t="shared" si="9"/>
        <v>597.87</v>
      </c>
      <c r="J65" s="12"/>
      <c r="K65" s="12"/>
      <c r="L65" s="12">
        <f t="shared" si="10"/>
        <v>597.87</v>
      </c>
      <c r="M65" s="12"/>
      <c r="N65" s="12"/>
      <c r="O65" s="12"/>
      <c r="P65" s="12"/>
      <c r="Q65" s="12"/>
      <c r="R65" s="12"/>
      <c r="S65" s="12"/>
      <c r="T65" s="12"/>
      <c r="U65" s="12"/>
      <c r="V65" s="12">
        <f t="shared" si="11"/>
        <v>597.87</v>
      </c>
      <c r="W65" s="12"/>
    </row>
    <row r="66" spans="1:24" ht="15.75" x14ac:dyDescent="0.25">
      <c r="A66" s="8" t="s">
        <v>60</v>
      </c>
      <c r="B66" s="14">
        <v>0</v>
      </c>
      <c r="C66" s="12"/>
      <c r="D66" s="12"/>
      <c r="E66" s="14">
        <f t="shared" si="8"/>
        <v>0</v>
      </c>
      <c r="F66" s="12"/>
      <c r="G66" s="14">
        <v>363</v>
      </c>
      <c r="H66" s="12"/>
      <c r="I66" s="12">
        <f t="shared" si="9"/>
        <v>363</v>
      </c>
      <c r="J66" s="12"/>
      <c r="K66" s="12"/>
      <c r="L66" s="12">
        <f t="shared" si="10"/>
        <v>363</v>
      </c>
      <c r="M66" s="12"/>
      <c r="N66" s="12"/>
      <c r="O66" s="12"/>
      <c r="P66" s="12"/>
      <c r="Q66" s="12"/>
      <c r="R66" s="12"/>
      <c r="S66" s="12"/>
      <c r="T66" s="12"/>
      <c r="U66" s="12"/>
      <c r="V66" s="12">
        <f t="shared" si="11"/>
        <v>363</v>
      </c>
      <c r="W66" s="12"/>
    </row>
    <row r="67" spans="1:24" ht="15.75" x14ac:dyDescent="0.25">
      <c r="A67" s="8" t="s">
        <v>61</v>
      </c>
      <c r="B67" s="14">
        <v>5506.39</v>
      </c>
      <c r="C67" s="9">
        <v>13517.88</v>
      </c>
      <c r="D67" s="9"/>
      <c r="E67" s="14">
        <f t="shared" si="8"/>
        <v>8011.4899999999989</v>
      </c>
      <c r="F67" s="12"/>
      <c r="G67" s="14">
        <v>6346.39</v>
      </c>
      <c r="H67" s="12"/>
      <c r="I67" s="12">
        <f t="shared" si="9"/>
        <v>14357.88</v>
      </c>
      <c r="J67" s="12"/>
      <c r="K67" s="12"/>
      <c r="L67" s="12">
        <f t="shared" si="10"/>
        <v>14357.88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>
        <f>+L67</f>
        <v>14357.88</v>
      </c>
    </row>
    <row r="68" spans="1:24" ht="15.75" x14ac:dyDescent="0.25">
      <c r="A68" s="8" t="s">
        <v>62</v>
      </c>
      <c r="B68" s="14">
        <v>0</v>
      </c>
      <c r="C68" s="9">
        <v>0</v>
      </c>
      <c r="D68" s="9"/>
      <c r="E68" s="14">
        <f t="shared" si="8"/>
        <v>0</v>
      </c>
      <c r="F68" s="12"/>
      <c r="G68" s="14">
        <v>232.9</v>
      </c>
      <c r="H68" s="12"/>
      <c r="I68" s="12">
        <f t="shared" si="9"/>
        <v>232.9</v>
      </c>
      <c r="J68" s="12"/>
      <c r="K68" s="12"/>
      <c r="L68" s="12">
        <f t="shared" si="10"/>
        <v>232.9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>
        <f t="shared" ref="W68:W71" si="12">+L68</f>
        <v>232.9</v>
      </c>
    </row>
    <row r="69" spans="1:24" ht="15.75" x14ac:dyDescent="0.25">
      <c r="A69" s="8" t="s">
        <v>63</v>
      </c>
      <c r="B69" s="14">
        <v>13691.05</v>
      </c>
      <c r="C69" s="9">
        <v>16083.87</v>
      </c>
      <c r="D69" s="9"/>
      <c r="E69" s="14">
        <f t="shared" si="8"/>
        <v>2392.8200000000015</v>
      </c>
      <c r="F69" s="12"/>
      <c r="G69" s="14">
        <v>2023.08</v>
      </c>
      <c r="H69" s="12"/>
      <c r="I69" s="12">
        <f t="shared" si="9"/>
        <v>4415.9000000000015</v>
      </c>
      <c r="J69" s="12"/>
      <c r="K69" s="12"/>
      <c r="L69" s="12">
        <f t="shared" si="10"/>
        <v>4415.9000000000015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>
        <f t="shared" si="12"/>
        <v>4415.9000000000015</v>
      </c>
    </row>
    <row r="70" spans="1:24" ht="15.75" x14ac:dyDescent="0.25">
      <c r="A70" s="8" t="s">
        <v>64</v>
      </c>
      <c r="B70" s="14">
        <v>6053</v>
      </c>
      <c r="C70" s="9">
        <v>13639.07</v>
      </c>
      <c r="D70" s="9"/>
      <c r="E70" s="14">
        <f t="shared" si="8"/>
        <v>7586.07</v>
      </c>
      <c r="F70" s="12"/>
      <c r="G70" s="14">
        <v>9423.2000000000007</v>
      </c>
      <c r="H70" s="12"/>
      <c r="I70" s="12">
        <f t="shared" si="9"/>
        <v>17009.27</v>
      </c>
      <c r="J70" s="12"/>
      <c r="K70" s="12"/>
      <c r="L70" s="12">
        <f t="shared" si="10"/>
        <v>17009.27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>
        <f t="shared" si="12"/>
        <v>17009.27</v>
      </c>
    </row>
    <row r="71" spans="1:24" ht="15.75" x14ac:dyDescent="0.25">
      <c r="A71" s="8" t="s">
        <v>65</v>
      </c>
      <c r="B71" s="14">
        <v>0</v>
      </c>
      <c r="C71" s="9">
        <v>0</v>
      </c>
      <c r="D71" s="9"/>
      <c r="E71" s="14">
        <f t="shared" si="8"/>
        <v>0</v>
      </c>
      <c r="F71" s="12"/>
      <c r="G71" s="14">
        <v>508.7</v>
      </c>
      <c r="H71" s="12"/>
      <c r="I71" s="12">
        <f t="shared" si="9"/>
        <v>508.7</v>
      </c>
      <c r="J71" s="12"/>
      <c r="K71" s="12"/>
      <c r="L71" s="12">
        <f t="shared" si="10"/>
        <v>508.7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>
        <f t="shared" si="12"/>
        <v>508.7</v>
      </c>
    </row>
    <row r="72" spans="1:24" ht="15.75" x14ac:dyDescent="0.25">
      <c r="A72" s="8" t="s">
        <v>66</v>
      </c>
      <c r="B72" s="14">
        <v>12434.21</v>
      </c>
      <c r="C72" s="9">
        <v>20769.37</v>
      </c>
      <c r="D72" s="9"/>
      <c r="E72" s="14">
        <f t="shared" si="8"/>
        <v>8335.16</v>
      </c>
      <c r="F72" s="12"/>
      <c r="G72" s="14">
        <v>6346.71</v>
      </c>
      <c r="H72" s="12"/>
      <c r="I72" s="12">
        <f t="shared" si="9"/>
        <v>14681.869999999999</v>
      </c>
      <c r="J72" s="12"/>
      <c r="K72" s="12"/>
      <c r="L72" s="12">
        <f t="shared" si="10"/>
        <v>14681.869999999999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9">
        <f>+L72</f>
        <v>14681.869999999999</v>
      </c>
    </row>
    <row r="73" spans="1:24" ht="15.75" x14ac:dyDescent="0.25">
      <c r="A73" s="8" t="s">
        <v>67</v>
      </c>
      <c r="B73" s="14">
        <v>812.96</v>
      </c>
      <c r="C73" s="9">
        <v>2109.04</v>
      </c>
      <c r="D73" s="9"/>
      <c r="E73" s="14">
        <f t="shared" si="8"/>
        <v>1296.08</v>
      </c>
      <c r="F73" s="12"/>
      <c r="G73" s="14">
        <v>7046.42</v>
      </c>
      <c r="H73" s="12"/>
      <c r="I73" s="12">
        <f t="shared" si="9"/>
        <v>8342.5</v>
      </c>
      <c r="J73" s="12"/>
      <c r="K73" s="12"/>
      <c r="L73" s="12">
        <f t="shared" si="10"/>
        <v>8342.5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9">
        <f t="shared" ref="X73:X85" si="13">+L73</f>
        <v>8342.5</v>
      </c>
    </row>
    <row r="74" spans="1:24" ht="15.75" x14ac:dyDescent="0.25">
      <c r="A74" s="8" t="s">
        <v>68</v>
      </c>
      <c r="B74" s="14">
        <v>631.78</v>
      </c>
      <c r="C74" s="9">
        <v>1055.5999999999999</v>
      </c>
      <c r="D74" s="9"/>
      <c r="E74" s="14">
        <f t="shared" si="8"/>
        <v>423.81999999999994</v>
      </c>
      <c r="F74" s="12"/>
      <c r="G74" s="14">
        <v>233.52</v>
      </c>
      <c r="H74" s="12"/>
      <c r="I74" s="12">
        <f t="shared" si="9"/>
        <v>657.33999999999992</v>
      </c>
      <c r="J74" s="12"/>
      <c r="K74" s="12"/>
      <c r="L74" s="12">
        <f t="shared" si="10"/>
        <v>657.33999999999992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9">
        <f t="shared" si="13"/>
        <v>657.33999999999992</v>
      </c>
    </row>
    <row r="75" spans="1:24" ht="15.75" x14ac:dyDescent="0.25">
      <c r="A75" s="8" t="s">
        <v>69</v>
      </c>
      <c r="B75" s="14">
        <v>6708.17</v>
      </c>
      <c r="C75" s="9">
        <v>11438.9</v>
      </c>
      <c r="D75" s="9"/>
      <c r="E75" s="14">
        <f t="shared" si="8"/>
        <v>4730.7299999999996</v>
      </c>
      <c r="F75" s="12"/>
      <c r="G75" s="14">
        <v>7500.25</v>
      </c>
      <c r="H75" s="12"/>
      <c r="I75" s="12">
        <f t="shared" si="9"/>
        <v>12230.98</v>
      </c>
      <c r="J75" s="12"/>
      <c r="K75" s="12"/>
      <c r="L75" s="12">
        <f t="shared" si="10"/>
        <v>12230.98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9">
        <f t="shared" si="13"/>
        <v>12230.98</v>
      </c>
    </row>
    <row r="76" spans="1:24" ht="15.75" x14ac:dyDescent="0.25">
      <c r="A76" s="8" t="s">
        <v>70</v>
      </c>
      <c r="B76" s="14">
        <v>1088.76</v>
      </c>
      <c r="C76" s="9">
        <v>1503.39</v>
      </c>
      <c r="D76" s="9"/>
      <c r="E76" s="14">
        <f t="shared" si="8"/>
        <v>414.63000000000011</v>
      </c>
      <c r="F76" s="12"/>
      <c r="G76" s="14">
        <v>830.06</v>
      </c>
      <c r="H76" s="12"/>
      <c r="I76" s="12">
        <f t="shared" si="9"/>
        <v>1244.69</v>
      </c>
      <c r="J76" s="12"/>
      <c r="K76" s="12"/>
      <c r="L76" s="12">
        <f t="shared" si="10"/>
        <v>1244.69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9">
        <f t="shared" si="13"/>
        <v>1244.69</v>
      </c>
    </row>
    <row r="77" spans="1:24" ht="15.75" x14ac:dyDescent="0.25">
      <c r="A77" s="8" t="s">
        <v>71</v>
      </c>
      <c r="B77" s="14">
        <v>2289.4699999999998</v>
      </c>
      <c r="C77" s="9">
        <v>3321.44</v>
      </c>
      <c r="D77" s="9"/>
      <c r="E77" s="14">
        <f t="shared" si="8"/>
        <v>1031.9700000000003</v>
      </c>
      <c r="F77" s="12"/>
      <c r="G77" s="14">
        <v>1681.28</v>
      </c>
      <c r="H77" s="12"/>
      <c r="I77" s="12">
        <f t="shared" si="9"/>
        <v>2713.25</v>
      </c>
      <c r="J77" s="12"/>
      <c r="K77" s="12"/>
      <c r="L77" s="12">
        <f t="shared" si="10"/>
        <v>2713.25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9">
        <f t="shared" si="13"/>
        <v>2713.25</v>
      </c>
    </row>
    <row r="78" spans="1:24" ht="15.75" x14ac:dyDescent="0.25">
      <c r="A78" s="8" t="s">
        <v>72</v>
      </c>
      <c r="B78" s="14">
        <v>35014.559999999998</v>
      </c>
      <c r="C78" s="9">
        <v>84808.79</v>
      </c>
      <c r="D78" s="9"/>
      <c r="E78" s="14">
        <f t="shared" si="8"/>
        <v>49794.229999999996</v>
      </c>
      <c r="F78" s="12"/>
      <c r="G78" s="14">
        <v>46983.83</v>
      </c>
      <c r="H78" s="12"/>
      <c r="I78" s="12">
        <f t="shared" si="9"/>
        <v>96778.06</v>
      </c>
      <c r="J78" s="12"/>
      <c r="K78" s="12"/>
      <c r="L78" s="12">
        <f t="shared" si="10"/>
        <v>96778.06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9">
        <f t="shared" si="13"/>
        <v>96778.06</v>
      </c>
    </row>
    <row r="79" spans="1:24" ht="15.75" x14ac:dyDescent="0.25">
      <c r="A79" s="8" t="s">
        <v>73</v>
      </c>
      <c r="B79" s="14">
        <v>3354.69</v>
      </c>
      <c r="C79" s="9">
        <v>8470.57</v>
      </c>
      <c r="D79" s="9"/>
      <c r="E79" s="14">
        <f t="shared" si="8"/>
        <v>5115.8799999999992</v>
      </c>
      <c r="F79" s="12"/>
      <c r="G79" s="14">
        <v>5864.82</v>
      </c>
      <c r="H79" s="12"/>
      <c r="I79" s="12">
        <f t="shared" si="9"/>
        <v>10980.699999999999</v>
      </c>
      <c r="J79" s="12"/>
      <c r="K79" s="12"/>
      <c r="L79" s="12">
        <f t="shared" si="10"/>
        <v>10980.699999999999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9">
        <f t="shared" si="13"/>
        <v>10980.699999999999</v>
      </c>
    </row>
    <row r="80" spans="1:24" ht="15.75" x14ac:dyDescent="0.25">
      <c r="A80" s="8" t="s">
        <v>74</v>
      </c>
      <c r="B80" s="14">
        <v>715.29</v>
      </c>
      <c r="C80" s="9">
        <v>8036.29</v>
      </c>
      <c r="D80" s="9"/>
      <c r="E80" s="14">
        <f t="shared" si="8"/>
        <v>7321</v>
      </c>
      <c r="F80" s="12"/>
      <c r="G80" s="14">
        <v>12862.47</v>
      </c>
      <c r="H80" s="12"/>
      <c r="I80" s="12">
        <f t="shared" si="9"/>
        <v>20183.47</v>
      </c>
      <c r="J80" s="12"/>
      <c r="K80" s="12"/>
      <c r="L80" s="12">
        <f t="shared" si="10"/>
        <v>20183.47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9">
        <f t="shared" si="13"/>
        <v>20183.47</v>
      </c>
    </row>
    <row r="81" spans="1:26" ht="15.75" x14ac:dyDescent="0.25">
      <c r="A81" s="8" t="s">
        <v>75</v>
      </c>
      <c r="B81" s="14">
        <v>813.68</v>
      </c>
      <c r="C81" s="9">
        <v>2016.98</v>
      </c>
      <c r="D81" s="9"/>
      <c r="E81" s="14">
        <f t="shared" si="8"/>
        <v>1203.3000000000002</v>
      </c>
      <c r="F81" s="12"/>
      <c r="G81" s="14">
        <v>853.67</v>
      </c>
      <c r="H81" s="12"/>
      <c r="I81" s="12">
        <f t="shared" si="9"/>
        <v>2056.9700000000003</v>
      </c>
      <c r="J81" s="12"/>
      <c r="K81" s="12"/>
      <c r="L81" s="12">
        <f t="shared" si="10"/>
        <v>2056.9700000000003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9">
        <f t="shared" si="13"/>
        <v>2056.9700000000003</v>
      </c>
    </row>
    <row r="82" spans="1:26" ht="15.75" x14ac:dyDescent="0.25">
      <c r="A82" s="8" t="s">
        <v>76</v>
      </c>
      <c r="B82" s="14">
        <v>6485.76</v>
      </c>
      <c r="C82" s="9">
        <v>6485.76</v>
      </c>
      <c r="D82" s="9"/>
      <c r="E82" s="14">
        <f t="shared" si="8"/>
        <v>0</v>
      </c>
      <c r="F82" s="12"/>
      <c r="G82" s="14">
        <v>0</v>
      </c>
      <c r="H82" s="12"/>
      <c r="I82" s="12">
        <f t="shared" si="9"/>
        <v>0</v>
      </c>
      <c r="J82" s="12"/>
      <c r="K82" s="12"/>
      <c r="L82" s="12">
        <f t="shared" si="10"/>
        <v>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9">
        <f t="shared" si="13"/>
        <v>0</v>
      </c>
    </row>
    <row r="83" spans="1:26" ht="15.75" x14ac:dyDescent="0.25">
      <c r="A83" s="8" t="s">
        <v>77</v>
      </c>
      <c r="B83" s="14">
        <v>950.95</v>
      </c>
      <c r="C83" s="9">
        <v>950.95</v>
      </c>
      <c r="D83" s="9"/>
      <c r="E83" s="14">
        <f t="shared" si="8"/>
        <v>0</v>
      </c>
      <c r="F83" s="12"/>
      <c r="G83" s="14">
        <v>1486.19</v>
      </c>
      <c r="H83" s="12"/>
      <c r="I83" s="12">
        <f t="shared" si="9"/>
        <v>1486.19</v>
      </c>
      <c r="J83" s="12"/>
      <c r="K83" s="12"/>
      <c r="L83" s="12">
        <f t="shared" si="10"/>
        <v>1486.19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9">
        <f t="shared" si="13"/>
        <v>1486.19</v>
      </c>
    </row>
    <row r="84" spans="1:26" ht="15.75" x14ac:dyDescent="0.25">
      <c r="A84" s="8" t="s">
        <v>78</v>
      </c>
      <c r="B84" s="14">
        <v>5347.76</v>
      </c>
      <c r="C84" s="9">
        <v>13984.98</v>
      </c>
      <c r="D84" s="9"/>
      <c r="E84" s="14">
        <f t="shared" si="8"/>
        <v>8637.2199999999993</v>
      </c>
      <c r="F84" s="12"/>
      <c r="G84" s="14">
        <v>16152.31</v>
      </c>
      <c r="H84" s="12"/>
      <c r="I84" s="12">
        <f t="shared" si="9"/>
        <v>24789.53</v>
      </c>
      <c r="J84" s="12"/>
      <c r="K84" s="12"/>
      <c r="L84" s="12">
        <f t="shared" si="10"/>
        <v>24789.53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9">
        <f t="shared" si="13"/>
        <v>24789.53</v>
      </c>
    </row>
    <row r="85" spans="1:26" ht="15.75" x14ac:dyDescent="0.25">
      <c r="A85" s="8" t="s">
        <v>79</v>
      </c>
      <c r="B85" s="14">
        <v>5866.36</v>
      </c>
      <c r="C85" s="9">
        <v>5866.36</v>
      </c>
      <c r="D85" s="9"/>
      <c r="E85" s="14">
        <f t="shared" si="8"/>
        <v>0</v>
      </c>
      <c r="F85" s="12"/>
      <c r="G85" s="14">
        <v>2383.0500000000002</v>
      </c>
      <c r="H85" s="12"/>
      <c r="I85" s="12">
        <f t="shared" si="9"/>
        <v>2383.0500000000002</v>
      </c>
      <c r="J85" s="12"/>
      <c r="K85" s="12"/>
      <c r="L85" s="12">
        <f t="shared" si="10"/>
        <v>2383.0500000000002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9">
        <f t="shared" si="13"/>
        <v>2383.0500000000002</v>
      </c>
    </row>
    <row r="86" spans="1:26" ht="15.75" x14ac:dyDescent="0.25">
      <c r="A86" s="8" t="s">
        <v>80</v>
      </c>
      <c r="B86" s="14">
        <v>30585.57</v>
      </c>
      <c r="C86" s="9">
        <v>66370.539999999994</v>
      </c>
      <c r="D86" s="9"/>
      <c r="E86" s="14">
        <f t="shared" si="8"/>
        <v>35784.969999999994</v>
      </c>
      <c r="F86" s="12"/>
      <c r="G86" s="14">
        <v>43933</v>
      </c>
      <c r="H86" s="12"/>
      <c r="I86" s="12">
        <f t="shared" si="9"/>
        <v>79717.97</v>
      </c>
      <c r="J86" s="12"/>
      <c r="K86" s="12"/>
      <c r="L86" s="12">
        <f t="shared" si="10"/>
        <v>79717.97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Y86" s="19">
        <f>+L86</f>
        <v>79717.97</v>
      </c>
    </row>
    <row r="87" spans="1:26" ht="15.75" x14ac:dyDescent="0.25">
      <c r="A87" s="8" t="s">
        <v>81</v>
      </c>
      <c r="B87" s="14">
        <v>70.66</v>
      </c>
      <c r="C87" s="9">
        <v>221.42</v>
      </c>
      <c r="D87" s="9"/>
      <c r="E87" s="14">
        <f t="shared" si="8"/>
        <v>150.76</v>
      </c>
      <c r="F87" s="12"/>
      <c r="G87" s="14">
        <v>513.87</v>
      </c>
      <c r="H87" s="12"/>
      <c r="I87" s="12">
        <f t="shared" si="9"/>
        <v>664.63</v>
      </c>
      <c r="J87" s="12"/>
      <c r="K87" s="12"/>
      <c r="L87" s="12">
        <f t="shared" si="10"/>
        <v>664.63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Y87" s="19">
        <f t="shared" ref="Y87:Y91" si="14">+L87</f>
        <v>664.63</v>
      </c>
    </row>
    <row r="88" spans="1:26" ht="15.75" x14ac:dyDescent="0.25">
      <c r="A88" s="8" t="s">
        <v>82</v>
      </c>
      <c r="B88" s="14">
        <v>23805.75</v>
      </c>
      <c r="C88" s="9">
        <v>37732.519999999997</v>
      </c>
      <c r="D88" s="9"/>
      <c r="E88" s="14">
        <f t="shared" si="8"/>
        <v>13926.769999999997</v>
      </c>
      <c r="F88" s="12"/>
      <c r="G88" s="14">
        <v>9115.9500000000007</v>
      </c>
      <c r="H88" s="12"/>
      <c r="I88" s="12">
        <f t="shared" si="9"/>
        <v>23042.719999999998</v>
      </c>
      <c r="J88" s="12"/>
      <c r="K88" s="12"/>
      <c r="L88" s="12">
        <f t="shared" si="10"/>
        <v>23042.719999999998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Y88" s="19">
        <f t="shared" si="14"/>
        <v>23042.719999999998</v>
      </c>
    </row>
    <row r="89" spans="1:26" ht="15.75" x14ac:dyDescent="0.25">
      <c r="A89" s="8" t="s">
        <v>83</v>
      </c>
      <c r="B89" s="14">
        <v>7245.85</v>
      </c>
      <c r="C89" s="9">
        <v>11889.73</v>
      </c>
      <c r="D89" s="9"/>
      <c r="E89" s="14">
        <f t="shared" si="8"/>
        <v>4643.8799999999992</v>
      </c>
      <c r="F89" s="12"/>
      <c r="G89" s="14">
        <v>8124.02</v>
      </c>
      <c r="H89" s="12"/>
      <c r="I89" s="12">
        <f t="shared" si="9"/>
        <v>12767.9</v>
      </c>
      <c r="J89" s="12"/>
      <c r="K89" s="12"/>
      <c r="L89" s="12">
        <f t="shared" si="10"/>
        <v>12767.9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Y89" s="19">
        <f t="shared" si="14"/>
        <v>12767.9</v>
      </c>
    </row>
    <row r="90" spans="1:26" ht="15.75" x14ac:dyDescent="0.25">
      <c r="A90" s="8" t="s">
        <v>84</v>
      </c>
      <c r="B90" s="14">
        <v>0</v>
      </c>
      <c r="C90" s="9">
        <v>2081.35</v>
      </c>
      <c r="D90" s="9"/>
      <c r="E90" s="14">
        <f t="shared" si="8"/>
        <v>2081.35</v>
      </c>
      <c r="F90" s="12"/>
      <c r="G90" s="14">
        <v>283.64999999999998</v>
      </c>
      <c r="H90" s="12"/>
      <c r="I90" s="12">
        <f t="shared" si="9"/>
        <v>2365</v>
      </c>
      <c r="J90" s="12"/>
      <c r="K90" s="12"/>
      <c r="L90" s="12">
        <f t="shared" si="10"/>
        <v>2365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Y90" s="19">
        <f t="shared" si="14"/>
        <v>2365</v>
      </c>
    </row>
    <row r="91" spans="1:26" ht="15.75" x14ac:dyDescent="0.25">
      <c r="A91" s="8" t="s">
        <v>85</v>
      </c>
      <c r="B91" s="14">
        <v>5928.68</v>
      </c>
      <c r="C91" s="9">
        <v>11974.12</v>
      </c>
      <c r="D91" s="9"/>
      <c r="E91" s="14">
        <f t="shared" si="8"/>
        <v>6045.4400000000005</v>
      </c>
      <c r="F91" s="12"/>
      <c r="G91" s="14">
        <v>6812.27</v>
      </c>
      <c r="H91" s="12"/>
      <c r="I91" s="12">
        <f t="shared" si="9"/>
        <v>12857.710000000001</v>
      </c>
      <c r="J91" s="12"/>
      <c r="K91" s="12"/>
      <c r="L91" s="12">
        <f t="shared" si="10"/>
        <v>12857.710000000001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Y91" s="19">
        <f t="shared" si="14"/>
        <v>12857.710000000001</v>
      </c>
    </row>
    <row r="92" spans="1:26" ht="15.75" x14ac:dyDescent="0.25">
      <c r="A92" s="8" t="s">
        <v>86</v>
      </c>
      <c r="B92" s="14">
        <v>13591.23</v>
      </c>
      <c r="C92" s="9">
        <v>24994.86</v>
      </c>
      <c r="D92" s="9"/>
      <c r="E92" s="14">
        <f t="shared" si="8"/>
        <v>11403.630000000001</v>
      </c>
      <c r="F92" s="12"/>
      <c r="G92" s="14">
        <v>20467.740000000002</v>
      </c>
      <c r="H92" s="12"/>
      <c r="I92" s="12">
        <f t="shared" si="9"/>
        <v>31871.370000000003</v>
      </c>
      <c r="J92" s="12"/>
      <c r="K92" s="12"/>
      <c r="L92" s="12">
        <f t="shared" si="10"/>
        <v>31871.370000000003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Z92" s="19">
        <f>+L92</f>
        <v>31871.370000000003</v>
      </c>
    </row>
    <row r="93" spans="1:26" ht="15.75" x14ac:dyDescent="0.25">
      <c r="A93" s="8" t="s">
        <v>87</v>
      </c>
      <c r="B93" s="14">
        <v>1076.21</v>
      </c>
      <c r="C93" s="9">
        <v>2466.15</v>
      </c>
      <c r="D93" s="9"/>
      <c r="E93" s="14">
        <f t="shared" si="8"/>
        <v>1389.94</v>
      </c>
      <c r="F93" s="12"/>
      <c r="G93" s="14">
        <v>2614.62</v>
      </c>
      <c r="H93" s="12"/>
      <c r="I93" s="12">
        <f t="shared" si="9"/>
        <v>4004.56</v>
      </c>
      <c r="J93" s="12"/>
      <c r="K93" s="12"/>
      <c r="L93" s="12">
        <f t="shared" si="10"/>
        <v>4004.56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Z93" s="19">
        <f t="shared" ref="Z93:Z105" si="15">+L93</f>
        <v>4004.56</v>
      </c>
    </row>
    <row r="94" spans="1:26" ht="15.75" x14ac:dyDescent="0.25">
      <c r="A94" s="8" t="s">
        <v>88</v>
      </c>
      <c r="B94" s="14">
        <v>10444.19</v>
      </c>
      <c r="C94" s="9">
        <v>21898.55</v>
      </c>
      <c r="D94" s="9"/>
      <c r="E94" s="14">
        <f t="shared" si="8"/>
        <v>11454.359999999999</v>
      </c>
      <c r="F94" s="12"/>
      <c r="G94" s="14">
        <v>19374.02</v>
      </c>
      <c r="H94" s="12"/>
      <c r="I94" s="12">
        <f t="shared" si="9"/>
        <v>30828.379999999997</v>
      </c>
      <c r="J94" s="12"/>
      <c r="K94" s="12"/>
      <c r="L94" s="12">
        <f t="shared" si="10"/>
        <v>30828.379999999997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Z94" s="19">
        <f t="shared" si="15"/>
        <v>30828.379999999997</v>
      </c>
    </row>
    <row r="95" spans="1:26" ht="15.75" x14ac:dyDescent="0.25">
      <c r="A95" s="8" t="s">
        <v>89</v>
      </c>
      <c r="B95" s="14">
        <v>72.790000000000006</v>
      </c>
      <c r="C95" s="9">
        <v>2105.16</v>
      </c>
      <c r="D95" s="9"/>
      <c r="E95" s="14">
        <f t="shared" si="8"/>
        <v>2032.37</v>
      </c>
      <c r="F95" s="12"/>
      <c r="G95" s="14">
        <v>1590.54</v>
      </c>
      <c r="H95" s="12"/>
      <c r="I95" s="12">
        <f t="shared" si="9"/>
        <v>3622.91</v>
      </c>
      <c r="J95" s="12"/>
      <c r="K95" s="12"/>
      <c r="L95" s="12">
        <f t="shared" si="10"/>
        <v>3622.91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Z95" s="19">
        <f t="shared" si="15"/>
        <v>3622.91</v>
      </c>
    </row>
    <row r="96" spans="1:26" ht="15.75" x14ac:dyDescent="0.25">
      <c r="A96" s="8" t="s">
        <v>90</v>
      </c>
      <c r="B96" s="14">
        <v>20039.16</v>
      </c>
      <c r="C96" s="9">
        <v>30627.040000000001</v>
      </c>
      <c r="D96" s="9"/>
      <c r="E96" s="14">
        <f t="shared" si="8"/>
        <v>10587.880000000001</v>
      </c>
      <c r="F96" s="12"/>
      <c r="G96" s="14">
        <v>1600.02</v>
      </c>
      <c r="H96" s="12"/>
      <c r="I96" s="12">
        <f t="shared" si="9"/>
        <v>12187.900000000001</v>
      </c>
      <c r="J96" s="12"/>
      <c r="K96" s="12"/>
      <c r="L96" s="12">
        <f t="shared" si="10"/>
        <v>12187.900000000001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Z96" s="19">
        <f t="shared" si="15"/>
        <v>12187.900000000001</v>
      </c>
    </row>
    <row r="97" spans="1:28" ht="15.75" x14ac:dyDescent="0.25">
      <c r="A97" s="8" t="s">
        <v>91</v>
      </c>
      <c r="B97" s="14">
        <v>89301.09</v>
      </c>
      <c r="C97" s="9">
        <v>148259.37</v>
      </c>
      <c r="D97" s="9"/>
      <c r="E97" s="14">
        <f t="shared" si="8"/>
        <v>58958.28</v>
      </c>
      <c r="F97" s="12"/>
      <c r="G97" s="14">
        <v>48576.81</v>
      </c>
      <c r="H97" s="12"/>
      <c r="I97" s="12">
        <f t="shared" si="9"/>
        <v>107535.09</v>
      </c>
      <c r="J97" s="12"/>
      <c r="K97" s="12"/>
      <c r="L97" s="12">
        <f t="shared" si="10"/>
        <v>107535.09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Z97" s="19">
        <f t="shared" si="15"/>
        <v>107535.09</v>
      </c>
    </row>
    <row r="98" spans="1:28" ht="15.75" x14ac:dyDescent="0.25">
      <c r="A98" s="8" t="s">
        <v>92</v>
      </c>
      <c r="B98" s="14">
        <v>13807.64</v>
      </c>
      <c r="C98" s="9">
        <v>23107.72</v>
      </c>
      <c r="D98" s="9"/>
      <c r="E98" s="14">
        <f t="shared" si="8"/>
        <v>9300.0800000000017</v>
      </c>
      <c r="F98" s="12"/>
      <c r="G98" s="14">
        <v>13397.12</v>
      </c>
      <c r="H98" s="12"/>
      <c r="I98" s="12">
        <f t="shared" si="9"/>
        <v>22697.200000000004</v>
      </c>
      <c r="J98" s="12"/>
      <c r="K98" s="12"/>
      <c r="L98" s="12">
        <f t="shared" si="10"/>
        <v>22697.200000000004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Z98" s="19">
        <f t="shared" si="15"/>
        <v>22697.200000000004</v>
      </c>
    </row>
    <row r="99" spans="1:28" ht="15.75" x14ac:dyDescent="0.25">
      <c r="A99" s="8" t="s">
        <v>93</v>
      </c>
      <c r="B99" s="14">
        <v>11527.77</v>
      </c>
      <c r="C99" s="9">
        <v>23350.11</v>
      </c>
      <c r="D99" s="9"/>
      <c r="E99" s="14">
        <f t="shared" si="8"/>
        <v>11822.34</v>
      </c>
      <c r="F99" s="12"/>
      <c r="G99" s="14">
        <v>14963.84</v>
      </c>
      <c r="H99" s="12"/>
      <c r="I99" s="12">
        <f t="shared" si="9"/>
        <v>26786.18</v>
      </c>
      <c r="J99" s="12"/>
      <c r="K99" s="12"/>
      <c r="L99" s="12">
        <f t="shared" si="10"/>
        <v>26786.18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Z99" s="19">
        <f t="shared" si="15"/>
        <v>26786.18</v>
      </c>
    </row>
    <row r="100" spans="1:28" ht="15.75" x14ac:dyDescent="0.25">
      <c r="A100" s="8" t="s">
        <v>94</v>
      </c>
      <c r="B100" s="14">
        <v>9125.7099999999991</v>
      </c>
      <c r="C100" s="9">
        <v>20040.11</v>
      </c>
      <c r="D100" s="9"/>
      <c r="E100" s="14">
        <f t="shared" si="8"/>
        <v>10914.400000000001</v>
      </c>
      <c r="F100" s="12"/>
      <c r="G100" s="14">
        <v>18444.740000000002</v>
      </c>
      <c r="H100" s="12"/>
      <c r="I100" s="12">
        <f t="shared" si="9"/>
        <v>29359.140000000003</v>
      </c>
      <c r="J100" s="12"/>
      <c r="K100" s="12"/>
      <c r="L100" s="12">
        <f t="shared" si="10"/>
        <v>29359.140000000003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Z100" s="19">
        <f t="shared" si="15"/>
        <v>29359.140000000003</v>
      </c>
    </row>
    <row r="101" spans="1:28" ht="15.75" x14ac:dyDescent="0.25">
      <c r="A101" s="8" t="s">
        <v>95</v>
      </c>
      <c r="B101" s="14">
        <v>15214.74</v>
      </c>
      <c r="C101" s="9">
        <v>21005.15</v>
      </c>
      <c r="D101" s="9"/>
      <c r="E101" s="14">
        <f t="shared" si="8"/>
        <v>5790.4100000000017</v>
      </c>
      <c r="F101" s="12"/>
      <c r="G101" s="14">
        <v>16539.63</v>
      </c>
      <c r="H101" s="12"/>
      <c r="I101" s="12">
        <f t="shared" si="9"/>
        <v>22330.04</v>
      </c>
      <c r="J101" s="12"/>
      <c r="K101" s="12"/>
      <c r="L101" s="12">
        <f t="shared" si="10"/>
        <v>22330.04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Z101" s="19">
        <f t="shared" si="15"/>
        <v>22330.04</v>
      </c>
    </row>
    <row r="102" spans="1:28" ht="15.75" x14ac:dyDescent="0.25">
      <c r="A102" s="8" t="s">
        <v>96</v>
      </c>
      <c r="B102" s="14">
        <v>702.29</v>
      </c>
      <c r="C102" s="9">
        <v>2873.54</v>
      </c>
      <c r="D102" s="9"/>
      <c r="E102" s="14">
        <f t="shared" si="8"/>
        <v>2171.25</v>
      </c>
      <c r="F102" s="12"/>
      <c r="G102" s="14">
        <v>1166.83</v>
      </c>
      <c r="H102" s="12"/>
      <c r="I102" s="12">
        <f t="shared" si="9"/>
        <v>3338.08</v>
      </c>
      <c r="J102" s="12"/>
      <c r="K102" s="12"/>
      <c r="L102" s="12">
        <f t="shared" si="10"/>
        <v>3338.08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Z102" s="19">
        <f t="shared" si="15"/>
        <v>3338.08</v>
      </c>
    </row>
    <row r="103" spans="1:28" ht="15.75" x14ac:dyDescent="0.25">
      <c r="A103" s="8" t="s">
        <v>97</v>
      </c>
      <c r="B103" s="14">
        <v>29416.84</v>
      </c>
      <c r="C103" s="9">
        <v>-7119.02</v>
      </c>
      <c r="D103" s="9"/>
      <c r="E103" s="14">
        <f t="shared" si="8"/>
        <v>-36535.86</v>
      </c>
      <c r="F103" s="12"/>
      <c r="G103" s="14">
        <v>19874.98</v>
      </c>
      <c r="H103" s="12"/>
      <c r="I103" s="12">
        <f t="shared" si="9"/>
        <v>-16660.88</v>
      </c>
      <c r="J103" s="12"/>
      <c r="K103" s="12"/>
      <c r="L103" s="12">
        <f t="shared" si="10"/>
        <v>-16660.88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Z103" s="19">
        <f t="shared" si="15"/>
        <v>-16660.88</v>
      </c>
    </row>
    <row r="104" spans="1:28" ht="15.75" x14ac:dyDescent="0.25">
      <c r="A104" s="8" t="s">
        <v>98</v>
      </c>
      <c r="B104" s="14">
        <v>14649.17</v>
      </c>
      <c r="C104" s="9">
        <v>21697.88</v>
      </c>
      <c r="D104" s="9"/>
      <c r="E104" s="14">
        <f t="shared" si="8"/>
        <v>7048.7100000000009</v>
      </c>
      <c r="F104" s="12"/>
      <c r="G104" s="14">
        <v>9185.01</v>
      </c>
      <c r="H104" s="12"/>
      <c r="I104" s="12">
        <f t="shared" si="9"/>
        <v>16233.720000000001</v>
      </c>
      <c r="J104" s="12"/>
      <c r="K104" s="12"/>
      <c r="L104" s="12">
        <f t="shared" si="10"/>
        <v>16233.720000000001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Z104" s="19">
        <f t="shared" si="15"/>
        <v>16233.720000000001</v>
      </c>
    </row>
    <row r="105" spans="1:28" ht="15.75" x14ac:dyDescent="0.25">
      <c r="A105" s="8" t="s">
        <v>99</v>
      </c>
      <c r="B105" s="14">
        <v>15301.82</v>
      </c>
      <c r="C105" s="9">
        <v>30228.13</v>
      </c>
      <c r="D105" s="9"/>
      <c r="E105" s="14">
        <f t="shared" si="8"/>
        <v>14926.310000000001</v>
      </c>
      <c r="F105" s="12"/>
      <c r="G105" s="14">
        <v>6888.55</v>
      </c>
      <c r="H105" s="12"/>
      <c r="I105" s="12">
        <f t="shared" si="9"/>
        <v>21814.86</v>
      </c>
      <c r="J105" s="12"/>
      <c r="K105" s="12"/>
      <c r="L105" s="12">
        <f t="shared" si="10"/>
        <v>21814.86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Z105" s="19">
        <f t="shared" si="15"/>
        <v>21814.86</v>
      </c>
    </row>
    <row r="106" spans="1:28" ht="15.75" x14ac:dyDescent="0.25">
      <c r="A106" s="8" t="s">
        <v>100</v>
      </c>
      <c r="B106" s="14">
        <v>399.51</v>
      </c>
      <c r="C106" s="9">
        <v>399.51</v>
      </c>
      <c r="D106" s="9"/>
      <c r="E106" s="14">
        <f t="shared" si="8"/>
        <v>0</v>
      </c>
      <c r="F106" s="12"/>
      <c r="G106" s="14">
        <v>4307</v>
      </c>
      <c r="H106" s="12"/>
      <c r="I106" s="12">
        <f t="shared" si="9"/>
        <v>4307</v>
      </c>
      <c r="J106" s="12"/>
      <c r="K106" s="12"/>
      <c r="L106" s="12">
        <f t="shared" si="10"/>
        <v>4307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AA106" s="19">
        <f>+L106</f>
        <v>4307</v>
      </c>
    </row>
    <row r="107" spans="1:28" ht="15.75" x14ac:dyDescent="0.25">
      <c r="A107" s="8" t="s">
        <v>101</v>
      </c>
      <c r="B107" s="14">
        <v>4142.3100000000004</v>
      </c>
      <c r="C107" s="9">
        <v>4142.3100000000004</v>
      </c>
      <c r="D107" s="9"/>
      <c r="E107" s="14">
        <f t="shared" si="8"/>
        <v>0</v>
      </c>
      <c r="F107" s="12"/>
      <c r="G107" s="14">
        <v>27.98</v>
      </c>
      <c r="H107" s="12"/>
      <c r="I107" s="12">
        <f t="shared" si="9"/>
        <v>27.98</v>
      </c>
      <c r="J107" s="12"/>
      <c r="K107" s="12"/>
      <c r="L107" s="12">
        <f t="shared" si="10"/>
        <v>27.98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AB107" s="19">
        <f>+L107</f>
        <v>27.98</v>
      </c>
    </row>
    <row r="108" spans="1:28" ht="15.75" x14ac:dyDescent="0.25">
      <c r="A108" s="8" t="s">
        <v>102</v>
      </c>
      <c r="B108" s="14">
        <v>0</v>
      </c>
      <c r="C108" s="9">
        <v>871.54</v>
      </c>
      <c r="D108" s="9"/>
      <c r="E108" s="14">
        <f t="shared" si="8"/>
        <v>871.54</v>
      </c>
      <c r="F108" s="12"/>
      <c r="G108" s="14">
        <v>525.96</v>
      </c>
      <c r="H108" s="12"/>
      <c r="I108" s="12">
        <f t="shared" si="9"/>
        <v>1397.5</v>
      </c>
      <c r="J108" s="12"/>
      <c r="K108" s="12"/>
      <c r="L108" s="12">
        <f t="shared" si="10"/>
        <v>1397.5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AB108" s="19">
        <f t="shared" ref="AB108:AB120" si="16">+L108</f>
        <v>1397.5</v>
      </c>
    </row>
    <row r="109" spans="1:28" ht="15.75" x14ac:dyDescent="0.25">
      <c r="A109" s="8" t="s">
        <v>103</v>
      </c>
      <c r="B109" s="14">
        <v>828.25</v>
      </c>
      <c r="C109" s="9">
        <v>867.36</v>
      </c>
      <c r="D109" s="9"/>
      <c r="E109" s="14">
        <f t="shared" si="8"/>
        <v>39.110000000000014</v>
      </c>
      <c r="F109" s="12"/>
      <c r="G109" s="14">
        <v>1481.69</v>
      </c>
      <c r="H109" s="12"/>
      <c r="I109" s="12">
        <f t="shared" si="9"/>
        <v>1520.8000000000002</v>
      </c>
      <c r="J109" s="12"/>
      <c r="K109" s="12"/>
      <c r="L109" s="12">
        <f t="shared" si="10"/>
        <v>1520.8000000000002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AB109" s="19">
        <f t="shared" si="16"/>
        <v>1520.8000000000002</v>
      </c>
    </row>
    <row r="110" spans="1:28" ht="15.75" x14ac:dyDescent="0.25">
      <c r="A110" s="8" t="s">
        <v>104</v>
      </c>
      <c r="B110" s="14">
        <v>0</v>
      </c>
      <c r="C110" s="9">
        <v>110.19</v>
      </c>
      <c r="D110" s="9"/>
      <c r="E110" s="14">
        <f t="shared" si="8"/>
        <v>110.19</v>
      </c>
      <c r="F110" s="12"/>
      <c r="G110" s="14">
        <v>0</v>
      </c>
      <c r="H110" s="12"/>
      <c r="I110" s="12">
        <f t="shared" si="9"/>
        <v>110.19</v>
      </c>
      <c r="J110" s="12"/>
      <c r="K110" s="12"/>
      <c r="L110" s="12">
        <f t="shared" si="10"/>
        <v>110.19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AB110" s="19">
        <f t="shared" si="16"/>
        <v>110.19</v>
      </c>
    </row>
    <row r="111" spans="1:28" ht="15.75" x14ac:dyDescent="0.25">
      <c r="A111" s="8" t="s">
        <v>105</v>
      </c>
      <c r="B111" s="14">
        <v>2320.46</v>
      </c>
      <c r="C111" s="9">
        <v>4497.8100000000004</v>
      </c>
      <c r="D111" s="9"/>
      <c r="E111" s="14">
        <f t="shared" si="8"/>
        <v>2177.3500000000004</v>
      </c>
      <c r="F111" s="12"/>
      <c r="G111" s="14">
        <v>2616.88</v>
      </c>
      <c r="H111" s="12"/>
      <c r="I111" s="12">
        <f t="shared" si="9"/>
        <v>4794.2300000000005</v>
      </c>
      <c r="J111" s="12"/>
      <c r="K111" s="12"/>
      <c r="L111" s="12">
        <f t="shared" si="10"/>
        <v>4794.2300000000005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AB111" s="19">
        <f t="shared" si="16"/>
        <v>4794.2300000000005</v>
      </c>
    </row>
    <row r="112" spans="1:28" ht="15.75" x14ac:dyDescent="0.25">
      <c r="A112" s="8" t="s">
        <v>106</v>
      </c>
      <c r="B112" s="14">
        <v>39396.29</v>
      </c>
      <c r="C112" s="9">
        <v>74179.649999999994</v>
      </c>
      <c r="D112" s="9"/>
      <c r="E112" s="14">
        <f t="shared" si="8"/>
        <v>34783.359999999993</v>
      </c>
      <c r="F112" s="12"/>
      <c r="G112" s="14">
        <v>40970.870000000003</v>
      </c>
      <c r="H112" s="12"/>
      <c r="I112" s="12">
        <f t="shared" si="9"/>
        <v>75754.23</v>
      </c>
      <c r="J112" s="12"/>
      <c r="K112" s="12"/>
      <c r="L112" s="12">
        <f t="shared" si="10"/>
        <v>75754.23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AB112" s="19">
        <f t="shared" si="16"/>
        <v>75754.23</v>
      </c>
    </row>
    <row r="113" spans="1:30" ht="15.75" x14ac:dyDescent="0.25">
      <c r="A113" s="8" t="s">
        <v>107</v>
      </c>
      <c r="B113" s="14">
        <v>1300.45</v>
      </c>
      <c r="C113" s="9">
        <v>1363.3</v>
      </c>
      <c r="D113" s="9"/>
      <c r="E113" s="14">
        <f t="shared" si="8"/>
        <v>62.849999999999909</v>
      </c>
      <c r="F113" s="12"/>
      <c r="G113" s="14">
        <v>632.54</v>
      </c>
      <c r="H113" s="12"/>
      <c r="I113" s="12">
        <f t="shared" si="9"/>
        <v>695.38999999999987</v>
      </c>
      <c r="J113" s="12"/>
      <c r="K113" s="12"/>
      <c r="L113" s="12">
        <f t="shared" si="10"/>
        <v>695.38999999999987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AB113" s="19">
        <f t="shared" si="16"/>
        <v>695.38999999999987</v>
      </c>
    </row>
    <row r="114" spans="1:30" ht="15.75" x14ac:dyDescent="0.25">
      <c r="A114" s="8" t="s">
        <v>108</v>
      </c>
      <c r="B114" s="14">
        <v>1374.5</v>
      </c>
      <c r="C114" s="9">
        <v>1793.97</v>
      </c>
      <c r="D114" s="9"/>
      <c r="E114" s="14">
        <f t="shared" si="8"/>
        <v>419.47</v>
      </c>
      <c r="F114" s="12"/>
      <c r="G114" s="14">
        <v>191.83</v>
      </c>
      <c r="H114" s="12"/>
      <c r="I114" s="12">
        <f t="shared" si="9"/>
        <v>611.30000000000007</v>
      </c>
      <c r="J114" s="12"/>
      <c r="K114" s="12"/>
      <c r="L114" s="12">
        <f t="shared" si="10"/>
        <v>611.30000000000007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AB114" s="19">
        <f t="shared" si="16"/>
        <v>611.30000000000007</v>
      </c>
    </row>
    <row r="115" spans="1:30" ht="15.75" x14ac:dyDescent="0.25">
      <c r="A115" s="8" t="s">
        <v>109</v>
      </c>
      <c r="B115" s="14">
        <v>976.34</v>
      </c>
      <c r="C115" s="9">
        <v>2219.84</v>
      </c>
      <c r="D115" s="9"/>
      <c r="E115" s="14">
        <f t="shared" si="8"/>
        <v>1243.5</v>
      </c>
      <c r="F115" s="12"/>
      <c r="G115" s="14">
        <v>0</v>
      </c>
      <c r="H115" s="12"/>
      <c r="I115" s="12">
        <f t="shared" si="9"/>
        <v>1243.5</v>
      </c>
      <c r="J115" s="12"/>
      <c r="K115" s="12"/>
      <c r="L115" s="12">
        <f t="shared" si="10"/>
        <v>1243.5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AB115" s="19">
        <f t="shared" si="16"/>
        <v>1243.5</v>
      </c>
    </row>
    <row r="116" spans="1:30" ht="15.75" x14ac:dyDescent="0.25">
      <c r="A116" s="8" t="s">
        <v>110</v>
      </c>
      <c r="B116" s="14">
        <v>0</v>
      </c>
      <c r="C116" s="9">
        <v>0</v>
      </c>
      <c r="D116" s="9"/>
      <c r="E116" s="14">
        <f t="shared" si="8"/>
        <v>0</v>
      </c>
      <c r="F116" s="12"/>
      <c r="G116" s="14">
        <v>270.33999999999997</v>
      </c>
      <c r="H116" s="12"/>
      <c r="I116" s="12">
        <f t="shared" si="9"/>
        <v>270.33999999999997</v>
      </c>
      <c r="J116" s="12"/>
      <c r="K116" s="12"/>
      <c r="L116" s="12">
        <f t="shared" si="10"/>
        <v>270.33999999999997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AB116" s="19">
        <f t="shared" si="16"/>
        <v>270.33999999999997</v>
      </c>
    </row>
    <row r="117" spans="1:30" ht="15.75" x14ac:dyDescent="0.25">
      <c r="A117" s="8" t="s">
        <v>111</v>
      </c>
      <c r="B117" s="14">
        <v>14.64</v>
      </c>
      <c r="C117" s="9">
        <v>20.48</v>
      </c>
      <c r="D117" s="9"/>
      <c r="E117" s="14">
        <f t="shared" si="8"/>
        <v>5.84</v>
      </c>
      <c r="F117" s="12"/>
      <c r="G117" s="14">
        <v>0</v>
      </c>
      <c r="H117" s="12"/>
      <c r="I117" s="12">
        <f t="shared" si="9"/>
        <v>5.84</v>
      </c>
      <c r="J117" s="12"/>
      <c r="K117" s="12"/>
      <c r="L117" s="12">
        <f t="shared" si="10"/>
        <v>5.84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AB117" s="19">
        <f t="shared" si="16"/>
        <v>5.84</v>
      </c>
    </row>
    <row r="118" spans="1:30" ht="15.75" x14ac:dyDescent="0.25">
      <c r="A118" s="8" t="s">
        <v>112</v>
      </c>
      <c r="B118" s="14">
        <v>1177.55</v>
      </c>
      <c r="C118" s="9">
        <v>1246.3499999999999</v>
      </c>
      <c r="D118" s="9"/>
      <c r="E118" s="14">
        <f t="shared" si="8"/>
        <v>68.799999999999955</v>
      </c>
      <c r="F118" s="12"/>
      <c r="G118" s="14">
        <v>725.18</v>
      </c>
      <c r="H118" s="12"/>
      <c r="I118" s="12">
        <f t="shared" si="9"/>
        <v>793.9799999999999</v>
      </c>
      <c r="J118" s="12"/>
      <c r="K118" s="12"/>
      <c r="L118" s="12">
        <f t="shared" si="10"/>
        <v>793.9799999999999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AB118" s="19">
        <f t="shared" si="16"/>
        <v>793.9799999999999</v>
      </c>
    </row>
    <row r="119" spans="1:30" ht="15.75" x14ac:dyDescent="0.25">
      <c r="A119" s="8" t="s">
        <v>113</v>
      </c>
      <c r="B119" s="14">
        <v>955.74</v>
      </c>
      <c r="C119" s="9">
        <v>1010</v>
      </c>
      <c r="D119" s="9"/>
      <c r="E119" s="14">
        <f t="shared" si="8"/>
        <v>54.259999999999991</v>
      </c>
      <c r="F119" s="12"/>
      <c r="G119" s="14">
        <v>1335.45</v>
      </c>
      <c r="H119" s="12"/>
      <c r="I119" s="12">
        <f t="shared" si="9"/>
        <v>1389.71</v>
      </c>
      <c r="J119" s="12"/>
      <c r="K119" s="12"/>
      <c r="L119" s="12">
        <f t="shared" si="10"/>
        <v>1389.71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AB119" s="19">
        <f t="shared" si="16"/>
        <v>1389.71</v>
      </c>
    </row>
    <row r="120" spans="1:30" ht="15.75" x14ac:dyDescent="0.25">
      <c r="A120" s="8" t="s">
        <v>114</v>
      </c>
      <c r="B120" s="14">
        <v>24.72</v>
      </c>
      <c r="C120" s="9">
        <v>173.32</v>
      </c>
      <c r="D120" s="9"/>
      <c r="E120" s="14">
        <f t="shared" si="8"/>
        <v>148.6</v>
      </c>
      <c r="F120" s="12"/>
      <c r="G120" s="14">
        <v>1254.71</v>
      </c>
      <c r="H120" s="12"/>
      <c r="I120" s="12">
        <f t="shared" si="9"/>
        <v>1403.31</v>
      </c>
      <c r="J120" s="12"/>
      <c r="K120" s="12"/>
      <c r="L120" s="12">
        <f t="shared" si="10"/>
        <v>1403.31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AB120" s="19">
        <f t="shared" si="16"/>
        <v>1403.31</v>
      </c>
    </row>
    <row r="121" spans="1:30" ht="15.75" x14ac:dyDescent="0.25">
      <c r="A121" s="8" t="s">
        <v>115</v>
      </c>
      <c r="B121" s="14">
        <v>0</v>
      </c>
      <c r="C121" s="9">
        <v>1200.1500000000001</v>
      </c>
      <c r="D121" s="9"/>
      <c r="E121" s="14">
        <f t="shared" si="8"/>
        <v>1200.1500000000001</v>
      </c>
      <c r="F121" s="12"/>
      <c r="G121" s="14">
        <v>0</v>
      </c>
      <c r="H121" s="12"/>
      <c r="I121" s="12">
        <f t="shared" si="9"/>
        <v>1200.1500000000001</v>
      </c>
      <c r="J121" s="12"/>
      <c r="K121" s="12"/>
      <c r="L121" s="12">
        <f t="shared" si="10"/>
        <v>1200.1500000000001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AC121" s="19">
        <f>+L121</f>
        <v>1200.1500000000001</v>
      </c>
    </row>
    <row r="122" spans="1:30" ht="15.75" x14ac:dyDescent="0.25">
      <c r="A122" s="8" t="s">
        <v>116</v>
      </c>
      <c r="B122" s="14">
        <v>3816</v>
      </c>
      <c r="C122" s="9">
        <v>1284.04</v>
      </c>
      <c r="D122" s="9"/>
      <c r="E122" s="14">
        <f t="shared" si="8"/>
        <v>-2531.96</v>
      </c>
      <c r="F122" s="12"/>
      <c r="G122" s="14">
        <v>785.62</v>
      </c>
      <c r="H122" s="12"/>
      <c r="I122" s="12">
        <f t="shared" si="9"/>
        <v>-1746.3400000000001</v>
      </c>
      <c r="J122" s="12"/>
      <c r="K122" s="12"/>
      <c r="L122" s="12">
        <f t="shared" si="10"/>
        <v>-1746.3400000000001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AC122" s="19">
        <f t="shared" ref="AC122:AC123" si="17">+L122</f>
        <v>-1746.3400000000001</v>
      </c>
    </row>
    <row r="123" spans="1:30" ht="15.75" x14ac:dyDescent="0.25">
      <c r="A123" s="8" t="s">
        <v>117</v>
      </c>
      <c r="B123" s="14">
        <v>1564.74</v>
      </c>
      <c r="C123" s="9">
        <v>1564.74</v>
      </c>
      <c r="D123" s="9"/>
      <c r="E123" s="14">
        <f t="shared" si="8"/>
        <v>0</v>
      </c>
      <c r="F123" s="12"/>
      <c r="G123" s="14">
        <v>0</v>
      </c>
      <c r="H123" s="12"/>
      <c r="I123" s="12">
        <f t="shared" si="9"/>
        <v>0</v>
      </c>
      <c r="J123" s="12"/>
      <c r="K123" s="12"/>
      <c r="L123" s="12">
        <f t="shared" si="10"/>
        <v>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AC123" s="19">
        <f t="shared" si="17"/>
        <v>0</v>
      </c>
    </row>
    <row r="124" spans="1:30" ht="15.75" x14ac:dyDescent="0.25">
      <c r="A124" s="8" t="s">
        <v>118</v>
      </c>
      <c r="B124" s="14">
        <v>0</v>
      </c>
      <c r="C124" s="14">
        <f t="shared" ref="C124" si="18">IF(525367.55&lt;&gt;0, (B124/525367.55)*100, 0)</f>
        <v>0</v>
      </c>
      <c r="D124" s="14"/>
      <c r="E124" s="14">
        <f t="shared" si="8"/>
        <v>0</v>
      </c>
      <c r="F124" s="12"/>
      <c r="G124" s="14">
        <v>195.66</v>
      </c>
      <c r="H124" s="12"/>
      <c r="I124" s="12">
        <f t="shared" si="9"/>
        <v>195.66</v>
      </c>
      <c r="J124" s="12"/>
      <c r="K124" s="12"/>
      <c r="L124" s="12">
        <f t="shared" si="10"/>
        <v>195.66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Z124" s="19">
        <f>+L124</f>
        <v>195.66</v>
      </c>
    </row>
    <row r="125" spans="1:30" ht="15.75" x14ac:dyDescent="0.25">
      <c r="A125" s="8" t="s">
        <v>119</v>
      </c>
      <c r="B125" s="14">
        <v>18525.28</v>
      </c>
      <c r="C125" s="9">
        <v>63328.63</v>
      </c>
      <c r="D125" s="9"/>
      <c r="E125" s="14">
        <f t="shared" si="8"/>
        <v>44803.35</v>
      </c>
      <c r="F125" s="12"/>
      <c r="G125" s="14">
        <v>53584.639999999999</v>
      </c>
      <c r="H125" s="12"/>
      <c r="I125" s="12">
        <f t="shared" si="9"/>
        <v>98387.989999999991</v>
      </c>
      <c r="J125" s="12">
        <v>1208.8399999999999</v>
      </c>
      <c r="K125" s="12"/>
      <c r="L125" s="12">
        <f t="shared" si="10"/>
        <v>99596.829999999987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AD125" s="19">
        <f>+L125</f>
        <v>99596.829999999987</v>
      </c>
    </row>
    <row r="126" spans="1:30" ht="15.75" x14ac:dyDescent="0.25">
      <c r="A126" s="8" t="s">
        <v>120</v>
      </c>
      <c r="B126" s="14">
        <v>919697.68</v>
      </c>
      <c r="C126" s="9">
        <v>1800781.61</v>
      </c>
      <c r="D126" s="9"/>
      <c r="E126" s="14">
        <f t="shared" ref="E126:E136" si="19">+C126-B126</f>
        <v>881083.93</v>
      </c>
      <c r="F126" s="12"/>
      <c r="G126" s="14">
        <v>839173.99</v>
      </c>
      <c r="H126" s="12"/>
      <c r="I126" s="12">
        <f t="shared" ref="I126:I136" si="20">+E126+G126</f>
        <v>1720257.92</v>
      </c>
      <c r="J126" s="12">
        <f>6857.44+5284.82+1726.65-3480.89-72055.66</f>
        <v>-61667.640000000007</v>
      </c>
      <c r="K126" s="12">
        <f>-6503.95-8897</f>
        <v>-15400.95</v>
      </c>
      <c r="L126" s="12">
        <f t="shared" ref="L126:L189" si="21">+I126+J126+K126</f>
        <v>1643189.33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AD126" s="19">
        <f t="shared" ref="AD126:AD130" si="22">+L126</f>
        <v>1643189.33</v>
      </c>
    </row>
    <row r="127" spans="1:30" ht="15.75" x14ac:dyDescent="0.25">
      <c r="A127" s="8" t="s">
        <v>121</v>
      </c>
      <c r="B127" s="14">
        <v>1563.11</v>
      </c>
      <c r="C127" s="9">
        <v>1858.79</v>
      </c>
      <c r="D127" s="9"/>
      <c r="E127" s="14">
        <f t="shared" si="19"/>
        <v>295.68000000000006</v>
      </c>
      <c r="F127" s="12"/>
      <c r="G127" s="14">
        <v>192.6</v>
      </c>
      <c r="H127" s="12"/>
      <c r="I127" s="12">
        <f t="shared" si="20"/>
        <v>488.28000000000009</v>
      </c>
      <c r="J127" s="12"/>
      <c r="K127" s="12"/>
      <c r="L127" s="12">
        <f t="shared" si="21"/>
        <v>488.28000000000009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AD127" s="19">
        <f t="shared" si="22"/>
        <v>488.28000000000009</v>
      </c>
    </row>
    <row r="128" spans="1:30" ht="15.75" x14ac:dyDescent="0.25">
      <c r="A128" s="8" t="s">
        <v>122</v>
      </c>
      <c r="B128" s="14">
        <v>0</v>
      </c>
      <c r="C128" s="9">
        <v>67363.67</v>
      </c>
      <c r="D128" s="9"/>
      <c r="E128" s="14">
        <f t="shared" si="19"/>
        <v>67363.67</v>
      </c>
      <c r="F128" s="12"/>
      <c r="G128" s="14">
        <v>0</v>
      </c>
      <c r="H128" s="12"/>
      <c r="I128" s="12">
        <f t="shared" si="20"/>
        <v>67363.67</v>
      </c>
      <c r="J128" s="12"/>
      <c r="K128" s="12"/>
      <c r="L128" s="12">
        <f t="shared" si="21"/>
        <v>67363.67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AD128" s="19">
        <f t="shared" si="22"/>
        <v>67363.67</v>
      </c>
    </row>
    <row r="129" spans="1:35" ht="15.75" x14ac:dyDescent="0.25">
      <c r="A129" s="8" t="s">
        <v>123</v>
      </c>
      <c r="B129" s="14">
        <v>74662.289999999994</v>
      </c>
      <c r="C129" s="9">
        <v>132183.60999999999</v>
      </c>
      <c r="D129" s="9"/>
      <c r="E129" s="14">
        <f t="shared" si="19"/>
        <v>57521.319999999992</v>
      </c>
      <c r="F129" s="12"/>
      <c r="G129" s="14">
        <v>152665.10999999999</v>
      </c>
      <c r="H129" s="12"/>
      <c r="I129" s="12">
        <f t="shared" si="20"/>
        <v>210186.43</v>
      </c>
      <c r="J129" s="12">
        <f>-51936.45+189.13</f>
        <v>-51747.32</v>
      </c>
      <c r="K129" s="12">
        <v>32312.81</v>
      </c>
      <c r="L129" s="12">
        <f t="shared" si="21"/>
        <v>190751.91999999998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AD129" s="19">
        <f t="shared" si="22"/>
        <v>190751.91999999998</v>
      </c>
    </row>
    <row r="130" spans="1:35" ht="15.75" x14ac:dyDescent="0.25">
      <c r="A130" s="8" t="s">
        <v>124</v>
      </c>
      <c r="B130" s="14">
        <v>12343.35</v>
      </c>
      <c r="C130" s="9">
        <v>13613.95</v>
      </c>
      <c r="D130" s="9"/>
      <c r="E130" s="14">
        <f t="shared" si="19"/>
        <v>1270.6000000000004</v>
      </c>
      <c r="F130" s="12"/>
      <c r="G130" s="14">
        <v>26055.29</v>
      </c>
      <c r="H130" s="12"/>
      <c r="I130" s="12">
        <f t="shared" si="20"/>
        <v>27325.89</v>
      </c>
      <c r="J130" s="12"/>
      <c r="K130" s="12"/>
      <c r="L130" s="12">
        <f t="shared" si="21"/>
        <v>27325.89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AD130" s="19">
        <f t="shared" si="22"/>
        <v>27325.89</v>
      </c>
    </row>
    <row r="131" spans="1:35" ht="15.75" x14ac:dyDescent="0.25">
      <c r="A131" s="8" t="s">
        <v>125</v>
      </c>
      <c r="B131" s="14">
        <v>67956.5</v>
      </c>
      <c r="C131" s="9">
        <v>131263.19</v>
      </c>
      <c r="D131" s="9"/>
      <c r="E131" s="14">
        <f t="shared" si="19"/>
        <v>63306.69</v>
      </c>
      <c r="F131" s="12"/>
      <c r="G131" s="14">
        <v>96679.59</v>
      </c>
      <c r="H131" s="12"/>
      <c r="I131" s="12">
        <f t="shared" si="20"/>
        <v>159986.28</v>
      </c>
      <c r="J131" s="12"/>
      <c r="K131" s="12"/>
      <c r="L131" s="12">
        <f t="shared" si="21"/>
        <v>159986.28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AE131" s="19">
        <f>+L131</f>
        <v>159986.28</v>
      </c>
    </row>
    <row r="132" spans="1:35" ht="15.75" x14ac:dyDescent="0.25">
      <c r="A132" s="8" t="s">
        <v>126</v>
      </c>
      <c r="B132" s="14">
        <v>1748.13</v>
      </c>
      <c r="C132" s="9">
        <v>2038.3</v>
      </c>
      <c r="D132" s="9"/>
      <c r="E132" s="14">
        <f t="shared" si="19"/>
        <v>290.16999999999985</v>
      </c>
      <c r="F132" s="12"/>
      <c r="G132" s="14">
        <v>1906.61</v>
      </c>
      <c r="H132" s="12"/>
      <c r="I132" s="12">
        <f t="shared" si="20"/>
        <v>2196.7799999999997</v>
      </c>
      <c r="J132" s="12"/>
      <c r="K132" s="12"/>
      <c r="L132" s="12">
        <f t="shared" si="21"/>
        <v>2196.7799999999997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AE132" s="19">
        <f t="shared" ref="AE132:AE134" si="23">+L132</f>
        <v>2196.7799999999997</v>
      </c>
    </row>
    <row r="133" spans="1:35" ht="15.75" x14ac:dyDescent="0.25">
      <c r="A133" s="8" t="s">
        <v>127</v>
      </c>
      <c r="B133" s="14">
        <v>12231.4</v>
      </c>
      <c r="C133" s="9">
        <v>12693.89</v>
      </c>
      <c r="D133" s="9"/>
      <c r="E133" s="14">
        <f t="shared" si="19"/>
        <v>462.48999999999978</v>
      </c>
      <c r="F133" s="12"/>
      <c r="G133" s="14">
        <v>14859.66</v>
      </c>
      <c r="H133" s="12"/>
      <c r="I133" s="12">
        <f t="shared" si="20"/>
        <v>15322.15</v>
      </c>
      <c r="J133" s="12"/>
      <c r="K133" s="12"/>
      <c r="L133" s="12">
        <f t="shared" si="21"/>
        <v>15322.15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AE133" s="19">
        <f t="shared" si="23"/>
        <v>15322.15</v>
      </c>
    </row>
    <row r="134" spans="1:35" ht="15.75" x14ac:dyDescent="0.25">
      <c r="A134" s="8" t="s">
        <v>128</v>
      </c>
      <c r="B134" s="14">
        <v>4484.41</v>
      </c>
      <c r="C134" s="9">
        <v>7210.51</v>
      </c>
      <c r="D134" s="9"/>
      <c r="E134" s="14">
        <f t="shared" si="19"/>
        <v>2726.1000000000004</v>
      </c>
      <c r="F134" s="12"/>
      <c r="G134" s="14">
        <v>1563.26</v>
      </c>
      <c r="H134" s="12"/>
      <c r="I134" s="12">
        <f t="shared" si="20"/>
        <v>4289.3600000000006</v>
      </c>
      <c r="J134" s="12"/>
      <c r="K134" s="12"/>
      <c r="L134" s="12">
        <f t="shared" si="21"/>
        <v>4289.3600000000006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AE134" s="19">
        <f t="shared" si="23"/>
        <v>4289.3600000000006</v>
      </c>
    </row>
    <row r="135" spans="1:35" ht="15.75" x14ac:dyDescent="0.25">
      <c r="A135" s="8" t="s">
        <v>129</v>
      </c>
      <c r="B135" s="14">
        <v>2290.31</v>
      </c>
      <c r="C135" s="9">
        <v>2594.6999999999998</v>
      </c>
      <c r="D135" s="9"/>
      <c r="E135" s="14">
        <f t="shared" si="19"/>
        <v>304.38999999999987</v>
      </c>
      <c r="F135" s="12"/>
      <c r="G135" s="14">
        <v>1960.6</v>
      </c>
      <c r="H135" s="12"/>
      <c r="I135" s="12">
        <f t="shared" si="20"/>
        <v>2264.9899999999998</v>
      </c>
      <c r="J135" s="12"/>
      <c r="K135" s="12"/>
      <c r="L135" s="12">
        <f t="shared" si="21"/>
        <v>2264.9899999999998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AA135" s="19">
        <f>+I135</f>
        <v>2264.9899999999998</v>
      </c>
    </row>
    <row r="136" spans="1:35" ht="15.75" x14ac:dyDescent="0.25">
      <c r="A136" s="8" t="s">
        <v>130</v>
      </c>
      <c r="B136" s="20">
        <v>4098.3599999999997</v>
      </c>
      <c r="C136" s="21">
        <v>6554.87</v>
      </c>
      <c r="D136" s="21"/>
      <c r="E136" s="20">
        <f t="shared" si="19"/>
        <v>2456.5100000000002</v>
      </c>
      <c r="F136" s="22"/>
      <c r="G136" s="20">
        <v>204.85</v>
      </c>
      <c r="H136" s="22"/>
      <c r="I136" s="22">
        <f t="shared" si="20"/>
        <v>2661.36</v>
      </c>
      <c r="J136" s="22"/>
      <c r="K136" s="22"/>
      <c r="L136" s="12">
        <f t="shared" si="21"/>
        <v>2661.36</v>
      </c>
      <c r="M136" s="2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Z136" s="19">
        <f>+I136</f>
        <v>2661.36</v>
      </c>
      <c r="AA136" s="19"/>
    </row>
    <row r="137" spans="1:35" ht="15.75" x14ac:dyDescent="0.25">
      <c r="A137" s="8" t="s">
        <v>131</v>
      </c>
      <c r="B137" s="14">
        <v>0</v>
      </c>
      <c r="C137" s="14">
        <v>328</v>
      </c>
      <c r="D137" s="14"/>
      <c r="E137" s="14">
        <f t="shared" ref="E137:E192" si="24">+C137-B137</f>
        <v>328</v>
      </c>
      <c r="F137" s="12"/>
      <c r="G137" s="14">
        <v>331</v>
      </c>
      <c r="H137" s="12"/>
      <c r="I137" s="12">
        <f t="shared" ref="I137:I192" si="25">+E137+G137</f>
        <v>659</v>
      </c>
      <c r="J137" s="12"/>
      <c r="K137" s="12"/>
      <c r="L137" s="12">
        <f t="shared" si="21"/>
        <v>659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AF137" s="19">
        <f>+L137</f>
        <v>659</v>
      </c>
    </row>
    <row r="138" spans="1:35" ht="15.75" x14ac:dyDescent="0.25">
      <c r="A138" s="8" t="s">
        <v>132</v>
      </c>
      <c r="B138" s="14">
        <v>0</v>
      </c>
      <c r="C138" s="14"/>
      <c r="D138" s="14"/>
      <c r="E138" s="14">
        <f t="shared" si="24"/>
        <v>0</v>
      </c>
      <c r="F138" s="12"/>
      <c r="G138" s="14">
        <v>707.51</v>
      </c>
      <c r="H138" s="12"/>
      <c r="I138" s="12">
        <f t="shared" si="25"/>
        <v>707.51</v>
      </c>
      <c r="J138" s="12"/>
      <c r="K138" s="12"/>
      <c r="L138" s="12">
        <f t="shared" si="21"/>
        <v>707.51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AF138" s="19">
        <f t="shared" ref="AF138:AF140" si="26">+L138</f>
        <v>707.51</v>
      </c>
    </row>
    <row r="139" spans="1:35" ht="15.75" x14ac:dyDescent="0.25">
      <c r="A139" s="8" t="s">
        <v>133</v>
      </c>
      <c r="B139" s="14">
        <v>0</v>
      </c>
      <c r="C139" s="14"/>
      <c r="D139" s="14"/>
      <c r="E139" s="14">
        <f t="shared" si="24"/>
        <v>0</v>
      </c>
      <c r="F139" s="12"/>
      <c r="G139" s="14">
        <v>5952.5</v>
      </c>
      <c r="H139" s="12"/>
      <c r="I139" s="12">
        <f t="shared" si="25"/>
        <v>5952.5</v>
      </c>
      <c r="J139" s="12"/>
      <c r="K139" s="12"/>
      <c r="L139" s="12">
        <f t="shared" si="21"/>
        <v>5952.5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AF139" s="19">
        <f t="shared" si="26"/>
        <v>5952.5</v>
      </c>
    </row>
    <row r="140" spans="1:35" ht="15.75" x14ac:dyDescent="0.25">
      <c r="A140" s="8" t="s">
        <v>134</v>
      </c>
      <c r="B140" s="14">
        <v>2144.9499999999998</v>
      </c>
      <c r="C140" s="9">
        <v>2144.9499999999998</v>
      </c>
      <c r="D140" s="9"/>
      <c r="E140" s="14">
        <f t="shared" si="24"/>
        <v>0</v>
      </c>
      <c r="F140" s="12"/>
      <c r="G140" s="14">
        <v>0</v>
      </c>
      <c r="H140" s="12"/>
      <c r="I140" s="12">
        <f t="shared" si="25"/>
        <v>0</v>
      </c>
      <c r="J140" s="12"/>
      <c r="K140" s="12"/>
      <c r="L140" s="12">
        <f t="shared" si="21"/>
        <v>0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AF140" s="19">
        <f t="shared" si="26"/>
        <v>0</v>
      </c>
    </row>
    <row r="141" spans="1:35" ht="15.75" x14ac:dyDescent="0.25">
      <c r="A141" s="8" t="s">
        <v>135</v>
      </c>
      <c r="B141" s="14">
        <v>78597.119999999995</v>
      </c>
      <c r="C141" s="9">
        <v>141835.20000000001</v>
      </c>
      <c r="D141" s="9"/>
      <c r="E141" s="14">
        <f t="shared" si="24"/>
        <v>63238.080000000016</v>
      </c>
      <c r="F141" s="12"/>
      <c r="G141" s="14">
        <v>78597.119999999995</v>
      </c>
      <c r="H141" s="12"/>
      <c r="I141" s="12">
        <f t="shared" si="25"/>
        <v>141835.20000000001</v>
      </c>
      <c r="J141" s="12"/>
      <c r="K141" s="12"/>
      <c r="L141" s="12">
        <f t="shared" si="21"/>
        <v>141835.20000000001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AG141" s="19">
        <f>+L141</f>
        <v>141835.20000000001</v>
      </c>
    </row>
    <row r="142" spans="1:35" ht="15.75" x14ac:dyDescent="0.25">
      <c r="A142" s="8" t="s">
        <v>136</v>
      </c>
      <c r="B142" s="14">
        <v>205665.86</v>
      </c>
      <c r="C142" s="9">
        <v>366446.97</v>
      </c>
      <c r="D142" s="9"/>
      <c r="E142" s="14">
        <f t="shared" si="24"/>
        <v>160781.10999999999</v>
      </c>
      <c r="F142" s="12"/>
      <c r="G142" s="14">
        <v>96705</v>
      </c>
      <c r="H142" s="12"/>
      <c r="I142" s="12">
        <f t="shared" si="25"/>
        <v>257486.11</v>
      </c>
      <c r="J142" s="12"/>
      <c r="K142" s="12"/>
      <c r="L142" s="12">
        <f t="shared" si="21"/>
        <v>257486.11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AH142" s="19">
        <f>+L142</f>
        <v>257486.11</v>
      </c>
    </row>
    <row r="143" spans="1:35" ht="15.75" x14ac:dyDescent="0.25">
      <c r="A143" s="8" t="s">
        <v>137</v>
      </c>
      <c r="B143" s="14">
        <v>27988.49</v>
      </c>
      <c r="C143" s="9">
        <v>60338.85</v>
      </c>
      <c r="D143" s="9"/>
      <c r="E143" s="14">
        <f t="shared" si="24"/>
        <v>32350.359999999997</v>
      </c>
      <c r="F143" s="12"/>
      <c r="G143" s="14">
        <v>29022.78</v>
      </c>
      <c r="H143" s="12"/>
      <c r="I143" s="12">
        <f t="shared" si="25"/>
        <v>61373.14</v>
      </c>
      <c r="J143" s="12"/>
      <c r="K143" s="12"/>
      <c r="L143" s="12">
        <f t="shared" si="21"/>
        <v>61373.14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AI143" s="19">
        <f>+L143</f>
        <v>61373.14</v>
      </c>
    </row>
    <row r="144" spans="1:35" ht="15.75" x14ac:dyDescent="0.25">
      <c r="A144" s="8" t="s">
        <v>138</v>
      </c>
      <c r="B144" s="14">
        <v>253.93</v>
      </c>
      <c r="C144" s="9">
        <v>313.89999999999998</v>
      </c>
      <c r="D144" s="9"/>
      <c r="E144" s="14">
        <f t="shared" si="24"/>
        <v>59.96999999999997</v>
      </c>
      <c r="F144" s="12"/>
      <c r="G144" s="14">
        <v>89.91</v>
      </c>
      <c r="H144" s="12"/>
      <c r="I144" s="12">
        <f t="shared" si="25"/>
        <v>149.87999999999997</v>
      </c>
      <c r="J144" s="12"/>
      <c r="K144" s="12"/>
      <c r="L144" s="12">
        <f t="shared" si="21"/>
        <v>149.87999999999997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AI144" s="19">
        <f>+L144</f>
        <v>149.87999999999997</v>
      </c>
    </row>
    <row r="145" spans="1:45" ht="15.75" x14ac:dyDescent="0.25">
      <c r="A145" s="8" t="s">
        <v>139</v>
      </c>
      <c r="B145" s="14">
        <v>19657.45</v>
      </c>
      <c r="C145" s="9">
        <v>37673.31</v>
      </c>
      <c r="D145" s="9"/>
      <c r="E145" s="14">
        <f t="shared" si="24"/>
        <v>18015.859999999997</v>
      </c>
      <c r="F145" s="12"/>
      <c r="G145" s="14">
        <v>14329.54</v>
      </c>
      <c r="H145" s="12"/>
      <c r="I145" s="12">
        <f t="shared" si="25"/>
        <v>32345.399999999998</v>
      </c>
      <c r="J145" s="12"/>
      <c r="K145" s="12"/>
      <c r="L145" s="12">
        <f t="shared" si="21"/>
        <v>32345.399999999998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AJ145" s="19">
        <f>+L145</f>
        <v>32345.399999999998</v>
      </c>
    </row>
    <row r="146" spans="1:45" ht="15.75" x14ac:dyDescent="0.25">
      <c r="A146" s="8" t="s">
        <v>140</v>
      </c>
      <c r="B146" s="14">
        <v>10734.72</v>
      </c>
      <c r="C146" s="9">
        <v>26836.799999999999</v>
      </c>
      <c r="D146" s="9"/>
      <c r="E146" s="14">
        <f t="shared" si="24"/>
        <v>16102.08</v>
      </c>
      <c r="F146" s="12"/>
      <c r="G146" s="14">
        <v>0</v>
      </c>
      <c r="H146" s="12"/>
      <c r="I146" s="12">
        <f t="shared" si="25"/>
        <v>16102.08</v>
      </c>
      <c r="J146" s="12"/>
      <c r="K146" s="12"/>
      <c r="L146" s="12">
        <f t="shared" si="21"/>
        <v>16102.08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AL146" s="19">
        <f>+L146</f>
        <v>16102.08</v>
      </c>
    </row>
    <row r="147" spans="1:45" ht="15.75" x14ac:dyDescent="0.25">
      <c r="A147" s="8" t="s">
        <v>141</v>
      </c>
      <c r="B147" s="14">
        <v>10018.74</v>
      </c>
      <c r="C147" s="9">
        <v>51959.47</v>
      </c>
      <c r="D147" s="9"/>
      <c r="E147" s="14">
        <f t="shared" si="24"/>
        <v>41940.730000000003</v>
      </c>
      <c r="F147" s="12"/>
      <c r="G147" s="14">
        <v>55550.82</v>
      </c>
      <c r="H147" s="12"/>
      <c r="I147" s="12">
        <f t="shared" si="25"/>
        <v>97491.55</v>
      </c>
      <c r="J147" s="12"/>
      <c r="K147" s="12"/>
      <c r="L147" s="12">
        <f t="shared" si="21"/>
        <v>97491.55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AL147" s="19">
        <f>+L147</f>
        <v>97491.55</v>
      </c>
    </row>
    <row r="148" spans="1:45" ht="15.75" x14ac:dyDescent="0.25">
      <c r="A148" s="8" t="s">
        <v>142</v>
      </c>
      <c r="B148" s="14">
        <v>35569.99</v>
      </c>
      <c r="C148" s="9">
        <v>161153.47</v>
      </c>
      <c r="D148" s="9"/>
      <c r="E148" s="14">
        <f t="shared" si="24"/>
        <v>125583.48000000001</v>
      </c>
      <c r="F148" s="12"/>
      <c r="G148" s="14">
        <v>143556.75</v>
      </c>
      <c r="H148" s="12"/>
      <c r="I148" s="12">
        <f t="shared" si="25"/>
        <v>269140.23</v>
      </c>
      <c r="J148" s="12"/>
      <c r="K148" s="12"/>
      <c r="L148" s="12">
        <f t="shared" si="21"/>
        <v>269140.23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AK148" s="19">
        <f>+L148</f>
        <v>269140.23</v>
      </c>
    </row>
    <row r="149" spans="1:45" ht="15.75" x14ac:dyDescent="0.25">
      <c r="A149" s="8" t="s">
        <v>143</v>
      </c>
      <c r="B149" s="14">
        <v>15322.39</v>
      </c>
      <c r="C149" s="9">
        <v>39622.18</v>
      </c>
      <c r="D149" s="9"/>
      <c r="E149" s="14">
        <f t="shared" si="24"/>
        <v>24299.79</v>
      </c>
      <c r="F149" s="12"/>
      <c r="G149" s="14">
        <v>19541.34</v>
      </c>
      <c r="H149" s="12"/>
      <c r="I149" s="12">
        <f t="shared" si="25"/>
        <v>43841.130000000005</v>
      </c>
      <c r="J149" s="12"/>
      <c r="K149" s="12"/>
      <c r="L149" s="12">
        <f t="shared" si="21"/>
        <v>43841.130000000005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AM149" s="19">
        <f>+L149</f>
        <v>43841.130000000005</v>
      </c>
    </row>
    <row r="150" spans="1:45" ht="15.75" x14ac:dyDescent="0.25">
      <c r="A150" s="8" t="s">
        <v>144</v>
      </c>
      <c r="B150" s="14">
        <v>8994.4599999999991</v>
      </c>
      <c r="C150" s="9">
        <v>16581.740000000002</v>
      </c>
      <c r="D150" s="9"/>
      <c r="E150" s="14">
        <f t="shared" si="24"/>
        <v>7587.2800000000025</v>
      </c>
      <c r="F150" s="12"/>
      <c r="G150" s="14">
        <v>1675.23</v>
      </c>
      <c r="H150" s="12"/>
      <c r="I150" s="12">
        <f t="shared" si="25"/>
        <v>9262.510000000002</v>
      </c>
      <c r="J150" s="12"/>
      <c r="K150" s="12"/>
      <c r="L150" s="12">
        <f t="shared" si="21"/>
        <v>9262.510000000002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AN150" s="19">
        <f>+L150</f>
        <v>9262.510000000002</v>
      </c>
    </row>
    <row r="151" spans="1:45" ht="15.75" x14ac:dyDescent="0.25">
      <c r="A151" s="8" t="s">
        <v>145</v>
      </c>
      <c r="B151" s="14">
        <v>482.34</v>
      </c>
      <c r="C151" s="9">
        <v>2728.94</v>
      </c>
      <c r="D151" s="9"/>
      <c r="E151" s="14">
        <f t="shared" si="24"/>
        <v>2246.6</v>
      </c>
      <c r="F151" s="12"/>
      <c r="G151" s="14">
        <v>163.85</v>
      </c>
      <c r="H151" s="12"/>
      <c r="I151" s="12">
        <f t="shared" si="25"/>
        <v>2410.4499999999998</v>
      </c>
      <c r="J151" s="12"/>
      <c r="K151" s="12"/>
      <c r="L151" s="12">
        <f t="shared" si="21"/>
        <v>2410.4499999999998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AO151" s="19">
        <f>+L151</f>
        <v>2410.4499999999998</v>
      </c>
    </row>
    <row r="152" spans="1:45" ht="15.75" x14ac:dyDescent="0.25">
      <c r="A152" s="8" t="s">
        <v>750</v>
      </c>
      <c r="B152" s="14">
        <v>1435</v>
      </c>
      <c r="C152" s="9">
        <v>1435</v>
      </c>
      <c r="D152" s="9"/>
      <c r="E152" s="14">
        <f t="shared" si="24"/>
        <v>0</v>
      </c>
      <c r="F152" s="12"/>
      <c r="G152" s="14">
        <v>0</v>
      </c>
      <c r="H152" s="12"/>
      <c r="I152" s="12">
        <f t="shared" si="25"/>
        <v>0</v>
      </c>
      <c r="J152" s="12"/>
      <c r="K152" s="12"/>
      <c r="L152" s="12">
        <f t="shared" si="21"/>
        <v>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45" ht="15.75" x14ac:dyDescent="0.25">
      <c r="A153" s="8" t="s">
        <v>146</v>
      </c>
      <c r="B153" s="14">
        <v>1970.5</v>
      </c>
      <c r="C153" s="9">
        <v>263.61</v>
      </c>
      <c r="D153" s="9"/>
      <c r="E153" s="14">
        <f t="shared" si="24"/>
        <v>-1706.8899999999999</v>
      </c>
      <c r="F153" s="12"/>
      <c r="G153" s="14">
        <v>3728.52</v>
      </c>
      <c r="H153" s="12"/>
      <c r="I153" s="12">
        <f t="shared" si="25"/>
        <v>2021.63</v>
      </c>
      <c r="J153" s="12"/>
      <c r="K153" s="12"/>
      <c r="L153" s="12">
        <f t="shared" si="21"/>
        <v>2021.63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AP153" s="19">
        <f>+L153</f>
        <v>2021.63</v>
      </c>
    </row>
    <row r="154" spans="1:45" ht="15.75" x14ac:dyDescent="0.25">
      <c r="A154" s="8" t="s">
        <v>147</v>
      </c>
      <c r="B154" s="14">
        <v>50342.879999999997</v>
      </c>
      <c r="C154" s="9">
        <v>324443.83</v>
      </c>
      <c r="D154" s="9"/>
      <c r="E154" s="14">
        <f t="shared" si="24"/>
        <v>274100.95</v>
      </c>
      <c r="F154" s="12"/>
      <c r="G154" s="14">
        <v>160000.88</v>
      </c>
      <c r="H154" s="12"/>
      <c r="I154" s="12">
        <f t="shared" si="25"/>
        <v>434101.83</v>
      </c>
      <c r="J154" s="12"/>
      <c r="K154" s="12"/>
      <c r="L154" s="12">
        <f t="shared" si="21"/>
        <v>434101.83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AQ154" s="19">
        <f>+L154</f>
        <v>434101.83</v>
      </c>
    </row>
    <row r="155" spans="1:45" ht="15.75" x14ac:dyDescent="0.25">
      <c r="A155" s="8" t="s">
        <v>148</v>
      </c>
      <c r="B155" s="14">
        <v>2903.43</v>
      </c>
      <c r="C155" s="9">
        <v>3553.43</v>
      </c>
      <c r="D155" s="9"/>
      <c r="E155" s="14">
        <f t="shared" si="24"/>
        <v>650</v>
      </c>
      <c r="F155" s="12"/>
      <c r="G155" s="14">
        <v>2276</v>
      </c>
      <c r="H155" s="12"/>
      <c r="I155" s="12">
        <f t="shared" si="25"/>
        <v>2926</v>
      </c>
      <c r="J155" s="12"/>
      <c r="K155" s="12"/>
      <c r="L155" s="12">
        <f t="shared" si="21"/>
        <v>2926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AI155" s="19">
        <f>+L155</f>
        <v>2926</v>
      </c>
    </row>
    <row r="156" spans="1:45" ht="15.75" x14ac:dyDescent="0.25">
      <c r="A156" s="8" t="s">
        <v>149</v>
      </c>
      <c r="B156" s="14">
        <v>1980.3</v>
      </c>
      <c r="C156" s="9">
        <v>5088</v>
      </c>
      <c r="D156" s="9"/>
      <c r="E156" s="14">
        <f t="shared" si="24"/>
        <v>3107.7</v>
      </c>
      <c r="F156" s="12"/>
      <c r="G156" s="14">
        <v>21096.68</v>
      </c>
      <c r="H156" s="12"/>
      <c r="I156" s="12">
        <f t="shared" si="25"/>
        <v>24204.38</v>
      </c>
      <c r="J156" s="12"/>
      <c r="K156" s="12"/>
      <c r="L156" s="12">
        <f t="shared" si="21"/>
        <v>24204.38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AR156" s="19">
        <f>+L156</f>
        <v>24204.38</v>
      </c>
    </row>
    <row r="157" spans="1:45" ht="15.75" x14ac:dyDescent="0.25">
      <c r="A157" s="8" t="s">
        <v>150</v>
      </c>
      <c r="B157" s="14">
        <v>17775.46</v>
      </c>
      <c r="C157" s="9">
        <v>23977.279999999999</v>
      </c>
      <c r="D157" s="9"/>
      <c r="E157" s="14">
        <f t="shared" si="24"/>
        <v>6201.82</v>
      </c>
      <c r="F157" s="12"/>
      <c r="G157" s="14">
        <v>10567.46</v>
      </c>
      <c r="H157" s="12"/>
      <c r="I157" s="12">
        <f t="shared" si="25"/>
        <v>16769.28</v>
      </c>
      <c r="J157" s="12"/>
      <c r="K157" s="12"/>
      <c r="L157" s="12">
        <f t="shared" si="21"/>
        <v>16769.28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AI157" s="19">
        <f>+L157</f>
        <v>16769.28</v>
      </c>
    </row>
    <row r="158" spans="1:45" ht="15.75" x14ac:dyDescent="0.25">
      <c r="A158" s="8" t="s">
        <v>151</v>
      </c>
      <c r="B158" s="14">
        <v>31483.34</v>
      </c>
      <c r="C158" s="9">
        <v>60762.42</v>
      </c>
      <c r="D158" s="9"/>
      <c r="E158" s="14">
        <f t="shared" si="24"/>
        <v>29279.079999999998</v>
      </c>
      <c r="F158" s="12"/>
      <c r="G158" s="14">
        <v>26315.41</v>
      </c>
      <c r="H158" s="12"/>
      <c r="I158" s="12">
        <f t="shared" si="25"/>
        <v>55594.49</v>
      </c>
      <c r="J158" s="12"/>
      <c r="K158" s="12"/>
      <c r="L158" s="12">
        <f t="shared" si="21"/>
        <v>55594.49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AS158" s="19">
        <f>+L158</f>
        <v>55594.49</v>
      </c>
    </row>
    <row r="159" spans="1:45" ht="15.75" x14ac:dyDescent="0.25">
      <c r="A159" s="8" t="s">
        <v>152</v>
      </c>
      <c r="B159" s="14">
        <v>46.92</v>
      </c>
      <c r="C159" s="9">
        <v>5765.91</v>
      </c>
      <c r="D159" s="9"/>
      <c r="E159" s="14">
        <f t="shared" si="24"/>
        <v>5718.99</v>
      </c>
      <c r="F159" s="12"/>
      <c r="G159" s="14">
        <v>4015.44</v>
      </c>
      <c r="H159" s="12"/>
      <c r="I159" s="12">
        <f t="shared" si="25"/>
        <v>9734.43</v>
      </c>
      <c r="J159" s="12"/>
      <c r="K159" s="12"/>
      <c r="L159" s="12">
        <f t="shared" si="21"/>
        <v>9734.43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AS159" s="19">
        <f>+L159</f>
        <v>9734.43</v>
      </c>
    </row>
    <row r="160" spans="1:45" ht="15.75" x14ac:dyDescent="0.25">
      <c r="A160" s="8" t="s">
        <v>153</v>
      </c>
      <c r="B160" s="14">
        <v>330</v>
      </c>
      <c r="C160" s="9">
        <v>858.17</v>
      </c>
      <c r="D160" s="9"/>
      <c r="E160" s="14">
        <f t="shared" si="24"/>
        <v>528.16999999999996</v>
      </c>
      <c r="F160" s="12"/>
      <c r="G160" s="14">
        <v>0</v>
      </c>
      <c r="H160" s="12"/>
      <c r="I160" s="12">
        <f t="shared" si="25"/>
        <v>528.16999999999996</v>
      </c>
      <c r="J160" s="12"/>
      <c r="K160" s="12"/>
      <c r="L160" s="12">
        <f t="shared" si="21"/>
        <v>528.16999999999996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AA160" s="19">
        <f>+I160</f>
        <v>528.16999999999996</v>
      </c>
    </row>
    <row r="161" spans="1:52" ht="15.75" x14ac:dyDescent="0.25">
      <c r="A161" s="8" t="s">
        <v>154</v>
      </c>
      <c r="B161" s="14">
        <v>16091.04</v>
      </c>
      <c r="C161" s="9">
        <v>36576.97</v>
      </c>
      <c r="D161" s="9"/>
      <c r="E161" s="14">
        <f t="shared" si="24"/>
        <v>20485.93</v>
      </c>
      <c r="F161" s="12"/>
      <c r="G161" s="14">
        <v>25315.71</v>
      </c>
      <c r="H161" s="12"/>
      <c r="I161" s="12">
        <f t="shared" si="25"/>
        <v>45801.64</v>
      </c>
      <c r="J161" s="12"/>
      <c r="K161" s="12"/>
      <c r="L161" s="12">
        <f t="shared" si="21"/>
        <v>45801.64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AT161" s="19">
        <f>+L161</f>
        <v>45801.64</v>
      </c>
    </row>
    <row r="162" spans="1:52" ht="15.75" x14ac:dyDescent="0.25">
      <c r="A162" s="8" t="s">
        <v>155</v>
      </c>
      <c r="B162" s="14">
        <v>94627.18</v>
      </c>
      <c r="C162" s="9">
        <v>144757.87</v>
      </c>
      <c r="D162" s="9"/>
      <c r="E162" s="14">
        <f t="shared" si="24"/>
        <v>50130.69</v>
      </c>
      <c r="F162" s="12"/>
      <c r="G162" s="14">
        <v>96976.84</v>
      </c>
      <c r="H162" s="12"/>
      <c r="I162" s="12">
        <f t="shared" si="25"/>
        <v>147107.53</v>
      </c>
      <c r="J162" s="12"/>
      <c r="K162" s="12"/>
      <c r="L162" s="12">
        <f t="shared" si="21"/>
        <v>147107.53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AU162" s="19">
        <f>+L162</f>
        <v>147107.53</v>
      </c>
    </row>
    <row r="163" spans="1:52" ht="15.75" x14ac:dyDescent="0.25">
      <c r="A163" s="8" t="s">
        <v>156</v>
      </c>
      <c r="B163" s="14">
        <v>0</v>
      </c>
      <c r="C163" s="9">
        <v>23865.56</v>
      </c>
      <c r="D163" s="9"/>
      <c r="E163" s="14">
        <f t="shared" si="24"/>
        <v>23865.56</v>
      </c>
      <c r="F163" s="12"/>
      <c r="G163" s="14">
        <v>5370.1</v>
      </c>
      <c r="H163" s="12"/>
      <c r="I163" s="12">
        <f t="shared" si="25"/>
        <v>29235.660000000003</v>
      </c>
      <c r="J163" s="12"/>
      <c r="K163" s="12"/>
      <c r="L163" s="12">
        <f t="shared" si="21"/>
        <v>29235.660000000003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AU163" s="19">
        <f>+L163</f>
        <v>29235.660000000003</v>
      </c>
    </row>
    <row r="164" spans="1:52" ht="15.75" x14ac:dyDescent="0.25">
      <c r="A164" s="8" t="s">
        <v>157</v>
      </c>
      <c r="B164" s="14">
        <v>105354.57</v>
      </c>
      <c r="C164" s="9">
        <v>193083.13</v>
      </c>
      <c r="D164" s="9"/>
      <c r="E164" s="14">
        <f t="shared" si="24"/>
        <v>87728.56</v>
      </c>
      <c r="F164" s="12"/>
      <c r="G164" s="14">
        <v>58891.66</v>
      </c>
      <c r="H164" s="12"/>
      <c r="I164" s="12">
        <f t="shared" si="25"/>
        <v>146620.22</v>
      </c>
      <c r="J164" s="12"/>
      <c r="K164" s="12"/>
      <c r="L164" s="12">
        <f t="shared" si="21"/>
        <v>146620.22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AI164" s="19">
        <f>+I164</f>
        <v>146620.22</v>
      </c>
    </row>
    <row r="165" spans="1:52" ht="15.75" x14ac:dyDescent="0.25">
      <c r="A165" s="8" t="s">
        <v>158</v>
      </c>
      <c r="B165" s="14">
        <v>2079.3000000000002</v>
      </c>
      <c r="C165" s="9">
        <v>3133.3</v>
      </c>
      <c r="D165" s="9"/>
      <c r="E165" s="14">
        <f t="shared" si="24"/>
        <v>1054</v>
      </c>
      <c r="F165" s="12"/>
      <c r="G165" s="14">
        <v>0</v>
      </c>
      <c r="H165" s="12"/>
      <c r="I165" s="12">
        <f t="shared" si="25"/>
        <v>1054</v>
      </c>
      <c r="J165" s="12"/>
      <c r="K165" s="12"/>
      <c r="L165" s="12">
        <f t="shared" si="21"/>
        <v>1054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AU165" s="19">
        <f>+L165</f>
        <v>1054</v>
      </c>
    </row>
    <row r="166" spans="1:52" ht="15.75" x14ac:dyDescent="0.25">
      <c r="A166" s="8" t="s">
        <v>159</v>
      </c>
      <c r="B166" s="14">
        <v>26918.63</v>
      </c>
      <c r="C166" s="9">
        <v>34026.129999999997</v>
      </c>
      <c r="D166" s="9"/>
      <c r="E166" s="14">
        <f t="shared" si="24"/>
        <v>7107.4999999999964</v>
      </c>
      <c r="F166" s="12"/>
      <c r="G166" s="14">
        <v>4106.34</v>
      </c>
      <c r="H166" s="12"/>
      <c r="I166" s="12">
        <f t="shared" si="25"/>
        <v>11213.839999999997</v>
      </c>
      <c r="J166" s="12"/>
      <c r="K166" s="12"/>
      <c r="L166" s="12">
        <f t="shared" si="21"/>
        <v>11213.839999999997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AV166" s="19">
        <f>+L166</f>
        <v>11213.839999999997</v>
      </c>
    </row>
    <row r="167" spans="1:52" ht="15.75" x14ac:dyDescent="0.25">
      <c r="A167" s="8" t="s">
        <v>160</v>
      </c>
      <c r="B167" s="14">
        <v>26</v>
      </c>
      <c r="C167" s="9">
        <v>-146.44</v>
      </c>
      <c r="D167" s="9"/>
      <c r="E167" s="14">
        <f t="shared" si="24"/>
        <v>-172.44</v>
      </c>
      <c r="F167" s="12"/>
      <c r="G167" s="14">
        <v>97.17</v>
      </c>
      <c r="H167" s="12"/>
      <c r="I167" s="12">
        <f t="shared" si="25"/>
        <v>-75.27</v>
      </c>
      <c r="J167" s="12"/>
      <c r="K167" s="12"/>
      <c r="L167" s="12">
        <f t="shared" si="21"/>
        <v>-75.27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AP167" s="19">
        <f>+I167</f>
        <v>-75.27</v>
      </c>
    </row>
    <row r="168" spans="1:52" ht="15.75" x14ac:dyDescent="0.25">
      <c r="A168" s="8" t="s">
        <v>161</v>
      </c>
      <c r="B168" s="14">
        <v>68723.03</v>
      </c>
      <c r="C168" s="9">
        <v>141867.1</v>
      </c>
      <c r="D168" s="9"/>
      <c r="E168" s="14">
        <f t="shared" si="24"/>
        <v>73144.070000000007</v>
      </c>
      <c r="F168" s="12"/>
      <c r="G168" s="14">
        <v>51641.37</v>
      </c>
      <c r="H168" s="12"/>
      <c r="I168" s="12">
        <f t="shared" si="25"/>
        <v>124785.44</v>
      </c>
      <c r="J168" s="12"/>
      <c r="K168" s="12"/>
      <c r="L168" s="12">
        <f t="shared" si="21"/>
        <v>124785.44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AO168" s="19">
        <f>+I168</f>
        <v>124785.44</v>
      </c>
    </row>
    <row r="169" spans="1:52" ht="15.75" x14ac:dyDescent="0.25">
      <c r="A169" s="8" t="s">
        <v>162</v>
      </c>
      <c r="B169" s="14">
        <v>4840.13</v>
      </c>
      <c r="C169" s="9">
        <v>8366.66</v>
      </c>
      <c r="D169" s="9"/>
      <c r="E169" s="14">
        <f t="shared" si="24"/>
        <v>3526.5299999999997</v>
      </c>
      <c r="F169" s="12"/>
      <c r="G169" s="14">
        <v>5543.67</v>
      </c>
      <c r="H169" s="12"/>
      <c r="I169" s="12">
        <f t="shared" si="25"/>
        <v>9070.2000000000007</v>
      </c>
      <c r="J169" s="12"/>
      <c r="K169" s="12"/>
      <c r="L169" s="12">
        <f t="shared" si="21"/>
        <v>9070.2000000000007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AO169" s="19">
        <f>+L169</f>
        <v>9070.2000000000007</v>
      </c>
    </row>
    <row r="170" spans="1:52" ht="15.75" x14ac:dyDescent="0.25">
      <c r="A170" s="8" t="s">
        <v>163</v>
      </c>
      <c r="B170" s="14">
        <v>17116.21</v>
      </c>
      <c r="C170" s="9">
        <v>18632.990000000002</v>
      </c>
      <c r="D170" s="9"/>
      <c r="E170" s="14">
        <f t="shared" si="24"/>
        <v>1516.7800000000025</v>
      </c>
      <c r="F170" s="12"/>
      <c r="G170" s="14">
        <v>834.12</v>
      </c>
      <c r="H170" s="12"/>
      <c r="I170" s="12">
        <f t="shared" si="25"/>
        <v>2350.9000000000024</v>
      </c>
      <c r="J170" s="12"/>
      <c r="K170" s="12"/>
      <c r="L170" s="12">
        <f t="shared" si="21"/>
        <v>2350.9000000000024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AK170" s="19"/>
      <c r="AZ170" s="19">
        <f>+L170</f>
        <v>2350.9000000000024</v>
      </c>
    </row>
    <row r="171" spans="1:52" ht="15.75" x14ac:dyDescent="0.25">
      <c r="A171" s="8" t="s">
        <v>164</v>
      </c>
      <c r="B171" s="14">
        <v>43437.79</v>
      </c>
      <c r="C171" s="9">
        <v>111617.51</v>
      </c>
      <c r="D171" s="9"/>
      <c r="E171" s="14">
        <f t="shared" si="24"/>
        <v>68179.72</v>
      </c>
      <c r="F171" s="12"/>
      <c r="G171" s="14">
        <v>52716.480000000003</v>
      </c>
      <c r="H171" s="12"/>
      <c r="I171" s="12">
        <f t="shared" si="25"/>
        <v>120896.20000000001</v>
      </c>
      <c r="J171" s="12"/>
      <c r="K171" s="12"/>
      <c r="L171" s="12">
        <f t="shared" si="21"/>
        <v>120896.20000000001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AW171" s="19">
        <f>+L171</f>
        <v>120896.20000000001</v>
      </c>
    </row>
    <row r="172" spans="1:52" ht="15.75" x14ac:dyDescent="0.25">
      <c r="A172" s="8" t="s">
        <v>165</v>
      </c>
      <c r="B172" s="14">
        <v>112.13</v>
      </c>
      <c r="C172" s="9">
        <v>205.25</v>
      </c>
      <c r="D172" s="9"/>
      <c r="E172" s="14">
        <f t="shared" si="24"/>
        <v>93.12</v>
      </c>
      <c r="F172" s="12"/>
      <c r="G172" s="14">
        <v>1138.58</v>
      </c>
      <c r="H172" s="12"/>
      <c r="I172" s="12">
        <f t="shared" si="25"/>
        <v>1231.6999999999998</v>
      </c>
      <c r="J172" s="12"/>
      <c r="K172" s="12"/>
      <c r="L172" s="12">
        <f t="shared" si="21"/>
        <v>1231.6999999999998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AX172" s="19">
        <f>+L172</f>
        <v>1231.6999999999998</v>
      </c>
    </row>
    <row r="173" spans="1:52" ht="15.75" x14ac:dyDescent="0.25">
      <c r="A173" s="8" t="s">
        <v>166</v>
      </c>
      <c r="B173" s="14">
        <v>20273.28</v>
      </c>
      <c r="C173" s="9">
        <v>40230.86</v>
      </c>
      <c r="D173" s="9"/>
      <c r="E173" s="14">
        <f t="shared" si="24"/>
        <v>19957.580000000002</v>
      </c>
      <c r="F173" s="12"/>
      <c r="G173" s="14">
        <v>14163.51</v>
      </c>
      <c r="H173" s="12"/>
      <c r="I173" s="12">
        <f t="shared" si="25"/>
        <v>34121.090000000004</v>
      </c>
      <c r="J173" s="12"/>
      <c r="K173" s="12"/>
      <c r="L173" s="12">
        <f t="shared" si="21"/>
        <v>34121.090000000004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AX173" s="19">
        <f t="shared" ref="AX173:AX180" si="27">+L173</f>
        <v>34121.090000000004</v>
      </c>
    </row>
    <row r="174" spans="1:52" ht="15.75" x14ac:dyDescent="0.25">
      <c r="A174" s="8" t="s">
        <v>167</v>
      </c>
      <c r="B174" s="14">
        <v>1413.7</v>
      </c>
      <c r="C174" s="9">
        <v>5764.32</v>
      </c>
      <c r="D174" s="9"/>
      <c r="E174" s="14">
        <f t="shared" si="24"/>
        <v>4350.62</v>
      </c>
      <c r="F174" s="12"/>
      <c r="G174" s="14">
        <v>1251.25</v>
      </c>
      <c r="H174" s="12"/>
      <c r="I174" s="12">
        <f t="shared" si="25"/>
        <v>5601.87</v>
      </c>
      <c r="J174" s="12"/>
      <c r="K174" s="12"/>
      <c r="L174" s="12">
        <f t="shared" si="21"/>
        <v>5601.87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AX174" s="19">
        <f t="shared" si="27"/>
        <v>5601.87</v>
      </c>
    </row>
    <row r="175" spans="1:52" ht="15.75" x14ac:dyDescent="0.25">
      <c r="A175" s="8" t="s">
        <v>168</v>
      </c>
      <c r="B175" s="14">
        <v>1266.56</v>
      </c>
      <c r="C175" s="9">
        <v>3122.92</v>
      </c>
      <c r="D175" s="9"/>
      <c r="E175" s="14">
        <f t="shared" si="24"/>
        <v>1856.3600000000001</v>
      </c>
      <c r="F175" s="12"/>
      <c r="G175" s="14">
        <v>0</v>
      </c>
      <c r="H175" s="12"/>
      <c r="I175" s="12">
        <f t="shared" si="25"/>
        <v>1856.3600000000001</v>
      </c>
      <c r="J175" s="12"/>
      <c r="K175" s="12"/>
      <c r="L175" s="12">
        <f t="shared" si="21"/>
        <v>1856.3600000000001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AX175" s="19">
        <f t="shared" si="27"/>
        <v>1856.3600000000001</v>
      </c>
    </row>
    <row r="176" spans="1:52" ht="15.75" x14ac:dyDescent="0.25">
      <c r="A176" s="8" t="s">
        <v>169</v>
      </c>
      <c r="B176" s="14">
        <v>1572.5</v>
      </c>
      <c r="C176" s="9">
        <v>2426.2399999999998</v>
      </c>
      <c r="D176" s="9"/>
      <c r="E176" s="14">
        <f t="shared" si="24"/>
        <v>853.73999999999978</v>
      </c>
      <c r="F176" s="12"/>
      <c r="G176" s="14">
        <v>6118.66</v>
      </c>
      <c r="H176" s="12"/>
      <c r="I176" s="12">
        <f t="shared" si="25"/>
        <v>6972.4</v>
      </c>
      <c r="J176" s="12"/>
      <c r="K176" s="12"/>
      <c r="L176" s="12">
        <f t="shared" si="21"/>
        <v>6972.4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AX176" s="19">
        <f t="shared" si="27"/>
        <v>6972.4</v>
      </c>
    </row>
    <row r="177" spans="1:57" ht="15.75" x14ac:dyDescent="0.25">
      <c r="A177" s="8" t="s">
        <v>170</v>
      </c>
      <c r="B177" s="14">
        <v>58.07</v>
      </c>
      <c r="C177" s="9">
        <v>58.07</v>
      </c>
      <c r="D177" s="9"/>
      <c r="E177" s="14">
        <f t="shared" si="24"/>
        <v>0</v>
      </c>
      <c r="F177" s="12"/>
      <c r="G177" s="14">
        <v>0</v>
      </c>
      <c r="H177" s="12"/>
      <c r="I177" s="12">
        <f t="shared" si="25"/>
        <v>0</v>
      </c>
      <c r="J177" s="12"/>
      <c r="K177" s="12"/>
      <c r="L177" s="12">
        <f t="shared" si="21"/>
        <v>0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AX177" s="19">
        <f t="shared" si="27"/>
        <v>0</v>
      </c>
    </row>
    <row r="178" spans="1:57" ht="15.75" x14ac:dyDescent="0.25">
      <c r="A178" s="2" t="s">
        <v>171</v>
      </c>
      <c r="B178" s="17">
        <v>0</v>
      </c>
      <c r="C178" s="17">
        <f t="shared" ref="C178" si="28">IF(525367.55&lt;&gt;0, (B178/525367.55)*100, 0)</f>
        <v>0</v>
      </c>
      <c r="D178" s="17"/>
      <c r="E178" s="14">
        <f t="shared" si="24"/>
        <v>0</v>
      </c>
      <c r="F178" s="12"/>
      <c r="G178" s="17">
        <v>18.88</v>
      </c>
      <c r="H178" s="12"/>
      <c r="I178" s="12">
        <f t="shared" si="25"/>
        <v>18.88</v>
      </c>
      <c r="J178" s="12"/>
      <c r="K178" s="12"/>
      <c r="L178" s="12">
        <f t="shared" si="21"/>
        <v>18.88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AX178" s="19">
        <f t="shared" si="27"/>
        <v>18.88</v>
      </c>
    </row>
    <row r="179" spans="1:57" ht="15.75" x14ac:dyDescent="0.25">
      <c r="A179" s="8" t="s">
        <v>172</v>
      </c>
      <c r="B179" s="14">
        <v>2458.3200000000002</v>
      </c>
      <c r="C179" s="9">
        <v>2761.02</v>
      </c>
      <c r="D179" s="9"/>
      <c r="E179" s="14">
        <f t="shared" si="24"/>
        <v>302.69999999999982</v>
      </c>
      <c r="F179" s="12"/>
      <c r="G179" s="14">
        <v>107.8</v>
      </c>
      <c r="H179" s="12"/>
      <c r="I179" s="12">
        <f t="shared" si="25"/>
        <v>410.49999999999983</v>
      </c>
      <c r="J179" s="12"/>
      <c r="K179" s="12"/>
      <c r="L179" s="12">
        <f t="shared" si="21"/>
        <v>410.49999999999983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AX179" s="19">
        <f t="shared" si="27"/>
        <v>410.49999999999983</v>
      </c>
    </row>
    <row r="180" spans="1:57" ht="15.75" x14ac:dyDescent="0.25">
      <c r="A180" s="8" t="s">
        <v>173</v>
      </c>
      <c r="B180" s="14">
        <v>0</v>
      </c>
      <c r="C180" s="9">
        <v>0</v>
      </c>
      <c r="D180" s="9"/>
      <c r="E180" s="14">
        <f t="shared" si="24"/>
        <v>0</v>
      </c>
      <c r="F180" s="12"/>
      <c r="G180" s="14">
        <v>42.33</v>
      </c>
      <c r="H180" s="12"/>
      <c r="I180" s="12">
        <f t="shared" si="25"/>
        <v>42.33</v>
      </c>
      <c r="J180" s="12"/>
      <c r="K180" s="12"/>
      <c r="L180" s="12">
        <f t="shared" si="21"/>
        <v>42.33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AX180" s="19">
        <f t="shared" si="27"/>
        <v>42.33</v>
      </c>
    </row>
    <row r="181" spans="1:57" ht="15.75" x14ac:dyDescent="0.25">
      <c r="A181" s="8" t="s">
        <v>174</v>
      </c>
      <c r="B181" s="14">
        <v>541.42999999999995</v>
      </c>
      <c r="C181" s="9">
        <v>2193.25</v>
      </c>
      <c r="D181" s="9"/>
      <c r="E181" s="14">
        <f t="shared" si="24"/>
        <v>1651.8200000000002</v>
      </c>
      <c r="F181" s="12"/>
      <c r="G181" s="14">
        <v>551.20000000000005</v>
      </c>
      <c r="H181" s="12"/>
      <c r="I181" s="12">
        <f t="shared" si="25"/>
        <v>2203.0200000000004</v>
      </c>
      <c r="J181" s="12"/>
      <c r="K181" s="12"/>
      <c r="L181" s="12">
        <f t="shared" si="21"/>
        <v>2203.0200000000004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AO181" s="19">
        <f>+I181</f>
        <v>2203.0200000000004</v>
      </c>
    </row>
    <row r="182" spans="1:57" ht="15.75" x14ac:dyDescent="0.25">
      <c r="A182" s="8" t="s">
        <v>175</v>
      </c>
      <c r="B182" s="14">
        <v>3950</v>
      </c>
      <c r="C182" s="9">
        <v>5534.53</v>
      </c>
      <c r="D182" s="9"/>
      <c r="E182" s="14">
        <f t="shared" si="24"/>
        <v>1584.5299999999997</v>
      </c>
      <c r="F182" s="12"/>
      <c r="G182" s="14">
        <v>5427.19</v>
      </c>
      <c r="H182" s="12"/>
      <c r="I182" s="12">
        <f t="shared" si="25"/>
        <v>7011.7199999999993</v>
      </c>
      <c r="J182" s="12"/>
      <c r="K182" s="12"/>
      <c r="L182" s="12">
        <f t="shared" si="21"/>
        <v>7011.7199999999993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AY182" s="19">
        <f>+L182</f>
        <v>7011.7199999999993</v>
      </c>
      <c r="AZ182" s="19"/>
    </row>
    <row r="183" spans="1:57" ht="15.75" x14ac:dyDescent="0.25">
      <c r="A183" s="8" t="s">
        <v>176</v>
      </c>
      <c r="B183" s="14">
        <v>21350.74</v>
      </c>
      <c r="C183" s="9">
        <v>40909.08</v>
      </c>
      <c r="D183" s="9"/>
      <c r="E183" s="14">
        <f t="shared" si="24"/>
        <v>19558.34</v>
      </c>
      <c r="F183" s="12"/>
      <c r="G183" s="14">
        <v>21941.98</v>
      </c>
      <c r="H183" s="12"/>
      <c r="I183" s="12">
        <f t="shared" si="25"/>
        <v>41500.32</v>
      </c>
      <c r="J183" s="12"/>
      <c r="K183" s="12"/>
      <c r="L183" s="12">
        <f t="shared" si="21"/>
        <v>41500.32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BA183" s="19">
        <f>+L183</f>
        <v>41500.32</v>
      </c>
    </row>
    <row r="184" spans="1:57" ht="15.75" x14ac:dyDescent="0.25">
      <c r="A184" s="8" t="s">
        <v>177</v>
      </c>
      <c r="B184" s="14">
        <v>899.85</v>
      </c>
      <c r="C184" s="9">
        <v>899.85</v>
      </c>
      <c r="D184" s="9"/>
      <c r="E184" s="14">
        <f t="shared" si="24"/>
        <v>0</v>
      </c>
      <c r="F184" s="12"/>
      <c r="G184" s="14">
        <v>0</v>
      </c>
      <c r="H184" s="12"/>
      <c r="I184" s="12">
        <f t="shared" si="25"/>
        <v>0</v>
      </c>
      <c r="J184" s="12"/>
      <c r="K184" s="12"/>
      <c r="L184" s="12">
        <f t="shared" si="21"/>
        <v>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57" ht="15.75" x14ac:dyDescent="0.25">
      <c r="A185" s="8" t="s">
        <v>178</v>
      </c>
      <c r="B185" s="14">
        <v>44629.4</v>
      </c>
      <c r="C185" s="9">
        <v>94420.21</v>
      </c>
      <c r="D185" s="9"/>
      <c r="E185" s="14">
        <f t="shared" si="24"/>
        <v>49790.810000000005</v>
      </c>
      <c r="F185" s="12"/>
      <c r="G185" s="14">
        <v>32586.16</v>
      </c>
      <c r="H185" s="12"/>
      <c r="I185" s="12">
        <f t="shared" si="25"/>
        <v>82376.97</v>
      </c>
      <c r="J185" s="12"/>
      <c r="K185" s="12"/>
      <c r="L185" s="12">
        <f t="shared" si="21"/>
        <v>82376.97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BB185" s="19">
        <f>+L185</f>
        <v>82376.97</v>
      </c>
    </row>
    <row r="186" spans="1:57" ht="15.75" x14ac:dyDescent="0.25">
      <c r="A186" s="8" t="s">
        <v>179</v>
      </c>
      <c r="B186" s="14">
        <v>2243.5</v>
      </c>
      <c r="C186" s="9">
        <v>3928.45</v>
      </c>
      <c r="D186" s="9"/>
      <c r="E186" s="14">
        <f t="shared" si="24"/>
        <v>1684.9499999999998</v>
      </c>
      <c r="F186" s="12"/>
      <c r="G186" s="14">
        <v>822.39</v>
      </c>
      <c r="H186" s="12"/>
      <c r="I186" s="12">
        <f t="shared" si="25"/>
        <v>2507.3399999999997</v>
      </c>
      <c r="J186" s="12"/>
      <c r="K186" s="12"/>
      <c r="L186" s="12">
        <f t="shared" si="21"/>
        <v>2507.3399999999997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BC186" s="19">
        <f>+L186</f>
        <v>2507.3399999999997</v>
      </c>
    </row>
    <row r="187" spans="1:57" ht="15.75" x14ac:dyDescent="0.25">
      <c r="A187" s="8" t="s">
        <v>246</v>
      </c>
      <c r="B187" s="14">
        <v>72788.320000000007</v>
      </c>
      <c r="C187" s="9">
        <v>141696.43</v>
      </c>
      <c r="D187" s="9"/>
      <c r="E187" s="14">
        <f t="shared" si="24"/>
        <v>68908.109999999986</v>
      </c>
      <c r="F187" s="12"/>
      <c r="G187" s="14">
        <v>92633.88</v>
      </c>
      <c r="H187" s="12"/>
      <c r="I187" s="12">
        <f t="shared" si="25"/>
        <v>161541.99</v>
      </c>
      <c r="J187" s="12"/>
      <c r="K187" s="12"/>
      <c r="L187" s="12">
        <f t="shared" si="21"/>
        <v>161541.99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AS187" s="19">
        <f>+L187</f>
        <v>161541.99</v>
      </c>
    </row>
    <row r="188" spans="1:57" ht="15.75" x14ac:dyDescent="0.25">
      <c r="A188" s="8" t="s">
        <v>180</v>
      </c>
      <c r="B188" s="14">
        <v>1600</v>
      </c>
      <c r="C188" s="9">
        <v>1600</v>
      </c>
      <c r="D188" s="9"/>
      <c r="E188" s="14">
        <f t="shared" si="24"/>
        <v>0</v>
      </c>
      <c r="F188" s="12"/>
      <c r="G188" s="14">
        <v>2362.88</v>
      </c>
      <c r="H188" s="12"/>
      <c r="I188" s="12">
        <f t="shared" si="25"/>
        <v>2362.88</v>
      </c>
      <c r="J188" s="12"/>
      <c r="K188" s="12"/>
      <c r="L188" s="12">
        <f t="shared" si="21"/>
        <v>2362.88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AS188" s="19">
        <f>+L188</f>
        <v>2362.88</v>
      </c>
    </row>
    <row r="189" spans="1:57" ht="15.75" x14ac:dyDescent="0.25">
      <c r="A189" s="8" t="s">
        <v>181</v>
      </c>
      <c r="B189" s="14">
        <v>14921.74</v>
      </c>
      <c r="C189" s="9">
        <v>36836.65</v>
      </c>
      <c r="D189" s="9"/>
      <c r="E189" s="14">
        <f t="shared" si="24"/>
        <v>21914.910000000003</v>
      </c>
      <c r="F189" s="12"/>
      <c r="G189" s="14">
        <v>9006.32</v>
      </c>
      <c r="H189" s="12"/>
      <c r="I189" s="12">
        <f t="shared" si="25"/>
        <v>30921.230000000003</v>
      </c>
      <c r="J189" s="12"/>
      <c r="K189" s="12"/>
      <c r="L189" s="12">
        <f t="shared" si="21"/>
        <v>30921.230000000003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BD189" s="19">
        <f>+L189</f>
        <v>30921.230000000003</v>
      </c>
    </row>
    <row r="190" spans="1:57" ht="15.75" x14ac:dyDescent="0.25">
      <c r="A190" s="8" t="s">
        <v>182</v>
      </c>
      <c r="B190" s="14">
        <v>7611.24</v>
      </c>
      <c r="C190" s="9">
        <v>21798.28</v>
      </c>
      <c r="D190" s="9"/>
      <c r="E190" s="14">
        <f t="shared" si="24"/>
        <v>14187.039999999999</v>
      </c>
      <c r="F190" s="12"/>
      <c r="G190" s="14">
        <v>12183.12</v>
      </c>
      <c r="H190" s="12"/>
      <c r="I190" s="12">
        <f t="shared" si="25"/>
        <v>26370.16</v>
      </c>
      <c r="J190" s="12"/>
      <c r="K190" s="12"/>
      <c r="L190" s="12">
        <f t="shared" ref="L190:L192" si="29">+I190+J190+K190</f>
        <v>26370.16</v>
      </c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BE190" s="19">
        <f>+L190</f>
        <v>26370.16</v>
      </c>
    </row>
    <row r="191" spans="1:57" ht="15.75" x14ac:dyDescent="0.25">
      <c r="A191" s="8" t="s">
        <v>183</v>
      </c>
      <c r="B191" s="14">
        <v>27695.19</v>
      </c>
      <c r="C191" s="12">
        <v>84654.1</v>
      </c>
      <c r="D191" s="12"/>
      <c r="E191" s="14">
        <f t="shared" si="24"/>
        <v>56958.91</v>
      </c>
      <c r="F191" s="12"/>
      <c r="G191" s="14">
        <v>40122.85</v>
      </c>
      <c r="H191" s="12"/>
      <c r="I191" s="12">
        <f t="shared" si="25"/>
        <v>97081.760000000009</v>
      </c>
      <c r="J191" s="12"/>
      <c r="K191" s="12"/>
      <c r="L191" s="12">
        <f t="shared" si="29"/>
        <v>97081.760000000009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AP191" s="19">
        <f>+L191</f>
        <v>97081.760000000009</v>
      </c>
    </row>
    <row r="192" spans="1:57" ht="15.75" x14ac:dyDescent="0.25">
      <c r="A192" s="8" t="s">
        <v>184</v>
      </c>
      <c r="B192" s="15">
        <v>13977.63</v>
      </c>
      <c r="C192" s="11">
        <v>30519.21</v>
      </c>
      <c r="D192" s="21"/>
      <c r="E192" s="14">
        <f t="shared" si="24"/>
        <v>16541.580000000002</v>
      </c>
      <c r="F192" s="22"/>
      <c r="G192" s="15">
        <v>16547.580000000002</v>
      </c>
      <c r="H192" s="22"/>
      <c r="I192" s="12">
        <f t="shared" si="25"/>
        <v>33089.160000000003</v>
      </c>
      <c r="J192" s="12"/>
      <c r="K192" s="12"/>
      <c r="L192" s="12">
        <f t="shared" si="29"/>
        <v>33089.160000000003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30">
        <f>+L192</f>
        <v>33089.160000000003</v>
      </c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</row>
    <row r="193" spans="1:57" ht="15.75" x14ac:dyDescent="0.25">
      <c r="A193" s="8" t="s">
        <v>185</v>
      </c>
      <c r="B193" s="18">
        <f>SUM(B62:B192)</f>
        <v>2744711.0199999991</v>
      </c>
      <c r="C193" s="18">
        <f>SUM(C62:C192)</f>
        <v>5623593.3300000001</v>
      </c>
      <c r="D193" s="20"/>
      <c r="E193" s="18">
        <f>SUM(E62:E192)</f>
        <v>2878882.310000001</v>
      </c>
      <c r="F193" s="20"/>
      <c r="G193" s="18">
        <f>SUM(G62:G192)</f>
        <v>2871798.2000000007</v>
      </c>
      <c r="H193" s="20"/>
      <c r="I193" s="18">
        <f>SUM(I62:I192)</f>
        <v>5750680.5100000007</v>
      </c>
      <c r="J193" s="18">
        <f>SUM(J62:J192)</f>
        <v>-112206.12000000001</v>
      </c>
      <c r="K193" s="18">
        <f>SUM(K62:K192)</f>
        <v>16911.86</v>
      </c>
      <c r="L193" s="18">
        <f>SUM(L62:L192)</f>
        <v>5655386.25</v>
      </c>
      <c r="M193" s="18">
        <f t="shared" ref="M193" si="30">SUM(M137:M192)</f>
        <v>0</v>
      </c>
      <c r="N193" s="12">
        <f>SUM(N58:N192)-N59</f>
        <v>3558398.9699999997</v>
      </c>
      <c r="O193" s="19">
        <f t="shared" ref="O193:BE193" si="31">SUM(O58:O192)-O59</f>
        <v>352137.56</v>
      </c>
      <c r="P193" s="12">
        <f>SUM(P58:P192)-P59</f>
        <v>98866.42</v>
      </c>
      <c r="Q193" s="12">
        <f>SUM(Q58:Q192)-Q59</f>
        <v>643844.79999999993</v>
      </c>
      <c r="R193" s="19">
        <f t="shared" si="31"/>
        <v>974117.70000000007</v>
      </c>
      <c r="S193" s="12">
        <f>SUM(S58:S192)-S59</f>
        <v>4259.1400000000003</v>
      </c>
      <c r="T193" s="12">
        <f>SUM(T58:T192)-T59</f>
        <v>27228.27</v>
      </c>
      <c r="U193" s="12">
        <f>SUM(U58:U192)-U59</f>
        <v>0</v>
      </c>
      <c r="V193" s="19">
        <f t="shared" si="31"/>
        <v>3637.97</v>
      </c>
      <c r="W193" s="19">
        <f t="shared" si="31"/>
        <v>36524.649999999994</v>
      </c>
      <c r="X193" s="19">
        <f t="shared" si="31"/>
        <v>198528.6</v>
      </c>
      <c r="Y193" s="19">
        <f t="shared" si="31"/>
        <v>131415.93</v>
      </c>
      <c r="Z193" s="19">
        <f t="shared" si="31"/>
        <v>318805.56999999989</v>
      </c>
      <c r="AA193" s="19">
        <f t="shared" si="31"/>
        <v>7100.16</v>
      </c>
      <c r="AB193" s="19">
        <f t="shared" si="31"/>
        <v>90018.299999999988</v>
      </c>
      <c r="AC193" s="19">
        <f t="shared" si="31"/>
        <v>-546.19000000000005</v>
      </c>
      <c r="AD193" s="19">
        <f t="shared" si="31"/>
        <v>2028715.92</v>
      </c>
      <c r="AE193" s="19">
        <f t="shared" si="31"/>
        <v>181794.57</v>
      </c>
      <c r="AF193" s="19">
        <f t="shared" si="31"/>
        <v>7319.01</v>
      </c>
      <c r="AG193" s="19">
        <f t="shared" si="31"/>
        <v>141835.20000000001</v>
      </c>
      <c r="AH193" s="19">
        <f t="shared" si="31"/>
        <v>257486.11</v>
      </c>
      <c r="AI193" s="19">
        <f t="shared" si="31"/>
        <v>227838.52</v>
      </c>
      <c r="AJ193" s="19">
        <f t="shared" si="31"/>
        <v>32345.399999999998</v>
      </c>
      <c r="AK193" s="19">
        <f t="shared" si="31"/>
        <v>269140.23</v>
      </c>
      <c r="AL193" s="19">
        <f t="shared" si="31"/>
        <v>113593.63</v>
      </c>
      <c r="AM193" s="19">
        <f t="shared" si="31"/>
        <v>43841.130000000005</v>
      </c>
      <c r="AN193" s="19">
        <f t="shared" si="31"/>
        <v>9262.510000000002</v>
      </c>
      <c r="AO193" s="19">
        <f t="shared" si="31"/>
        <v>138469.10999999999</v>
      </c>
      <c r="AP193" s="19">
        <f t="shared" si="31"/>
        <v>132117.28000000003</v>
      </c>
      <c r="AQ193" s="19">
        <f t="shared" si="31"/>
        <v>434101.83</v>
      </c>
      <c r="AR193" s="19">
        <f t="shared" si="31"/>
        <v>24204.38</v>
      </c>
      <c r="AS193" s="19">
        <f t="shared" si="31"/>
        <v>229233.78999999998</v>
      </c>
      <c r="AT193" s="19">
        <f t="shared" si="31"/>
        <v>45801.64</v>
      </c>
      <c r="AU193" s="19">
        <f t="shared" si="31"/>
        <v>177397.19</v>
      </c>
      <c r="AV193" s="19">
        <f t="shared" si="31"/>
        <v>11213.839999999997</v>
      </c>
      <c r="AW193" s="19">
        <f t="shared" si="31"/>
        <v>120896.20000000001</v>
      </c>
      <c r="AX193" s="19">
        <f t="shared" si="31"/>
        <v>50255.130000000005</v>
      </c>
      <c r="AY193" s="19">
        <f t="shared" si="31"/>
        <v>7011.7199999999993</v>
      </c>
      <c r="AZ193" s="19">
        <f t="shared" si="31"/>
        <v>2350.9000000000024</v>
      </c>
      <c r="BA193" s="19">
        <f t="shared" si="31"/>
        <v>41500.32</v>
      </c>
      <c r="BB193" s="19">
        <f t="shared" si="31"/>
        <v>82376.97</v>
      </c>
      <c r="BC193" s="19">
        <f t="shared" si="31"/>
        <v>2507.3399999999997</v>
      </c>
      <c r="BD193" s="19">
        <f t="shared" si="31"/>
        <v>30921.230000000003</v>
      </c>
      <c r="BE193" s="19">
        <f t="shared" si="31"/>
        <v>26370.16</v>
      </c>
    </row>
    <row r="194" spans="1:57" customFormat="1" ht="15.75" x14ac:dyDescent="0.25">
      <c r="A194" s="10"/>
      <c r="B194" s="13"/>
      <c r="C194" s="13"/>
      <c r="D194" s="13"/>
      <c r="E194" s="13"/>
      <c r="F194" s="9"/>
      <c r="G194" s="13"/>
      <c r="H194" s="9"/>
      <c r="I194" s="12"/>
      <c r="J194" s="12"/>
      <c r="K194" s="12"/>
      <c r="L194" s="12"/>
      <c r="M194" s="9"/>
      <c r="N194" s="25"/>
      <c r="O194" s="25"/>
      <c r="P194" s="25"/>
      <c r="Q194" s="25"/>
      <c r="R194" s="25"/>
      <c r="S194" s="25"/>
      <c r="T194" s="25">
        <f>SUM(N193:T193)</f>
        <v>5658852.8599999994</v>
      </c>
      <c r="U194" s="25"/>
      <c r="V194" s="25">
        <f>SUM(V193:BE193)</f>
        <v>5655386.25</v>
      </c>
      <c r="W194" s="25"/>
    </row>
    <row r="195" spans="1:57" ht="15.75" x14ac:dyDescent="0.25">
      <c r="A195" s="8" t="s">
        <v>1</v>
      </c>
      <c r="B195" s="14">
        <f>+B58-B193</f>
        <v>-197065.57999999821</v>
      </c>
      <c r="C195" s="14">
        <f>+C58-C193</f>
        <v>-342438.50000000186</v>
      </c>
      <c r="D195" s="14"/>
      <c r="E195" s="14">
        <f>+E58-E193</f>
        <v>-145372.92000000179</v>
      </c>
      <c r="F195" s="14"/>
      <c r="G195" s="14">
        <f>+G58-G193</f>
        <v>53545.269999999553</v>
      </c>
      <c r="H195" s="14"/>
      <c r="I195" s="14">
        <f>+I58-I193</f>
        <v>-91827.650000002235</v>
      </c>
      <c r="J195" s="14"/>
      <c r="K195" s="14"/>
      <c r="L195" s="14">
        <f>+L58-L193</f>
        <v>3466.6099999984726</v>
      </c>
      <c r="M195" s="14"/>
      <c r="N195" s="12"/>
      <c r="O195" s="12"/>
      <c r="P195" s="12"/>
      <c r="Q195" s="12"/>
      <c r="R195" s="12"/>
      <c r="S195" s="12"/>
      <c r="T195" s="12"/>
      <c r="U195" s="12"/>
      <c r="V195" s="12">
        <f>+T194-V194</f>
        <v>3466.609999999404</v>
      </c>
      <c r="W195" s="12"/>
    </row>
    <row r="196" spans="1:57" ht="15.75" x14ac:dyDescent="0.25">
      <c r="A196" s="3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>
        <f>+N58-N193</f>
        <v>0</v>
      </c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57" ht="15.75" x14ac:dyDescent="0.25">
      <c r="A197" s="3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 spans="1:57" ht="15.75" x14ac:dyDescent="0.25">
      <c r="A198" s="3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57" x14ac:dyDescent="0.2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</row>
  </sheetData>
  <printOptions headings="1" gridLines="1"/>
  <pageMargins left="0.25" right="0.25" top="0.85" bottom="0.75" header="0.3" footer="0.3"/>
  <pageSetup scale="76" fitToHeight="0" orientation="portrait" r:id="rId1"/>
  <headerFooter>
    <oddHeader xml:space="preserve">&amp;L&amp;"Times New Roman,Regular"&amp;8
&amp;10
&amp;C&amp;"Times New Roman,Regular"&amp;8
&amp;10Arrow Launch Service
Income Statement
For the Test Period Ending June 30, 2017
</oddHeader>
    <oddFooter>&amp;L&amp;D&amp;C&amp;F&amp;A&amp;RPage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selection activeCell="K13" sqref="K13"/>
    </sheetView>
  </sheetViews>
  <sheetFormatPr defaultRowHeight="15" x14ac:dyDescent="0.25"/>
  <cols>
    <col min="1" max="1" width="14.5703125" customWidth="1"/>
    <col min="2" max="2" width="34.42578125" bestFit="1" customWidth="1"/>
    <col min="3" max="3" width="14.28515625" bestFit="1" customWidth="1"/>
    <col min="4" max="4" width="5.140625" bestFit="1" customWidth="1"/>
    <col min="5" max="6" width="6.28515625" bestFit="1" customWidth="1"/>
    <col min="7" max="7" width="13.85546875" bestFit="1" customWidth="1"/>
    <col min="8" max="8" width="13.140625" bestFit="1" customWidth="1"/>
    <col min="9" max="9" width="8.5703125" bestFit="1" customWidth="1"/>
    <col min="11" max="11" width="11.28515625" bestFit="1" customWidth="1"/>
  </cols>
  <sheetData>
    <row r="1" spans="1:12" ht="15.75" x14ac:dyDescent="0.25">
      <c r="A1" s="54" t="s">
        <v>635</v>
      </c>
      <c r="B1" s="54" t="s">
        <v>636</v>
      </c>
      <c r="C1" s="54" t="s">
        <v>637</v>
      </c>
      <c r="D1" s="118" t="s">
        <v>638</v>
      </c>
      <c r="E1" s="118" t="s">
        <v>639</v>
      </c>
      <c r="F1" s="118" t="s">
        <v>640</v>
      </c>
      <c r="G1" s="118" t="s">
        <v>641</v>
      </c>
      <c r="H1" s="118" t="s">
        <v>642</v>
      </c>
      <c r="I1" s="54" t="s">
        <v>643</v>
      </c>
      <c r="J1" s="119"/>
      <c r="K1" s="119" t="s">
        <v>644</v>
      </c>
      <c r="L1" s="119"/>
    </row>
    <row r="2" spans="1:12" ht="15.75" x14ac:dyDescent="0.25">
      <c r="A2" s="8" t="s">
        <v>645</v>
      </c>
      <c r="B2" s="8" t="s">
        <v>646</v>
      </c>
      <c r="C2" s="8" t="s">
        <v>647</v>
      </c>
      <c r="D2" s="120"/>
      <c r="E2" s="120"/>
      <c r="F2" s="120"/>
      <c r="G2" s="120">
        <v>677.81</v>
      </c>
      <c r="H2" s="120">
        <v>677.81</v>
      </c>
      <c r="I2" s="8" t="s">
        <v>648</v>
      </c>
      <c r="J2" s="3"/>
      <c r="K2" s="4">
        <v>42867</v>
      </c>
      <c r="L2" s="3"/>
    </row>
    <row r="3" spans="1:12" ht="15.75" x14ac:dyDescent="0.25">
      <c r="A3" s="8" t="s">
        <v>645</v>
      </c>
      <c r="B3" s="8" t="s">
        <v>646</v>
      </c>
      <c r="C3" s="8" t="s">
        <v>649</v>
      </c>
      <c r="D3" s="120"/>
      <c r="E3" s="120"/>
      <c r="F3" s="120"/>
      <c r="G3" s="120">
        <v>3615.01</v>
      </c>
      <c r="H3" s="120">
        <v>3615.01</v>
      </c>
      <c r="I3" s="8" t="s">
        <v>648</v>
      </c>
      <c r="J3" s="3"/>
      <c r="K3" s="4">
        <v>42867</v>
      </c>
      <c r="L3" s="3"/>
    </row>
    <row r="4" spans="1:12" ht="15.75" x14ac:dyDescent="0.25">
      <c r="A4" s="8" t="s">
        <v>645</v>
      </c>
      <c r="B4" s="8" t="s">
        <v>646</v>
      </c>
      <c r="C4" s="8" t="s">
        <v>650</v>
      </c>
      <c r="D4" s="120"/>
      <c r="E4" s="120"/>
      <c r="F4" s="120"/>
      <c r="G4" s="120">
        <v>2735</v>
      </c>
      <c r="H4" s="120">
        <v>2735</v>
      </c>
      <c r="I4" s="8" t="s">
        <v>648</v>
      </c>
      <c r="J4" s="3"/>
      <c r="K4" s="4">
        <v>42867</v>
      </c>
      <c r="L4" s="3"/>
    </row>
    <row r="5" spans="1:12" ht="15.75" x14ac:dyDescent="0.25">
      <c r="A5" s="8" t="s">
        <v>645</v>
      </c>
      <c r="B5" s="8" t="s">
        <v>646</v>
      </c>
      <c r="C5" s="8" t="s">
        <v>651</v>
      </c>
      <c r="D5" s="120"/>
      <c r="E5" s="120"/>
      <c r="F5" s="120"/>
      <c r="G5" s="120">
        <v>1975.63</v>
      </c>
      <c r="H5" s="120">
        <v>1975.63</v>
      </c>
      <c r="I5" s="8" t="s">
        <v>648</v>
      </c>
      <c r="J5" s="3"/>
      <c r="K5" s="4">
        <v>42873</v>
      </c>
      <c r="L5" s="3"/>
    </row>
    <row r="6" spans="1:12" ht="15.75" x14ac:dyDescent="0.25">
      <c r="A6" s="8" t="s">
        <v>645</v>
      </c>
      <c r="B6" s="8" t="s">
        <v>646</v>
      </c>
      <c r="C6" s="8" t="s">
        <v>652</v>
      </c>
      <c r="D6" s="120"/>
      <c r="E6" s="120"/>
      <c r="F6" s="120"/>
      <c r="G6" s="120">
        <v>3186.88</v>
      </c>
      <c r="H6" s="120">
        <v>3186.88</v>
      </c>
      <c r="I6" s="8" t="s">
        <v>648</v>
      </c>
      <c r="J6" s="3"/>
      <c r="K6" s="4">
        <v>42878</v>
      </c>
      <c r="L6" s="3"/>
    </row>
    <row r="7" spans="1:12" ht="15.75" x14ac:dyDescent="0.25">
      <c r="A7" s="8" t="s">
        <v>645</v>
      </c>
      <c r="B7" s="8" t="s">
        <v>646</v>
      </c>
      <c r="C7" s="8" t="s">
        <v>653</v>
      </c>
      <c r="D7" s="120"/>
      <c r="E7" s="120"/>
      <c r="F7" s="120"/>
      <c r="G7" s="120">
        <v>10.17</v>
      </c>
      <c r="H7" s="120">
        <v>10.17</v>
      </c>
      <c r="I7" s="8" t="s">
        <v>648</v>
      </c>
      <c r="J7" s="3"/>
      <c r="K7" s="4"/>
      <c r="L7" s="3"/>
    </row>
    <row r="8" spans="1:12" ht="15.75" x14ac:dyDescent="0.25">
      <c r="A8" s="8" t="s">
        <v>645</v>
      </c>
      <c r="B8" s="8" t="s">
        <v>646</v>
      </c>
      <c r="C8" s="8" t="s">
        <v>654</v>
      </c>
      <c r="D8" s="120"/>
      <c r="E8" s="120"/>
      <c r="F8" s="120"/>
      <c r="G8" s="120">
        <v>54.23</v>
      </c>
      <c r="H8" s="120">
        <v>54.23</v>
      </c>
      <c r="I8" s="8" t="s">
        <v>648</v>
      </c>
      <c r="J8" s="3"/>
      <c r="K8" s="4"/>
      <c r="L8" s="3"/>
    </row>
    <row r="9" spans="1:12" ht="15.75" x14ac:dyDescent="0.25">
      <c r="A9" s="8" t="s">
        <v>645</v>
      </c>
      <c r="B9" s="8" t="s">
        <v>646</v>
      </c>
      <c r="C9" s="8" t="s">
        <v>655</v>
      </c>
      <c r="D9" s="120"/>
      <c r="E9" s="120"/>
      <c r="F9" s="120"/>
      <c r="G9" s="120">
        <v>41.03</v>
      </c>
      <c r="H9" s="120">
        <v>41.03</v>
      </c>
      <c r="I9" s="8" t="s">
        <v>648</v>
      </c>
      <c r="J9" s="3"/>
      <c r="K9" s="4"/>
      <c r="L9" s="3"/>
    </row>
    <row r="10" spans="1:12" ht="15.75" x14ac:dyDescent="0.25">
      <c r="A10" s="8" t="s">
        <v>645</v>
      </c>
      <c r="B10" s="8" t="s">
        <v>646</v>
      </c>
      <c r="C10" s="8" t="s">
        <v>656</v>
      </c>
      <c r="D10" s="120"/>
      <c r="E10" s="120"/>
      <c r="F10" s="120"/>
      <c r="G10" s="120">
        <v>29.63</v>
      </c>
      <c r="H10" s="120">
        <v>29.63</v>
      </c>
      <c r="I10" s="8" t="s">
        <v>648</v>
      </c>
      <c r="J10" s="3"/>
      <c r="K10" s="4"/>
      <c r="L10" s="3"/>
    </row>
    <row r="11" spans="1:12" ht="15.75" x14ac:dyDescent="0.25">
      <c r="A11" s="8" t="s">
        <v>645</v>
      </c>
      <c r="B11" s="8" t="s">
        <v>646</v>
      </c>
      <c r="C11" s="8" t="s">
        <v>657</v>
      </c>
      <c r="D11" s="120"/>
      <c r="E11" s="120"/>
      <c r="F11" s="120"/>
      <c r="G11" s="120">
        <v>47.8</v>
      </c>
      <c r="H11" s="120">
        <v>47.8</v>
      </c>
      <c r="I11" s="8" t="s">
        <v>648</v>
      </c>
      <c r="J11" s="3"/>
      <c r="K11" s="4"/>
      <c r="L11" s="3"/>
    </row>
    <row r="12" spans="1:12" ht="15.75" x14ac:dyDescent="0.25">
      <c r="A12" s="8" t="s">
        <v>645</v>
      </c>
      <c r="B12" s="8" t="s">
        <v>646</v>
      </c>
      <c r="C12" s="8" t="s">
        <v>658</v>
      </c>
      <c r="D12" s="120"/>
      <c r="E12" s="120"/>
      <c r="F12" s="120"/>
      <c r="G12" s="120">
        <v>20.32</v>
      </c>
      <c r="H12" s="120">
        <v>20.32</v>
      </c>
      <c r="I12" s="8" t="s">
        <v>648</v>
      </c>
      <c r="J12" s="3"/>
      <c r="K12" s="4"/>
      <c r="L12" s="3"/>
    </row>
    <row r="13" spans="1:12" ht="15.75" x14ac:dyDescent="0.25">
      <c r="A13" s="8" t="s">
        <v>645</v>
      </c>
      <c r="B13" s="8" t="s">
        <v>646</v>
      </c>
      <c r="C13" s="8" t="s">
        <v>659</v>
      </c>
      <c r="D13" s="120"/>
      <c r="E13" s="120"/>
      <c r="F13" s="120"/>
      <c r="G13" s="120">
        <v>65.03</v>
      </c>
      <c r="H13" s="120">
        <v>65.03</v>
      </c>
      <c r="I13" s="8" t="s">
        <v>648</v>
      </c>
      <c r="J13" s="3"/>
      <c r="K13" s="4"/>
      <c r="L13" s="3"/>
    </row>
    <row r="14" spans="1:12" ht="15.75" x14ac:dyDescent="0.25">
      <c r="A14" s="8" t="s">
        <v>645</v>
      </c>
      <c r="B14" s="8" t="s">
        <v>646</v>
      </c>
      <c r="C14" s="8" t="s">
        <v>660</v>
      </c>
      <c r="D14" s="120"/>
      <c r="E14" s="120"/>
      <c r="F14" s="120"/>
      <c r="G14" s="120">
        <v>51.64</v>
      </c>
      <c r="H14" s="120">
        <v>51.64</v>
      </c>
      <c r="I14" s="8" t="s">
        <v>648</v>
      </c>
      <c r="J14" s="3"/>
      <c r="K14" s="4"/>
      <c r="L14" s="3"/>
    </row>
    <row r="15" spans="1:12" ht="15.75" x14ac:dyDescent="0.25">
      <c r="A15" s="8" t="s">
        <v>645</v>
      </c>
      <c r="B15" s="8" t="s">
        <v>646</v>
      </c>
      <c r="C15" s="8" t="s">
        <v>661</v>
      </c>
      <c r="D15" s="120"/>
      <c r="E15" s="120"/>
      <c r="F15" s="120"/>
      <c r="G15" s="120">
        <v>40.08</v>
      </c>
      <c r="H15" s="120">
        <v>40.08</v>
      </c>
      <c r="I15" s="8" t="s">
        <v>648</v>
      </c>
      <c r="J15" s="3"/>
      <c r="K15" s="4"/>
      <c r="L15" s="3"/>
    </row>
    <row r="16" spans="1:12" ht="15.75" x14ac:dyDescent="0.25">
      <c r="A16" s="8" t="s">
        <v>645</v>
      </c>
      <c r="B16" s="8" t="s">
        <v>646</v>
      </c>
      <c r="C16" s="8" t="s">
        <v>662</v>
      </c>
      <c r="D16" s="120"/>
      <c r="E16" s="120"/>
      <c r="F16" s="120"/>
      <c r="G16" s="120">
        <v>58.52</v>
      </c>
      <c r="H16" s="120">
        <v>58.52</v>
      </c>
      <c r="I16" s="8" t="s">
        <v>648</v>
      </c>
      <c r="J16" s="3"/>
      <c r="K16" s="4"/>
      <c r="L16" s="3"/>
    </row>
    <row r="17" spans="1:12" ht="15.75" x14ac:dyDescent="0.25">
      <c r="A17" s="8"/>
      <c r="B17" s="8"/>
      <c r="C17" s="8"/>
      <c r="D17" s="120"/>
      <c r="E17" s="120"/>
      <c r="F17" s="120"/>
      <c r="G17" s="120"/>
      <c r="H17" s="120"/>
      <c r="I17" s="8"/>
      <c r="J17" s="3"/>
      <c r="K17" s="4"/>
      <c r="L17" s="3"/>
    </row>
    <row r="18" spans="1:12" ht="15.75" x14ac:dyDescent="0.25">
      <c r="A18" s="8"/>
      <c r="B18" s="8"/>
      <c r="C18" s="8"/>
      <c r="D18" s="120"/>
      <c r="E18" s="120"/>
      <c r="F18" s="120"/>
      <c r="G18" s="120"/>
      <c r="H18" s="121">
        <f>SUM(H2:H17)</f>
        <v>12608.78</v>
      </c>
      <c r="I18" s="8"/>
      <c r="J18" s="3"/>
      <c r="K18" s="4"/>
      <c r="L18" s="3"/>
    </row>
    <row r="19" spans="1:12" ht="15.75" x14ac:dyDescent="0.25">
      <c r="A19" s="8"/>
      <c r="B19" s="8"/>
      <c r="C19" s="8"/>
      <c r="D19" s="120"/>
      <c r="E19" s="120"/>
      <c r="F19" s="120"/>
      <c r="G19" s="120"/>
      <c r="H19" s="121"/>
      <c r="I19" s="8"/>
      <c r="J19" s="3"/>
      <c r="K19" s="4"/>
      <c r="L19" s="3"/>
    </row>
    <row r="20" spans="1:12" ht="15.75" x14ac:dyDescent="0.25">
      <c r="A20" s="8" t="s">
        <v>663</v>
      </c>
      <c r="B20" s="8" t="s">
        <v>664</v>
      </c>
      <c r="C20" s="8" t="s">
        <v>665</v>
      </c>
      <c r="D20" s="120"/>
      <c r="E20" s="120"/>
      <c r="F20" s="120"/>
      <c r="G20" s="120">
        <v>1205</v>
      </c>
      <c r="H20" s="120">
        <v>1205</v>
      </c>
      <c r="I20" s="8" t="s">
        <v>666</v>
      </c>
      <c r="J20" s="3"/>
      <c r="K20" s="4">
        <v>42597</v>
      </c>
      <c r="L20" s="3"/>
    </row>
    <row r="21" spans="1:12" ht="15.75" x14ac:dyDescent="0.25">
      <c r="A21" s="122" t="s">
        <v>663</v>
      </c>
      <c r="B21" s="122" t="s">
        <v>664</v>
      </c>
      <c r="C21" s="122" t="s">
        <v>667</v>
      </c>
      <c r="D21" s="123"/>
      <c r="E21" s="123"/>
      <c r="F21" s="123"/>
      <c r="G21" s="123">
        <v>1546.92</v>
      </c>
      <c r="H21" s="123">
        <v>1546.92</v>
      </c>
      <c r="I21" s="122" t="s">
        <v>666</v>
      </c>
      <c r="J21" s="3"/>
      <c r="K21" s="4">
        <v>42597</v>
      </c>
      <c r="L21" s="3"/>
    </row>
    <row r="22" spans="1:12" ht="15.75" x14ac:dyDescent="0.25">
      <c r="A22" s="8" t="s">
        <v>663</v>
      </c>
      <c r="B22" s="8" t="s">
        <v>664</v>
      </c>
      <c r="C22" s="8" t="s">
        <v>668</v>
      </c>
      <c r="D22" s="120"/>
      <c r="E22" s="120"/>
      <c r="F22" s="120"/>
      <c r="G22" s="120">
        <v>18.079999999999998</v>
      </c>
      <c r="H22" s="120">
        <v>18.079999999999998</v>
      </c>
      <c r="I22" s="8" t="s">
        <v>0</v>
      </c>
      <c r="J22" s="3"/>
      <c r="K22" s="4"/>
      <c r="L22" s="3"/>
    </row>
    <row r="23" spans="1:12" ht="15.75" x14ac:dyDescent="0.25">
      <c r="A23" s="122" t="s">
        <v>663</v>
      </c>
      <c r="B23" s="122" t="s">
        <v>664</v>
      </c>
      <c r="C23" s="122" t="s">
        <v>669</v>
      </c>
      <c r="D23" s="123"/>
      <c r="E23" s="123"/>
      <c r="F23" s="123"/>
      <c r="G23" s="123">
        <v>23.2</v>
      </c>
      <c r="H23" s="123">
        <v>23.2</v>
      </c>
      <c r="I23" s="122" t="s">
        <v>0</v>
      </c>
      <c r="J23" s="3"/>
      <c r="K23" s="4"/>
      <c r="L23" s="3"/>
    </row>
    <row r="24" spans="1:12" ht="15.75" x14ac:dyDescent="0.25">
      <c r="A24" s="122" t="s">
        <v>663</v>
      </c>
      <c r="B24" s="122" t="s">
        <v>664</v>
      </c>
      <c r="C24" s="122" t="s">
        <v>670</v>
      </c>
      <c r="D24" s="123"/>
      <c r="E24" s="123"/>
      <c r="F24" s="123"/>
      <c r="G24" s="123">
        <v>2247.29</v>
      </c>
      <c r="H24" s="123">
        <v>2247.29</v>
      </c>
      <c r="I24" s="122" t="s">
        <v>666</v>
      </c>
      <c r="J24" s="3"/>
      <c r="K24" s="4">
        <v>42674</v>
      </c>
      <c r="L24" s="3"/>
    </row>
    <row r="25" spans="1:12" ht="15.75" x14ac:dyDescent="0.25">
      <c r="A25" s="8" t="s">
        <v>663</v>
      </c>
      <c r="B25" s="8" t="s">
        <v>664</v>
      </c>
      <c r="C25" s="8" t="s">
        <v>671</v>
      </c>
      <c r="D25" s="120"/>
      <c r="E25" s="120"/>
      <c r="F25" s="120"/>
      <c r="G25" s="120">
        <v>46.42</v>
      </c>
      <c r="H25" s="120">
        <v>46.42</v>
      </c>
      <c r="I25" s="8" t="s">
        <v>666</v>
      </c>
      <c r="J25" s="3"/>
      <c r="K25" s="4"/>
      <c r="L25" s="3"/>
    </row>
    <row r="26" spans="1:12" ht="15.75" x14ac:dyDescent="0.25">
      <c r="A26" s="8" t="s">
        <v>663</v>
      </c>
      <c r="B26" s="8" t="s">
        <v>664</v>
      </c>
      <c r="C26" s="8" t="s">
        <v>672</v>
      </c>
      <c r="D26" s="120"/>
      <c r="E26" s="120"/>
      <c r="F26" s="120"/>
      <c r="G26" s="120">
        <v>56.76</v>
      </c>
      <c r="H26" s="120">
        <v>56.76</v>
      </c>
      <c r="I26" s="8" t="s">
        <v>666</v>
      </c>
      <c r="J26" s="3"/>
      <c r="K26" s="4"/>
      <c r="L26" s="3"/>
    </row>
    <row r="27" spans="1:12" ht="15.75" x14ac:dyDescent="0.25">
      <c r="A27" s="122" t="s">
        <v>663</v>
      </c>
      <c r="B27" s="122" t="s">
        <v>664</v>
      </c>
      <c r="C27" s="124" t="s">
        <v>673</v>
      </c>
      <c r="D27" s="125"/>
      <c r="E27" s="125"/>
      <c r="F27" s="125"/>
      <c r="G27" s="125">
        <v>77.92</v>
      </c>
      <c r="H27" s="125">
        <v>77.92</v>
      </c>
      <c r="I27" s="122" t="s">
        <v>666</v>
      </c>
      <c r="J27" s="3"/>
      <c r="K27" s="4"/>
      <c r="L27" s="3"/>
    </row>
    <row r="28" spans="1:12" ht="15.75" x14ac:dyDescent="0.25">
      <c r="A28" s="126"/>
      <c r="B28" s="126"/>
      <c r="C28" s="127"/>
      <c r="D28" s="127"/>
      <c r="E28" s="127"/>
      <c r="F28" s="127"/>
      <c r="G28" s="127"/>
      <c r="H28" s="127"/>
      <c r="I28" s="126"/>
      <c r="J28" s="126"/>
      <c r="K28" s="23"/>
      <c r="L28" s="23"/>
    </row>
    <row r="29" spans="1:12" ht="15.75" x14ac:dyDescent="0.25">
      <c r="A29" s="8" t="s">
        <v>663</v>
      </c>
      <c r="B29" s="8" t="s">
        <v>664</v>
      </c>
      <c r="C29" s="8" t="s">
        <v>0</v>
      </c>
      <c r="D29" s="120">
        <f>SUBTOTAL(9, D20:D28)</f>
        <v>0</v>
      </c>
      <c r="E29" s="120">
        <f>SUBTOTAL(9, E20:E28)</f>
        <v>0</v>
      </c>
      <c r="F29" s="120">
        <f>SUBTOTAL(9, F20:F28)</f>
        <v>0</v>
      </c>
      <c r="G29" s="120"/>
      <c r="H29" s="205">
        <f>SUM(H20:H28)</f>
        <v>5221.59</v>
      </c>
      <c r="I29" s="8" t="s">
        <v>0</v>
      </c>
      <c r="J29" s="3"/>
      <c r="K29" s="128"/>
      <c r="L29" s="128"/>
    </row>
    <row r="30" spans="1:12" ht="15.75" x14ac:dyDescent="0.25">
      <c r="A30" s="8" t="s">
        <v>226</v>
      </c>
      <c r="B30" s="8"/>
      <c r="C30" s="8"/>
      <c r="D30" s="120"/>
      <c r="E30" s="120"/>
      <c r="F30" s="120"/>
      <c r="G30" s="120"/>
      <c r="H30" s="120">
        <f>+H18+H29</f>
        <v>17830.370000000003</v>
      </c>
      <c r="I30" s="8"/>
      <c r="J30" s="3"/>
      <c r="K30" s="128"/>
      <c r="L30" s="128"/>
    </row>
    <row r="31" spans="1:12" ht="15.75" x14ac:dyDescent="0.25">
      <c r="A31" s="8"/>
      <c r="B31" s="8"/>
      <c r="C31" s="8"/>
      <c r="D31" s="120"/>
      <c r="E31" s="120"/>
      <c r="F31" s="120"/>
      <c r="G31" s="120"/>
      <c r="H31" s="120"/>
      <c r="I31" s="8"/>
      <c r="J31" s="3"/>
      <c r="K31" s="128"/>
      <c r="L31" s="128"/>
    </row>
    <row r="32" spans="1:12" ht="15.75" x14ac:dyDescent="0.25">
      <c r="A32" s="8" t="s">
        <v>674</v>
      </c>
      <c r="B32" s="8"/>
      <c r="C32" s="8"/>
      <c r="D32" s="120"/>
      <c r="E32" s="120"/>
      <c r="F32" s="120"/>
      <c r="G32" s="120"/>
      <c r="H32" s="129">
        <f>-H21-H23-H24-H27</f>
        <v>-3895.33</v>
      </c>
      <c r="I32" s="8"/>
      <c r="J32" s="3"/>
      <c r="K32" s="128"/>
      <c r="L32" s="128"/>
    </row>
    <row r="33" spans="1:12" ht="15.75" x14ac:dyDescent="0.25">
      <c r="A33" s="8" t="s">
        <v>675</v>
      </c>
      <c r="B33" s="8"/>
      <c r="C33" s="8"/>
      <c r="D33" s="120"/>
      <c r="E33" s="120"/>
      <c r="F33" s="120"/>
      <c r="G33" s="120"/>
      <c r="H33" s="120">
        <f>+H29+H32</f>
        <v>1326.2600000000002</v>
      </c>
      <c r="I33" s="8"/>
      <c r="J33" s="3"/>
      <c r="K33" s="128"/>
      <c r="L33" s="128"/>
    </row>
    <row r="34" spans="1:12" ht="15.75" x14ac:dyDescent="0.25">
      <c r="A34" s="8" t="s">
        <v>676</v>
      </c>
      <c r="B34" s="8"/>
      <c r="C34" s="8"/>
      <c r="D34" s="120"/>
      <c r="E34" s="120"/>
      <c r="F34" s="120"/>
      <c r="G34" s="120"/>
      <c r="H34" s="129">
        <f>+H18</f>
        <v>12608.78</v>
      </c>
      <c r="I34" s="8"/>
      <c r="J34" s="3"/>
      <c r="K34" s="128"/>
      <c r="L34" s="128"/>
    </row>
    <row r="35" spans="1:12" ht="15.75" x14ac:dyDescent="0.25">
      <c r="A35" s="8" t="s">
        <v>677</v>
      </c>
      <c r="B35" s="8"/>
      <c r="C35" s="8"/>
      <c r="D35" s="120"/>
      <c r="E35" s="120"/>
      <c r="F35" s="120"/>
      <c r="G35" s="120"/>
      <c r="H35" s="120">
        <f>SUM(H33:H34)</f>
        <v>13935.04</v>
      </c>
      <c r="I35" s="8"/>
      <c r="J35" s="3"/>
      <c r="K35" s="128"/>
      <c r="L35" s="128"/>
    </row>
    <row r="36" spans="1:12" ht="15.75" x14ac:dyDescent="0.25">
      <c r="A36" s="8"/>
      <c r="B36" s="8"/>
      <c r="C36" s="8"/>
      <c r="D36" s="120"/>
      <c r="E36" s="120"/>
      <c r="F36" s="120"/>
      <c r="G36" s="120"/>
      <c r="H36" s="120"/>
      <c r="I36" s="8"/>
      <c r="J36" s="3"/>
      <c r="K36" s="128"/>
      <c r="L36" s="128"/>
    </row>
    <row r="37" spans="1:12" ht="15.75" x14ac:dyDescent="0.25">
      <c r="A37" s="8"/>
      <c r="B37" s="8"/>
      <c r="C37" s="8"/>
      <c r="D37" s="120"/>
      <c r="E37" s="120"/>
      <c r="F37" s="120"/>
      <c r="G37" s="120"/>
      <c r="H37" s="120"/>
      <c r="I37" s="8"/>
      <c r="J37" s="3"/>
      <c r="K37" s="128"/>
      <c r="L37" s="128"/>
    </row>
    <row r="38" spans="1:12" ht="15.75" x14ac:dyDescent="0.25">
      <c r="A38" s="8"/>
      <c r="B38" s="8"/>
      <c r="C38" s="8"/>
      <c r="D38" s="120"/>
      <c r="E38" s="120"/>
      <c r="F38" s="120"/>
      <c r="G38" s="120"/>
      <c r="H38" s="120"/>
      <c r="I38" s="8"/>
      <c r="J38" s="3"/>
      <c r="K38" s="128"/>
      <c r="L38" s="128"/>
    </row>
    <row r="39" spans="1:12" ht="15.75" x14ac:dyDescent="0.25">
      <c r="A39" s="8" t="s">
        <v>679</v>
      </c>
      <c r="B39" s="8"/>
      <c r="C39" s="8" t="s">
        <v>229</v>
      </c>
      <c r="D39" s="120"/>
      <c r="E39" s="120"/>
      <c r="F39" s="120"/>
      <c r="G39" s="120"/>
      <c r="H39" s="120">
        <f>+H35</f>
        <v>13935.04</v>
      </c>
      <c r="I39" s="8"/>
      <c r="J39" s="3"/>
      <c r="K39" s="128"/>
      <c r="L39" s="128"/>
    </row>
    <row r="40" spans="1:12" ht="15.75" x14ac:dyDescent="0.25">
      <c r="A40" s="8"/>
      <c r="B40" s="8"/>
      <c r="C40" s="8" t="s">
        <v>678</v>
      </c>
      <c r="D40" s="120"/>
      <c r="E40" s="120"/>
      <c r="F40" s="120"/>
      <c r="G40" s="120"/>
      <c r="H40" s="129">
        <f>-H32</f>
        <v>3895.33</v>
      </c>
      <c r="I40" s="8"/>
      <c r="J40" s="3"/>
      <c r="K40" s="128"/>
      <c r="L40" s="128"/>
    </row>
    <row r="41" spans="1:12" ht="15.75" x14ac:dyDescent="0.25">
      <c r="A41" s="8"/>
      <c r="B41" s="8"/>
      <c r="C41" s="8"/>
      <c r="D41" s="120"/>
      <c r="E41" s="120"/>
      <c r="F41" s="120"/>
      <c r="G41" s="120"/>
      <c r="H41" s="120">
        <f>SUM(H39:H40)</f>
        <v>17830.370000000003</v>
      </c>
      <c r="I41" s="8"/>
      <c r="J41" s="3"/>
      <c r="K41" s="128"/>
      <c r="L41" s="128"/>
    </row>
    <row r="42" spans="1:12" ht="15.75" x14ac:dyDescent="0.25">
      <c r="A42" s="8"/>
      <c r="B42" s="8"/>
      <c r="C42" s="8"/>
      <c r="D42" s="120"/>
      <c r="E42" s="120"/>
      <c r="F42" s="120"/>
      <c r="G42" s="120"/>
      <c r="H42" s="120"/>
      <c r="I42" s="8"/>
      <c r="J42" s="3"/>
      <c r="K42" s="128"/>
      <c r="L42" s="128"/>
    </row>
  </sheetData>
  <pageMargins left="0.25" right="0.25" top="0.75" bottom="0.75" header="0.3" footer="0.3"/>
  <pageSetup scale="69" fitToHeight="0" orientation="portrait" r:id="rId1"/>
  <headerFooter>
    <oddHeader>&amp;CArrow Launch Service, Inc.
Bad Debts
Test Period ended 6/30/17</oddHeader>
    <oddFooter>&amp;L&amp;F  &amp;A  &amp;T 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34" workbookViewId="0">
      <selection activeCell="A6" sqref="A6:O67"/>
    </sheetView>
  </sheetViews>
  <sheetFormatPr defaultRowHeight="15" x14ac:dyDescent="0.25"/>
  <cols>
    <col min="1" max="1" width="23.28515625" customWidth="1"/>
    <col min="2" max="3" width="12.7109375" customWidth="1"/>
    <col min="4" max="13" width="13.42578125" customWidth="1"/>
    <col min="14" max="14" width="12" customWidth="1"/>
    <col min="15" max="15" width="11.42578125" customWidth="1"/>
  </cols>
  <sheetData>
    <row r="1" spans="1:15" ht="15.75" x14ac:dyDescent="0.25">
      <c r="A1" s="130" t="s">
        <v>233</v>
      </c>
      <c r="B1" s="130"/>
      <c r="C1" s="130"/>
      <c r="D1" s="131"/>
      <c r="E1" s="131"/>
      <c r="F1" s="131"/>
      <c r="G1" s="131"/>
      <c r="H1" s="132"/>
      <c r="I1" s="132"/>
      <c r="J1" s="131"/>
      <c r="K1" s="133"/>
      <c r="L1" s="133"/>
      <c r="M1" s="134"/>
    </row>
    <row r="2" spans="1:15" ht="15.75" x14ac:dyDescent="0.25">
      <c r="A2" s="208" t="s">
        <v>770</v>
      </c>
      <c r="B2" s="208"/>
      <c r="C2" s="208"/>
      <c r="D2" s="209"/>
      <c r="E2" s="209"/>
      <c r="F2" s="209"/>
      <c r="G2" s="209"/>
      <c r="H2" s="209"/>
      <c r="I2" s="209"/>
      <c r="J2" s="209"/>
      <c r="K2" s="209"/>
      <c r="L2" s="209"/>
      <c r="M2" s="208"/>
    </row>
    <row r="3" spans="1:15" ht="15.75" x14ac:dyDescent="0.25">
      <c r="A3" s="210" t="s">
        <v>771</v>
      </c>
      <c r="B3" s="67"/>
      <c r="C3" s="67"/>
      <c r="D3" s="67"/>
      <c r="E3" s="67"/>
      <c r="F3" s="67"/>
      <c r="G3" s="67"/>
      <c r="H3" s="67"/>
      <c r="I3" s="67"/>
      <c r="J3" s="67"/>
      <c r="K3" s="210"/>
      <c r="L3" s="210"/>
      <c r="M3" s="211"/>
      <c r="N3" s="47" t="s">
        <v>775</v>
      </c>
      <c r="O3" s="47"/>
    </row>
    <row r="4" spans="1:15" ht="15.75" x14ac:dyDescent="0.25">
      <c r="A4" s="135"/>
      <c r="B4" s="135"/>
      <c r="C4" s="135"/>
      <c r="D4" s="219" t="s">
        <v>685</v>
      </c>
      <c r="E4" s="219"/>
      <c r="F4" s="219" t="s">
        <v>686</v>
      </c>
      <c r="G4" s="219"/>
      <c r="H4" s="219" t="s">
        <v>687</v>
      </c>
      <c r="I4" s="219"/>
      <c r="J4" s="219" t="s">
        <v>688</v>
      </c>
      <c r="K4" s="219"/>
      <c r="L4" s="220" t="s">
        <v>689</v>
      </c>
      <c r="M4" s="220"/>
      <c r="N4" s="34" t="s">
        <v>773</v>
      </c>
      <c r="O4" s="34"/>
    </row>
    <row r="5" spans="1:15" ht="16.5" thickBot="1" x14ac:dyDescent="0.3">
      <c r="A5" s="136" t="s">
        <v>690</v>
      </c>
      <c r="B5" s="136" t="s">
        <v>691</v>
      </c>
      <c r="C5" s="136" t="s">
        <v>692</v>
      </c>
      <c r="D5" s="137" t="s">
        <v>693</v>
      </c>
      <c r="E5" s="137" t="s">
        <v>694</v>
      </c>
      <c r="F5" s="137" t="s">
        <v>693</v>
      </c>
      <c r="G5" s="137" t="s">
        <v>694</v>
      </c>
      <c r="H5" s="137" t="s">
        <v>693</v>
      </c>
      <c r="I5" s="137" t="s">
        <v>694</v>
      </c>
      <c r="J5" s="137" t="s">
        <v>693</v>
      </c>
      <c r="K5" s="137" t="s">
        <v>694</v>
      </c>
      <c r="L5" s="137" t="s">
        <v>693</v>
      </c>
      <c r="M5" s="138" t="s">
        <v>694</v>
      </c>
      <c r="N5" s="138" t="s">
        <v>774</v>
      </c>
      <c r="O5" s="213" t="s">
        <v>206</v>
      </c>
    </row>
    <row r="6" spans="1:15" ht="15.75" x14ac:dyDescent="0.25">
      <c r="A6" s="139"/>
      <c r="B6" s="139"/>
      <c r="C6" s="140">
        <v>1</v>
      </c>
      <c r="D6" s="141"/>
      <c r="E6" s="141"/>
      <c r="F6" s="60">
        <v>7</v>
      </c>
      <c r="G6" s="60">
        <v>183.21</v>
      </c>
      <c r="H6" s="14">
        <v>3</v>
      </c>
      <c r="I6" s="14">
        <v>70.92</v>
      </c>
      <c r="J6" s="142"/>
      <c r="K6" s="142"/>
      <c r="L6" s="143">
        <f t="shared" ref="L6:M37" si="0">+D6+F6+H6+J6</f>
        <v>10</v>
      </c>
      <c r="M6" s="143">
        <f t="shared" si="0"/>
        <v>254.13</v>
      </c>
    </row>
    <row r="7" spans="1:15" ht="15.75" x14ac:dyDescent="0.25">
      <c r="A7" s="200" t="s">
        <v>696</v>
      </c>
      <c r="B7" s="57"/>
      <c r="C7" s="144">
        <f>1+1</f>
        <v>2</v>
      </c>
      <c r="D7" s="21">
        <v>137.75</v>
      </c>
      <c r="E7" s="21">
        <v>2765</v>
      </c>
      <c r="F7" s="60"/>
      <c r="G7" s="60"/>
      <c r="H7" s="145"/>
      <c r="I7" s="145"/>
      <c r="J7" s="142"/>
      <c r="K7" s="142"/>
      <c r="L7" s="143">
        <f t="shared" si="0"/>
        <v>137.75</v>
      </c>
      <c r="M7" s="143">
        <f t="shared" si="0"/>
        <v>2765</v>
      </c>
    </row>
    <row r="8" spans="1:15" ht="15.75" x14ac:dyDescent="0.25">
      <c r="A8" s="200" t="s">
        <v>697</v>
      </c>
      <c r="B8" s="57"/>
      <c r="C8" s="144">
        <f>+C7+1</f>
        <v>3</v>
      </c>
      <c r="D8" s="146"/>
      <c r="E8" s="146"/>
      <c r="F8" s="60"/>
      <c r="G8" s="60"/>
      <c r="H8" s="14">
        <v>400</v>
      </c>
      <c r="I8" s="14">
        <v>7083.35</v>
      </c>
      <c r="J8" s="142">
        <v>480</v>
      </c>
      <c r="K8" s="142">
        <v>8500.02</v>
      </c>
      <c r="L8" s="143">
        <f t="shared" si="0"/>
        <v>880</v>
      </c>
      <c r="M8" s="143">
        <f t="shared" si="0"/>
        <v>15583.37</v>
      </c>
    </row>
    <row r="9" spans="1:15" ht="15.75" x14ac:dyDescent="0.25">
      <c r="A9" s="57"/>
      <c r="B9" s="57"/>
      <c r="C9" s="144">
        <f t="shared" ref="C9:C66" si="1">+C8+1</f>
        <v>4</v>
      </c>
      <c r="D9" s="14">
        <v>480</v>
      </c>
      <c r="E9" s="14">
        <v>24607.919999999998</v>
      </c>
      <c r="F9" s="60">
        <v>432</v>
      </c>
      <c r="G9" s="60">
        <v>21336</v>
      </c>
      <c r="H9" s="14">
        <v>384</v>
      </c>
      <c r="I9" s="14">
        <v>19700.04</v>
      </c>
      <c r="J9" s="142">
        <v>384</v>
      </c>
      <c r="K9" s="142">
        <v>34608.949999999997</v>
      </c>
      <c r="L9" s="143">
        <f t="shared" si="0"/>
        <v>1680</v>
      </c>
      <c r="M9" s="143">
        <f t="shared" si="0"/>
        <v>100252.90999999999</v>
      </c>
    </row>
    <row r="10" spans="1:15" ht="15.75" x14ac:dyDescent="0.25">
      <c r="A10" s="57"/>
      <c r="B10" s="57"/>
      <c r="C10" s="144">
        <f t="shared" si="1"/>
        <v>5</v>
      </c>
      <c r="D10" s="14">
        <v>480</v>
      </c>
      <c r="E10" s="14">
        <v>14791.67</v>
      </c>
      <c r="F10" s="60">
        <v>480</v>
      </c>
      <c r="G10" s="60">
        <v>13750.02</v>
      </c>
      <c r="H10" s="14">
        <v>480</v>
      </c>
      <c r="I10" s="14">
        <v>13750.02</v>
      </c>
      <c r="J10" s="142">
        <v>480</v>
      </c>
      <c r="K10" s="142">
        <v>13750.02</v>
      </c>
      <c r="L10" s="143">
        <f t="shared" si="0"/>
        <v>1920</v>
      </c>
      <c r="M10" s="143">
        <f t="shared" si="0"/>
        <v>56041.73000000001</v>
      </c>
      <c r="O10" s="77">
        <f>ROUND(+M10*0.025,2)</f>
        <v>1401.04</v>
      </c>
    </row>
    <row r="11" spans="1:15" ht="15.75" x14ac:dyDescent="0.25">
      <c r="A11" s="57"/>
      <c r="B11" s="57"/>
      <c r="C11" s="144">
        <f t="shared" si="1"/>
        <v>6</v>
      </c>
      <c r="D11" s="14">
        <v>480</v>
      </c>
      <c r="E11" s="14">
        <v>11250</v>
      </c>
      <c r="F11" s="60">
        <v>480</v>
      </c>
      <c r="G11" s="60">
        <v>11250</v>
      </c>
      <c r="H11" s="14">
        <v>480</v>
      </c>
      <c r="I11" s="14">
        <v>11250</v>
      </c>
      <c r="J11" s="142">
        <v>480</v>
      </c>
      <c r="K11" s="142">
        <v>11250</v>
      </c>
      <c r="L11" s="143">
        <f t="shared" si="0"/>
        <v>1920</v>
      </c>
      <c r="M11" s="143">
        <f t="shared" si="0"/>
        <v>45000</v>
      </c>
      <c r="O11" s="77">
        <f>ROUND(+M11*0.025,2)</f>
        <v>1125</v>
      </c>
    </row>
    <row r="12" spans="1:15" ht="15.75" x14ac:dyDescent="0.25">
      <c r="A12" s="57"/>
      <c r="B12" s="57"/>
      <c r="C12" s="144">
        <f t="shared" si="1"/>
        <v>7</v>
      </c>
      <c r="D12" s="14">
        <v>2</v>
      </c>
      <c r="E12" s="14">
        <v>40</v>
      </c>
      <c r="F12" s="60"/>
      <c r="G12" s="60"/>
      <c r="H12" s="145"/>
      <c r="I12" s="145"/>
      <c r="J12" s="142"/>
      <c r="K12" s="142"/>
      <c r="L12" s="143">
        <f t="shared" si="0"/>
        <v>2</v>
      </c>
      <c r="M12" s="143">
        <f t="shared" si="0"/>
        <v>40</v>
      </c>
    </row>
    <row r="13" spans="1:15" ht="15.75" x14ac:dyDescent="0.25">
      <c r="A13" s="57"/>
      <c r="B13" s="57"/>
      <c r="C13" s="144">
        <f t="shared" si="1"/>
        <v>8</v>
      </c>
      <c r="D13" s="14">
        <v>269.5</v>
      </c>
      <c r="E13" s="14">
        <v>9301.01</v>
      </c>
      <c r="F13" s="60">
        <v>323.5</v>
      </c>
      <c r="G13" s="60">
        <v>10966.19</v>
      </c>
      <c r="H13" s="14">
        <v>433.25</v>
      </c>
      <c r="I13" s="14">
        <v>14838.25</v>
      </c>
      <c r="J13" s="142">
        <v>432</v>
      </c>
      <c r="K13" s="142">
        <v>14561.38</v>
      </c>
      <c r="L13" s="143">
        <f t="shared" si="0"/>
        <v>1458.25</v>
      </c>
      <c r="M13" s="143">
        <f t="shared" si="0"/>
        <v>49666.829999999994</v>
      </c>
      <c r="N13" s="77">
        <f>ROUND(+M13*0.025,2)</f>
        <v>1241.67</v>
      </c>
    </row>
    <row r="14" spans="1:15" ht="15.75" x14ac:dyDescent="0.25">
      <c r="A14" s="57"/>
      <c r="B14" s="57"/>
      <c r="C14" s="144">
        <f t="shared" si="1"/>
        <v>9</v>
      </c>
      <c r="D14" s="14">
        <v>57.75</v>
      </c>
      <c r="E14" s="14">
        <v>1057.5</v>
      </c>
      <c r="F14" s="147"/>
      <c r="G14" s="147"/>
      <c r="H14" s="145"/>
      <c r="I14" s="145"/>
      <c r="J14" s="142"/>
      <c r="K14" s="142"/>
      <c r="L14" s="143">
        <f t="shared" si="0"/>
        <v>57.75</v>
      </c>
      <c r="M14" s="143">
        <f t="shared" si="0"/>
        <v>1057.5</v>
      </c>
    </row>
    <row r="15" spans="1:15" ht="15.75" x14ac:dyDescent="0.25">
      <c r="A15" s="148"/>
      <c r="B15" s="148"/>
      <c r="C15" s="144">
        <f t="shared" si="1"/>
        <v>10</v>
      </c>
      <c r="D15" s="149"/>
      <c r="E15" s="149"/>
      <c r="F15" s="60">
        <v>2</v>
      </c>
      <c r="G15" s="60">
        <v>64.2</v>
      </c>
      <c r="H15" s="14"/>
      <c r="I15" s="14"/>
      <c r="J15" s="142">
        <v>6</v>
      </c>
      <c r="K15" s="142">
        <v>192.6</v>
      </c>
      <c r="L15" s="143">
        <f t="shared" si="0"/>
        <v>8</v>
      </c>
      <c r="M15" s="143">
        <f t="shared" si="0"/>
        <v>256.8</v>
      </c>
      <c r="N15" s="77">
        <f>ROUND(+M15*0.025,2)</f>
        <v>6.42</v>
      </c>
    </row>
    <row r="16" spans="1:15" ht="15.75" x14ac:dyDescent="0.25">
      <c r="A16" s="57"/>
      <c r="B16" s="57"/>
      <c r="C16" s="144">
        <f t="shared" si="1"/>
        <v>11</v>
      </c>
      <c r="D16" s="14">
        <v>91.5</v>
      </c>
      <c r="E16" s="14">
        <v>3106.76</v>
      </c>
      <c r="F16" s="60">
        <v>2</v>
      </c>
      <c r="G16" s="60">
        <v>58.34</v>
      </c>
      <c r="H16" s="14"/>
      <c r="I16" s="14"/>
      <c r="J16" s="142"/>
      <c r="K16" s="142"/>
      <c r="L16" s="143">
        <f t="shared" si="0"/>
        <v>93.5</v>
      </c>
      <c r="M16" s="143">
        <f t="shared" si="0"/>
        <v>3165.1000000000004</v>
      </c>
    </row>
    <row r="17" spans="1:15" ht="15.75" x14ac:dyDescent="0.25">
      <c r="A17" s="57"/>
      <c r="B17" s="57"/>
      <c r="C17" s="144">
        <f t="shared" si="1"/>
        <v>12</v>
      </c>
      <c r="D17" s="14">
        <v>595</v>
      </c>
      <c r="E17" s="14">
        <v>9157.51</v>
      </c>
      <c r="F17" s="60">
        <v>568.5</v>
      </c>
      <c r="G17" s="60">
        <v>8761.8799999999992</v>
      </c>
      <c r="H17" s="14">
        <v>575.02</v>
      </c>
      <c r="I17" s="14">
        <v>8749.0499999999993</v>
      </c>
      <c r="J17" s="142">
        <v>553.75</v>
      </c>
      <c r="K17" s="142">
        <v>10158.129999999999</v>
      </c>
      <c r="L17" s="143">
        <f t="shared" si="0"/>
        <v>2292.27</v>
      </c>
      <c r="M17" s="143">
        <f t="shared" si="0"/>
        <v>36826.57</v>
      </c>
      <c r="N17" s="77">
        <f>ROUND(+M17*0.025,2)</f>
        <v>920.66</v>
      </c>
    </row>
    <row r="18" spans="1:15" ht="15.75" x14ac:dyDescent="0.25">
      <c r="A18" s="57"/>
      <c r="B18" s="57"/>
      <c r="C18" s="144">
        <f t="shared" si="1"/>
        <v>13</v>
      </c>
      <c r="D18" s="14"/>
      <c r="E18" s="14"/>
      <c r="F18" s="60"/>
      <c r="G18" s="60"/>
      <c r="H18" s="14">
        <v>202.25</v>
      </c>
      <c r="I18" s="14">
        <v>5467.06</v>
      </c>
      <c r="J18" s="142">
        <v>315</v>
      </c>
      <c r="K18" s="142">
        <v>8831</v>
      </c>
      <c r="L18" s="143">
        <f t="shared" si="0"/>
        <v>517.25</v>
      </c>
      <c r="M18" s="143">
        <f t="shared" si="0"/>
        <v>14298.060000000001</v>
      </c>
    </row>
    <row r="19" spans="1:15" ht="15.75" x14ac:dyDescent="0.25">
      <c r="A19" s="57"/>
      <c r="B19" s="57"/>
      <c r="C19" s="144">
        <f t="shared" si="1"/>
        <v>14</v>
      </c>
      <c r="D19" s="14">
        <v>490.95</v>
      </c>
      <c r="E19" s="14">
        <v>13757.94</v>
      </c>
      <c r="F19" s="60">
        <v>486.7</v>
      </c>
      <c r="G19" s="60">
        <v>13347.36</v>
      </c>
      <c r="H19" s="14">
        <v>533</v>
      </c>
      <c r="I19" s="14">
        <v>14675.34</v>
      </c>
      <c r="J19" s="142">
        <v>458.4</v>
      </c>
      <c r="K19" s="142">
        <v>12439.67</v>
      </c>
      <c r="L19" s="143">
        <f t="shared" si="0"/>
        <v>1969.0500000000002</v>
      </c>
      <c r="M19" s="143">
        <f t="shared" si="0"/>
        <v>54220.31</v>
      </c>
      <c r="N19" s="77">
        <f>ROUND(+M19*0.025,2)</f>
        <v>1355.51</v>
      </c>
    </row>
    <row r="20" spans="1:15" ht="15.75" x14ac:dyDescent="0.25">
      <c r="A20" s="57"/>
      <c r="B20" s="57"/>
      <c r="C20" s="144">
        <f t="shared" si="1"/>
        <v>15</v>
      </c>
      <c r="D20" s="14"/>
      <c r="E20" s="14"/>
      <c r="F20" s="60"/>
      <c r="G20" s="60"/>
      <c r="H20" s="14">
        <v>16</v>
      </c>
      <c r="I20" s="14">
        <v>288</v>
      </c>
      <c r="J20" s="142">
        <v>602</v>
      </c>
      <c r="K20" s="142">
        <v>11209.5</v>
      </c>
      <c r="L20" s="143">
        <f t="shared" si="0"/>
        <v>618</v>
      </c>
      <c r="M20" s="143">
        <f t="shared" si="0"/>
        <v>11497.5</v>
      </c>
      <c r="N20" s="77">
        <f>ROUND(+M20*0.025,2)</f>
        <v>287.44</v>
      </c>
    </row>
    <row r="21" spans="1:15" ht="15.75" x14ac:dyDescent="0.25">
      <c r="A21" s="57"/>
      <c r="B21" s="57"/>
      <c r="C21" s="144">
        <f t="shared" si="1"/>
        <v>16</v>
      </c>
      <c r="D21" s="14">
        <v>480</v>
      </c>
      <c r="E21" s="14">
        <v>18360</v>
      </c>
      <c r="F21" s="60">
        <v>480</v>
      </c>
      <c r="G21" s="60">
        <v>18360</v>
      </c>
      <c r="H21" s="14">
        <v>480</v>
      </c>
      <c r="I21" s="14">
        <v>18360</v>
      </c>
      <c r="J21" s="142">
        <v>480</v>
      </c>
      <c r="K21" s="142">
        <v>18360</v>
      </c>
      <c r="L21" s="143">
        <f t="shared" si="0"/>
        <v>1920</v>
      </c>
      <c r="M21" s="143">
        <f t="shared" si="0"/>
        <v>73440</v>
      </c>
      <c r="O21" s="77">
        <f>ROUND(+M21*0.025,2)</f>
        <v>1836</v>
      </c>
    </row>
    <row r="22" spans="1:15" ht="15.75" x14ac:dyDescent="0.25">
      <c r="A22" s="57"/>
      <c r="B22" s="57"/>
      <c r="C22" s="144">
        <f t="shared" si="1"/>
        <v>17</v>
      </c>
      <c r="D22" s="14">
        <v>582.5</v>
      </c>
      <c r="E22" s="14">
        <v>20686.62</v>
      </c>
      <c r="F22" s="60">
        <v>633.75</v>
      </c>
      <c r="G22" s="60">
        <v>22134.51</v>
      </c>
      <c r="H22" s="14">
        <v>668.17</v>
      </c>
      <c r="I22" s="14">
        <v>23328.2</v>
      </c>
      <c r="J22" s="142">
        <v>638.25</v>
      </c>
      <c r="K22" s="142">
        <v>22312.25</v>
      </c>
      <c r="L22" s="143">
        <f t="shared" si="0"/>
        <v>2522.67</v>
      </c>
      <c r="M22" s="143">
        <f t="shared" si="0"/>
        <v>88461.58</v>
      </c>
      <c r="N22" s="77">
        <f>ROUND(+M22*0.025,2)</f>
        <v>2211.54</v>
      </c>
    </row>
    <row r="23" spans="1:15" ht="15.75" x14ac:dyDescent="0.25">
      <c r="A23" s="57"/>
      <c r="B23" s="57"/>
      <c r="C23" s="144">
        <f t="shared" si="1"/>
        <v>18</v>
      </c>
      <c r="D23" s="14">
        <v>257</v>
      </c>
      <c r="E23" s="14">
        <v>8111.25</v>
      </c>
      <c r="F23" s="60">
        <v>755.75</v>
      </c>
      <c r="G23" s="60">
        <v>21942.880000000001</v>
      </c>
      <c r="H23" s="14">
        <v>715</v>
      </c>
      <c r="I23" s="14">
        <v>18416.400000000001</v>
      </c>
      <c r="J23" s="150">
        <v>643.75</v>
      </c>
      <c r="K23" s="150">
        <v>15978.39</v>
      </c>
      <c r="L23" s="143">
        <f t="shared" si="0"/>
        <v>2371.5</v>
      </c>
      <c r="M23" s="143">
        <f t="shared" si="0"/>
        <v>64448.92</v>
      </c>
    </row>
    <row r="24" spans="1:15" ht="15.75" x14ac:dyDescent="0.25">
      <c r="A24" s="57"/>
      <c r="B24" s="57"/>
      <c r="C24" s="144">
        <f t="shared" si="1"/>
        <v>19</v>
      </c>
      <c r="D24" s="151">
        <f>80+80</f>
        <v>160</v>
      </c>
      <c r="E24" s="151">
        <v>7679.52</v>
      </c>
      <c r="F24" s="148">
        <v>480</v>
      </c>
      <c r="G24" s="148">
        <v>23038.560000000001</v>
      </c>
      <c r="H24" s="151">
        <v>480</v>
      </c>
      <c r="I24" s="151">
        <v>23038.560000000001</v>
      </c>
      <c r="J24" s="152">
        <v>480</v>
      </c>
      <c r="K24" s="150">
        <v>23038.560000000001</v>
      </c>
      <c r="L24" s="143">
        <f t="shared" si="0"/>
        <v>1600</v>
      </c>
      <c r="M24" s="143">
        <f t="shared" si="0"/>
        <v>76795.199999999997</v>
      </c>
    </row>
    <row r="25" spans="1:15" ht="15.75" x14ac:dyDescent="0.25">
      <c r="A25" s="57"/>
      <c r="B25" s="57"/>
      <c r="C25" s="144">
        <f t="shared" si="1"/>
        <v>20</v>
      </c>
      <c r="D25" s="14">
        <v>16.5</v>
      </c>
      <c r="E25" s="14">
        <v>849.75</v>
      </c>
      <c r="F25" s="60">
        <v>200.75</v>
      </c>
      <c r="G25" s="60">
        <v>9038.26</v>
      </c>
      <c r="H25" s="14">
        <v>141</v>
      </c>
      <c r="I25" s="14">
        <v>6092.45</v>
      </c>
      <c r="J25" s="150">
        <v>139</v>
      </c>
      <c r="K25" s="150">
        <v>5881.3</v>
      </c>
      <c r="L25" s="143">
        <f t="shared" si="0"/>
        <v>497.25</v>
      </c>
      <c r="M25" s="143">
        <f t="shared" si="0"/>
        <v>21861.759999999998</v>
      </c>
    </row>
    <row r="26" spans="1:15" ht="15.75" x14ac:dyDescent="0.25">
      <c r="A26" s="57"/>
      <c r="B26" s="57"/>
      <c r="C26" s="144">
        <f t="shared" si="1"/>
        <v>21</v>
      </c>
      <c r="D26" s="14">
        <v>360</v>
      </c>
      <c r="E26" s="14">
        <v>10296</v>
      </c>
      <c r="F26" s="60">
        <v>360</v>
      </c>
      <c r="G26" s="60">
        <v>10296</v>
      </c>
      <c r="H26" s="14">
        <v>360</v>
      </c>
      <c r="I26" s="14">
        <v>10296</v>
      </c>
      <c r="J26" s="150">
        <v>360</v>
      </c>
      <c r="K26" s="150">
        <v>10296</v>
      </c>
      <c r="L26" s="143">
        <f t="shared" si="0"/>
        <v>1440</v>
      </c>
      <c r="M26" s="143">
        <f t="shared" si="0"/>
        <v>41184</v>
      </c>
    </row>
    <row r="27" spans="1:15" ht="15.75" x14ac:dyDescent="0.25">
      <c r="A27" s="57"/>
      <c r="B27" s="57"/>
      <c r="C27" s="144">
        <f t="shared" si="1"/>
        <v>22</v>
      </c>
      <c r="D27" s="14">
        <v>480</v>
      </c>
      <c r="E27" s="14">
        <v>10206.120000000001</v>
      </c>
      <c r="F27" s="60">
        <v>480</v>
      </c>
      <c r="G27" s="60">
        <v>10206.120000000001</v>
      </c>
      <c r="H27" s="14">
        <v>480</v>
      </c>
      <c r="I27" s="14">
        <v>10206.120000000001</v>
      </c>
      <c r="J27" s="150">
        <v>360</v>
      </c>
      <c r="K27" s="150">
        <v>10206.120000000001</v>
      </c>
      <c r="L27" s="143">
        <f t="shared" si="0"/>
        <v>1800</v>
      </c>
      <c r="M27" s="143">
        <f t="shared" si="0"/>
        <v>40824.480000000003</v>
      </c>
      <c r="O27" s="77">
        <f>ROUND(+M27*0.025,2)</f>
        <v>1020.61</v>
      </c>
    </row>
    <row r="28" spans="1:15" ht="15.75" x14ac:dyDescent="0.25">
      <c r="A28" s="57"/>
      <c r="B28" s="57"/>
      <c r="C28" s="144">
        <f t="shared" si="1"/>
        <v>23</v>
      </c>
      <c r="D28" s="14">
        <v>120</v>
      </c>
      <c r="E28" s="14">
        <v>1693.2</v>
      </c>
      <c r="F28" s="60">
        <v>120</v>
      </c>
      <c r="G28" s="60">
        <v>1693.2</v>
      </c>
      <c r="H28" s="14">
        <v>120</v>
      </c>
      <c r="I28" s="14">
        <v>1693.2</v>
      </c>
      <c r="J28" s="150">
        <v>120</v>
      </c>
      <c r="K28" s="150">
        <v>1693.2</v>
      </c>
      <c r="L28" s="143">
        <f t="shared" si="0"/>
        <v>480</v>
      </c>
      <c r="M28" s="143">
        <f t="shared" si="0"/>
        <v>6772.8</v>
      </c>
    </row>
    <row r="29" spans="1:15" ht="15.75" x14ac:dyDescent="0.25">
      <c r="A29" s="57"/>
      <c r="B29" s="57"/>
      <c r="C29" s="144">
        <f t="shared" si="1"/>
        <v>24</v>
      </c>
      <c r="D29" s="14">
        <v>528</v>
      </c>
      <c r="E29" s="14">
        <v>16260</v>
      </c>
      <c r="F29" s="60">
        <v>528</v>
      </c>
      <c r="G29" s="60">
        <v>16260</v>
      </c>
      <c r="H29" s="14">
        <v>528</v>
      </c>
      <c r="I29" s="14">
        <v>16260</v>
      </c>
      <c r="J29" s="150">
        <v>528</v>
      </c>
      <c r="K29" s="150">
        <v>16260</v>
      </c>
      <c r="L29" s="143">
        <f t="shared" si="0"/>
        <v>2112</v>
      </c>
      <c r="M29" s="143">
        <f t="shared" si="0"/>
        <v>65040</v>
      </c>
    </row>
    <row r="30" spans="1:15" ht="15.75" x14ac:dyDescent="0.25">
      <c r="A30" s="57"/>
      <c r="B30" s="57"/>
      <c r="C30" s="144">
        <f t="shared" si="1"/>
        <v>25</v>
      </c>
      <c r="D30" s="14"/>
      <c r="E30" s="14"/>
      <c r="F30" s="60"/>
      <c r="G30" s="60"/>
      <c r="H30" s="14"/>
      <c r="I30" s="14"/>
      <c r="J30" s="150">
        <v>433</v>
      </c>
      <c r="K30" s="150">
        <v>11724.75</v>
      </c>
      <c r="L30" s="143">
        <f t="shared" si="0"/>
        <v>433</v>
      </c>
      <c r="M30" s="143">
        <f t="shared" si="0"/>
        <v>11724.75</v>
      </c>
      <c r="N30" s="77">
        <f>ROUND(+M30*0.025,2)</f>
        <v>293.12</v>
      </c>
    </row>
    <row r="31" spans="1:15" ht="15.75" x14ac:dyDescent="0.25">
      <c r="A31" s="57"/>
      <c r="B31" s="57"/>
      <c r="C31" s="144">
        <f t="shared" si="1"/>
        <v>26</v>
      </c>
      <c r="D31" s="14">
        <v>164</v>
      </c>
      <c r="E31" s="14">
        <v>5400.83</v>
      </c>
      <c r="F31" s="60">
        <v>12.75</v>
      </c>
      <c r="G31" s="60">
        <v>409.28</v>
      </c>
      <c r="H31" s="14">
        <v>125.03</v>
      </c>
      <c r="I31" s="14">
        <v>4045.56</v>
      </c>
      <c r="J31" s="150">
        <v>123.25</v>
      </c>
      <c r="K31" s="150">
        <v>4084.74</v>
      </c>
      <c r="L31" s="143">
        <f t="shared" si="0"/>
        <v>425.03</v>
      </c>
      <c r="M31" s="143">
        <f t="shared" si="0"/>
        <v>13940.41</v>
      </c>
      <c r="N31" s="77">
        <f t="shared" ref="N31:N35" si="2">ROUND(+M31*0.025,2)</f>
        <v>348.51</v>
      </c>
    </row>
    <row r="32" spans="1:15" ht="15.75" x14ac:dyDescent="0.25">
      <c r="A32" s="57"/>
      <c r="B32" s="57"/>
      <c r="C32" s="144">
        <f t="shared" si="1"/>
        <v>27</v>
      </c>
      <c r="D32" s="14">
        <v>23.25</v>
      </c>
      <c r="E32" s="14">
        <v>866.75</v>
      </c>
      <c r="F32" s="60"/>
      <c r="G32" s="60"/>
      <c r="H32" s="14">
        <v>259.75</v>
      </c>
      <c r="I32" s="14">
        <v>9709.32</v>
      </c>
      <c r="J32" s="150">
        <v>144.75</v>
      </c>
      <c r="K32" s="150">
        <v>5270.52</v>
      </c>
      <c r="L32" s="143">
        <f t="shared" si="0"/>
        <v>427.75</v>
      </c>
      <c r="M32" s="143">
        <f t="shared" si="0"/>
        <v>15846.59</v>
      </c>
      <c r="N32" s="77">
        <f t="shared" si="2"/>
        <v>396.16</v>
      </c>
    </row>
    <row r="33" spans="1:15" ht="15.75" x14ac:dyDescent="0.25">
      <c r="A33" s="57"/>
      <c r="B33" s="57"/>
      <c r="C33" s="144">
        <f t="shared" si="1"/>
        <v>28</v>
      </c>
      <c r="D33" s="14">
        <v>19.75</v>
      </c>
      <c r="E33" s="14">
        <v>670.1</v>
      </c>
      <c r="F33" s="60">
        <v>108.5</v>
      </c>
      <c r="G33" s="60">
        <v>3599.23</v>
      </c>
      <c r="H33" s="14">
        <v>72</v>
      </c>
      <c r="I33" s="14">
        <v>2367.38</v>
      </c>
      <c r="J33" s="150">
        <v>235.75</v>
      </c>
      <c r="K33" s="150">
        <v>7776.25</v>
      </c>
      <c r="L33" s="143">
        <f t="shared" si="0"/>
        <v>436</v>
      </c>
      <c r="M33" s="143">
        <f t="shared" si="0"/>
        <v>14412.96</v>
      </c>
      <c r="N33" s="77">
        <f t="shared" si="2"/>
        <v>360.32</v>
      </c>
    </row>
    <row r="34" spans="1:15" ht="15.75" x14ac:dyDescent="0.25">
      <c r="A34" s="57"/>
      <c r="B34" s="57"/>
      <c r="C34" s="144">
        <f t="shared" si="1"/>
        <v>29</v>
      </c>
      <c r="D34" s="14">
        <v>480</v>
      </c>
      <c r="E34" s="14">
        <v>23082.63</v>
      </c>
      <c r="F34" s="60">
        <v>485.75</v>
      </c>
      <c r="G34" s="60">
        <v>23347.29</v>
      </c>
      <c r="H34" s="14">
        <v>487.25</v>
      </c>
      <c r="I34" s="14">
        <v>26951.48</v>
      </c>
      <c r="J34" s="150">
        <v>484</v>
      </c>
      <c r="K34" s="150">
        <v>23308.04</v>
      </c>
      <c r="L34" s="143">
        <f t="shared" si="0"/>
        <v>1937</v>
      </c>
      <c r="M34" s="143">
        <f t="shared" si="0"/>
        <v>96689.44</v>
      </c>
      <c r="N34" s="77">
        <f t="shared" si="2"/>
        <v>2417.2399999999998</v>
      </c>
    </row>
    <row r="35" spans="1:15" ht="15.75" x14ac:dyDescent="0.25">
      <c r="A35" s="57"/>
      <c r="B35" s="57"/>
      <c r="C35" s="144">
        <f t="shared" si="1"/>
        <v>30</v>
      </c>
      <c r="D35" s="14">
        <v>497.5</v>
      </c>
      <c r="E35" s="14">
        <v>17439.71</v>
      </c>
      <c r="F35" s="60">
        <v>579.4</v>
      </c>
      <c r="G35" s="60">
        <v>20301.669999999998</v>
      </c>
      <c r="H35" s="14">
        <v>531.19000000000005</v>
      </c>
      <c r="I35" s="14">
        <v>18530.05</v>
      </c>
      <c r="J35" s="150">
        <v>559.25</v>
      </c>
      <c r="K35" s="150">
        <v>19563.86</v>
      </c>
      <c r="L35" s="143">
        <f t="shared" si="0"/>
        <v>2167.34</v>
      </c>
      <c r="M35" s="143">
        <f t="shared" si="0"/>
        <v>75835.289999999994</v>
      </c>
      <c r="N35" s="77">
        <f t="shared" si="2"/>
        <v>1895.88</v>
      </c>
    </row>
    <row r="36" spans="1:15" ht="15.75" x14ac:dyDescent="0.25">
      <c r="A36" s="57"/>
      <c r="B36" s="57"/>
      <c r="C36" s="144">
        <f t="shared" si="1"/>
        <v>31</v>
      </c>
      <c r="D36" s="14">
        <v>480</v>
      </c>
      <c r="E36" s="14">
        <v>18742.5</v>
      </c>
      <c r="F36" s="60">
        <v>480</v>
      </c>
      <c r="G36" s="60">
        <v>18742.5</v>
      </c>
      <c r="H36" s="14">
        <v>480</v>
      </c>
      <c r="I36" s="14">
        <v>18742.5</v>
      </c>
      <c r="J36" s="150">
        <v>480</v>
      </c>
      <c r="K36" s="150">
        <v>18742.5</v>
      </c>
      <c r="L36" s="143">
        <f t="shared" si="0"/>
        <v>1920</v>
      </c>
      <c r="M36" s="143">
        <f t="shared" si="0"/>
        <v>74970</v>
      </c>
      <c r="O36" s="77">
        <f>ROUND(+M36*0.025,2)</f>
        <v>1874.25</v>
      </c>
    </row>
    <row r="37" spans="1:15" ht="15.75" x14ac:dyDescent="0.25">
      <c r="A37" s="57"/>
      <c r="B37" s="57"/>
      <c r="C37" s="144">
        <f t="shared" si="1"/>
        <v>32</v>
      </c>
      <c r="D37" s="14">
        <v>480</v>
      </c>
      <c r="E37" s="14">
        <v>20000.04</v>
      </c>
      <c r="F37" s="60">
        <v>480</v>
      </c>
      <c r="G37" s="60">
        <v>20000.04</v>
      </c>
      <c r="H37" s="14">
        <v>480</v>
      </c>
      <c r="I37" s="14">
        <v>20000.04</v>
      </c>
      <c r="J37" s="150">
        <v>480</v>
      </c>
      <c r="K37" s="150">
        <v>20000.04</v>
      </c>
      <c r="L37" s="143">
        <f t="shared" si="0"/>
        <v>1920</v>
      </c>
      <c r="M37" s="143">
        <f t="shared" si="0"/>
        <v>80000.160000000003</v>
      </c>
      <c r="O37" s="77">
        <f>ROUND(+M37*0.025,2)</f>
        <v>2000</v>
      </c>
    </row>
    <row r="38" spans="1:15" ht="15.75" x14ac:dyDescent="0.25">
      <c r="A38" s="57"/>
      <c r="B38" s="57"/>
      <c r="C38" s="144">
        <f t="shared" si="1"/>
        <v>33</v>
      </c>
      <c r="D38" s="14">
        <v>240</v>
      </c>
      <c r="E38" s="14">
        <v>4030</v>
      </c>
      <c r="F38" s="60">
        <v>480</v>
      </c>
      <c r="G38" s="60">
        <v>12345</v>
      </c>
      <c r="H38" s="14">
        <v>80</v>
      </c>
      <c r="I38" s="14">
        <v>2165</v>
      </c>
      <c r="J38" s="150">
        <v>309.5</v>
      </c>
      <c r="K38" s="150">
        <v>12131.14</v>
      </c>
      <c r="L38" s="143">
        <f t="shared" ref="L38:M66" si="3">+D38+F38+H38+J38</f>
        <v>1109.5</v>
      </c>
      <c r="M38" s="143">
        <f t="shared" si="3"/>
        <v>30671.14</v>
      </c>
    </row>
    <row r="39" spans="1:15" ht="15.75" x14ac:dyDescent="0.25">
      <c r="A39" s="57"/>
      <c r="B39" s="57"/>
      <c r="C39" s="144">
        <f t="shared" si="1"/>
        <v>34</v>
      </c>
      <c r="D39" s="14">
        <v>480</v>
      </c>
      <c r="E39" s="14">
        <v>17072.28</v>
      </c>
      <c r="F39" s="60">
        <v>480</v>
      </c>
      <c r="G39" s="60">
        <v>17072.28</v>
      </c>
      <c r="H39" s="14">
        <v>480</v>
      </c>
      <c r="I39" s="14">
        <v>17072.28</v>
      </c>
      <c r="J39" s="150"/>
      <c r="K39" s="150"/>
      <c r="L39" s="143">
        <f t="shared" si="3"/>
        <v>1440</v>
      </c>
      <c r="M39" s="143">
        <f t="shared" si="3"/>
        <v>51216.84</v>
      </c>
      <c r="N39" s="77">
        <f>ROUND(+M39*0.025,2)</f>
        <v>1280.42</v>
      </c>
    </row>
    <row r="40" spans="1:15" ht="15.75" x14ac:dyDescent="0.25">
      <c r="A40" s="57"/>
      <c r="B40" s="57"/>
      <c r="C40" s="144">
        <f t="shared" si="1"/>
        <v>35</v>
      </c>
      <c r="D40" s="14">
        <v>537.25</v>
      </c>
      <c r="E40" s="14">
        <v>11125.65</v>
      </c>
      <c r="F40" s="60">
        <v>546.5</v>
      </c>
      <c r="G40" s="60">
        <v>11010.9</v>
      </c>
      <c r="H40" s="14">
        <v>510.75</v>
      </c>
      <c r="I40" s="14">
        <v>10475.4</v>
      </c>
      <c r="J40" s="150">
        <v>529.75</v>
      </c>
      <c r="K40" s="150">
        <v>10735.5</v>
      </c>
      <c r="L40" s="143">
        <f t="shared" si="3"/>
        <v>2124.25</v>
      </c>
      <c r="M40" s="143">
        <f t="shared" si="3"/>
        <v>43347.45</v>
      </c>
    </row>
    <row r="41" spans="1:15" ht="15.75" x14ac:dyDescent="0.25">
      <c r="A41" s="57"/>
      <c r="B41" s="57"/>
      <c r="C41" s="144">
        <f t="shared" si="1"/>
        <v>36</v>
      </c>
      <c r="D41" s="14">
        <v>532</v>
      </c>
      <c r="E41" s="14">
        <v>13760.46</v>
      </c>
      <c r="F41" s="60">
        <v>511.25</v>
      </c>
      <c r="G41" s="60">
        <v>12969.95</v>
      </c>
      <c r="H41" s="14">
        <v>536.25</v>
      </c>
      <c r="I41" s="14">
        <v>13977.21</v>
      </c>
      <c r="J41" s="150">
        <v>570</v>
      </c>
      <c r="K41" s="150">
        <v>14656.14</v>
      </c>
      <c r="L41" s="143">
        <f t="shared" si="3"/>
        <v>2149.5</v>
      </c>
      <c r="M41" s="143">
        <f t="shared" si="3"/>
        <v>55363.759999999995</v>
      </c>
      <c r="N41" s="77">
        <f>ROUND(+M41*0.025,2)</f>
        <v>1384.09</v>
      </c>
    </row>
    <row r="42" spans="1:15" ht="15.75" x14ac:dyDescent="0.25">
      <c r="A42" s="57"/>
      <c r="B42" s="57"/>
      <c r="C42" s="144">
        <f t="shared" si="1"/>
        <v>37</v>
      </c>
      <c r="D42" s="14">
        <v>148.75</v>
      </c>
      <c r="E42" s="14">
        <v>3976.6</v>
      </c>
      <c r="F42" s="60">
        <v>293.5</v>
      </c>
      <c r="G42" s="60">
        <v>7923.61</v>
      </c>
      <c r="H42" s="14">
        <v>72.25</v>
      </c>
      <c r="I42" s="14">
        <v>1914.42</v>
      </c>
      <c r="J42" s="150">
        <v>216.5</v>
      </c>
      <c r="K42" s="150">
        <v>5739.98</v>
      </c>
      <c r="L42" s="143">
        <f t="shared" si="3"/>
        <v>731</v>
      </c>
      <c r="M42" s="143">
        <f t="shared" si="3"/>
        <v>19554.61</v>
      </c>
      <c r="N42" s="77">
        <f t="shared" ref="N42:N44" si="4">ROUND(+M42*0.025,2)</f>
        <v>488.87</v>
      </c>
    </row>
    <row r="43" spans="1:15" ht="15.75" x14ac:dyDescent="0.25">
      <c r="A43" s="57"/>
      <c r="B43" s="57"/>
      <c r="C43" s="144">
        <f t="shared" si="1"/>
        <v>38</v>
      </c>
      <c r="D43" s="14">
        <v>480</v>
      </c>
      <c r="E43" s="14">
        <v>18765.5</v>
      </c>
      <c r="F43" s="60">
        <v>480</v>
      </c>
      <c r="G43" s="60">
        <v>10104.5</v>
      </c>
      <c r="H43" s="14">
        <v>480</v>
      </c>
      <c r="I43" s="14">
        <v>12991.5</v>
      </c>
      <c r="J43" s="150">
        <v>14</v>
      </c>
      <c r="K43" s="150">
        <v>23344.04</v>
      </c>
      <c r="L43" s="143">
        <f t="shared" si="3"/>
        <v>1454</v>
      </c>
      <c r="M43" s="143">
        <f t="shared" si="3"/>
        <v>65205.54</v>
      </c>
      <c r="N43" s="77">
        <f t="shared" si="4"/>
        <v>1630.14</v>
      </c>
    </row>
    <row r="44" spans="1:15" ht="15.75" x14ac:dyDescent="0.25">
      <c r="A44" s="57"/>
      <c r="B44" s="57"/>
      <c r="C44" s="144">
        <f t="shared" si="1"/>
        <v>39</v>
      </c>
      <c r="D44" s="14">
        <v>554.25</v>
      </c>
      <c r="E44" s="14">
        <v>10964.25</v>
      </c>
      <c r="F44" s="60">
        <v>513.5</v>
      </c>
      <c r="G44" s="60">
        <v>9987.99</v>
      </c>
      <c r="H44" s="14">
        <v>538.25</v>
      </c>
      <c r="I44" s="14">
        <v>10448.27</v>
      </c>
      <c r="J44" s="150">
        <v>555.75</v>
      </c>
      <c r="K44" s="150">
        <v>10702.62</v>
      </c>
      <c r="L44" s="143">
        <f t="shared" si="3"/>
        <v>2161.75</v>
      </c>
      <c r="M44" s="143">
        <f t="shared" si="3"/>
        <v>42103.13</v>
      </c>
      <c r="N44" s="77">
        <f t="shared" si="4"/>
        <v>1052.58</v>
      </c>
    </row>
    <row r="45" spans="1:15" ht="15.75" x14ac:dyDescent="0.25">
      <c r="A45" s="57"/>
      <c r="B45" s="57"/>
      <c r="C45" s="144">
        <f t="shared" si="1"/>
        <v>40</v>
      </c>
      <c r="D45" s="14">
        <v>480</v>
      </c>
      <c r="E45" s="14">
        <v>9450</v>
      </c>
      <c r="F45" s="60">
        <v>160</v>
      </c>
      <c r="G45" s="60">
        <v>3894.03</v>
      </c>
      <c r="H45" s="14"/>
      <c r="I45" s="14"/>
      <c r="J45" s="150"/>
      <c r="K45" s="150"/>
      <c r="L45" s="143">
        <f t="shared" si="3"/>
        <v>640</v>
      </c>
      <c r="M45" s="143">
        <f t="shared" si="3"/>
        <v>13344.03</v>
      </c>
    </row>
    <row r="46" spans="1:15" ht="15.75" x14ac:dyDescent="0.25">
      <c r="A46" s="57"/>
      <c r="B46" s="57"/>
      <c r="C46" s="144">
        <f t="shared" si="1"/>
        <v>41</v>
      </c>
      <c r="D46" s="14">
        <v>535.25</v>
      </c>
      <c r="E46" s="14">
        <v>10705</v>
      </c>
      <c r="F46" s="60">
        <v>420.25</v>
      </c>
      <c r="G46" s="60">
        <v>8645</v>
      </c>
      <c r="H46" s="14">
        <v>570.5</v>
      </c>
      <c r="I46" s="14">
        <v>12836.26</v>
      </c>
      <c r="J46" s="150">
        <v>603</v>
      </c>
      <c r="K46" s="150">
        <v>13567.51</v>
      </c>
      <c r="L46" s="143">
        <f t="shared" si="3"/>
        <v>2129</v>
      </c>
      <c r="M46" s="143">
        <f t="shared" si="3"/>
        <v>45753.770000000004</v>
      </c>
    </row>
    <row r="47" spans="1:15" ht="15.75" x14ac:dyDescent="0.25">
      <c r="A47" s="148"/>
      <c r="B47" s="57"/>
      <c r="C47" s="144">
        <f t="shared" si="1"/>
        <v>42</v>
      </c>
      <c r="D47" s="14"/>
      <c r="E47" s="14"/>
      <c r="F47" s="60">
        <v>3.75</v>
      </c>
      <c r="G47" s="60">
        <v>120.38</v>
      </c>
      <c r="H47" s="14"/>
      <c r="I47" s="14"/>
      <c r="J47" s="150"/>
      <c r="K47" s="150"/>
      <c r="L47" s="143">
        <f t="shared" si="3"/>
        <v>3.75</v>
      </c>
      <c r="M47" s="143">
        <f t="shared" si="3"/>
        <v>120.38</v>
      </c>
    </row>
    <row r="48" spans="1:15" ht="15.75" x14ac:dyDescent="0.25">
      <c r="A48" s="57"/>
      <c r="B48" s="57"/>
      <c r="C48" s="144">
        <f t="shared" si="1"/>
        <v>43</v>
      </c>
      <c r="D48" s="151">
        <v>509</v>
      </c>
      <c r="E48" s="151">
        <v>27265.5</v>
      </c>
      <c r="F48" s="148">
        <f>+'[1]Qtr 12-31-16'!F313</f>
        <v>522.25</v>
      </c>
      <c r="G48" s="60">
        <v>26020.36</v>
      </c>
      <c r="H48" s="14">
        <v>504</v>
      </c>
      <c r="I48" s="14">
        <v>25579.63</v>
      </c>
      <c r="J48" s="150">
        <v>500</v>
      </c>
      <c r="K48" s="150">
        <v>25483.040000000001</v>
      </c>
      <c r="L48" s="143">
        <f t="shared" si="3"/>
        <v>2035.25</v>
      </c>
      <c r="M48" s="143">
        <f t="shared" si="3"/>
        <v>104348.53</v>
      </c>
    </row>
    <row r="49" spans="1:14" ht="15.75" x14ac:dyDescent="0.25">
      <c r="A49" s="57"/>
      <c r="B49" s="57"/>
      <c r="C49" s="144">
        <f t="shared" si="1"/>
        <v>44</v>
      </c>
      <c r="D49" s="14">
        <v>519.20000000000005</v>
      </c>
      <c r="E49" s="14">
        <v>15201.49</v>
      </c>
      <c r="F49" s="60">
        <v>415.45</v>
      </c>
      <c r="G49" s="60">
        <v>12188.86</v>
      </c>
      <c r="H49" s="14">
        <v>36.1</v>
      </c>
      <c r="I49" s="14">
        <v>1042.21</v>
      </c>
      <c r="J49" s="150"/>
      <c r="K49" s="150"/>
      <c r="L49" s="143">
        <f t="shared" si="3"/>
        <v>970.75000000000011</v>
      </c>
      <c r="M49" s="143">
        <f t="shared" si="3"/>
        <v>28432.559999999998</v>
      </c>
    </row>
    <row r="50" spans="1:14" ht="15.75" x14ac:dyDescent="0.25">
      <c r="A50" s="57"/>
      <c r="B50" s="57"/>
      <c r="C50" s="144">
        <f t="shared" si="1"/>
        <v>45</v>
      </c>
      <c r="D50" s="14">
        <v>602.45000000000005</v>
      </c>
      <c r="E50" s="14">
        <v>12829.85</v>
      </c>
      <c r="F50" s="60">
        <v>500</v>
      </c>
      <c r="G50" s="60">
        <v>11117.2</v>
      </c>
      <c r="H50" s="14">
        <v>516.85</v>
      </c>
      <c r="I50" s="14">
        <v>11292.58</v>
      </c>
      <c r="J50" s="150">
        <v>471.5</v>
      </c>
      <c r="K50" s="150">
        <v>10429.09</v>
      </c>
      <c r="L50" s="143">
        <f t="shared" si="3"/>
        <v>2090.8000000000002</v>
      </c>
      <c r="M50" s="143">
        <f t="shared" si="3"/>
        <v>45668.72</v>
      </c>
    </row>
    <row r="51" spans="1:14" ht="15.75" x14ac:dyDescent="0.25">
      <c r="A51" s="57"/>
      <c r="B51" s="57"/>
      <c r="C51" s="144">
        <f t="shared" si="1"/>
        <v>46</v>
      </c>
      <c r="D51" s="151">
        <v>500.75</v>
      </c>
      <c r="E51" s="151">
        <v>25492.19</v>
      </c>
      <c r="F51" s="148">
        <v>519.75</v>
      </c>
      <c r="G51" s="148">
        <v>24109.91</v>
      </c>
      <c r="H51" s="151">
        <v>506.5</v>
      </c>
      <c r="I51" s="151">
        <v>37370.239999999998</v>
      </c>
      <c r="J51" s="152">
        <v>511</v>
      </c>
      <c r="K51" s="152">
        <v>30698.03</v>
      </c>
      <c r="L51" s="143">
        <f t="shared" si="3"/>
        <v>2038</v>
      </c>
      <c r="M51" s="143">
        <f t="shared" si="3"/>
        <v>117670.37</v>
      </c>
      <c r="N51" s="77">
        <f>ROUND(+M51*0.025,2)</f>
        <v>2941.76</v>
      </c>
    </row>
    <row r="52" spans="1:14" ht="15.75" x14ac:dyDescent="0.25">
      <c r="A52" s="57"/>
      <c r="B52" s="57"/>
      <c r="C52" s="144">
        <f t="shared" si="1"/>
        <v>47</v>
      </c>
      <c r="D52" s="14">
        <v>51.25</v>
      </c>
      <c r="E52" s="14">
        <v>795.61</v>
      </c>
      <c r="F52" s="60">
        <v>13.75</v>
      </c>
      <c r="G52" s="60">
        <v>210.38</v>
      </c>
      <c r="H52" s="14">
        <v>22</v>
      </c>
      <c r="I52" s="14">
        <v>336.6</v>
      </c>
      <c r="J52" s="150"/>
      <c r="K52" s="150"/>
      <c r="L52" s="143">
        <f t="shared" si="3"/>
        <v>87</v>
      </c>
      <c r="M52" s="143">
        <f t="shared" si="3"/>
        <v>1342.5900000000001</v>
      </c>
      <c r="N52" s="77">
        <f>ROUND(+M52*0.025,2)</f>
        <v>33.56</v>
      </c>
    </row>
    <row r="53" spans="1:14" ht="15.75" x14ac:dyDescent="0.25">
      <c r="A53" s="57"/>
      <c r="B53" s="57"/>
      <c r="C53" s="144">
        <f t="shared" si="1"/>
        <v>48</v>
      </c>
      <c r="D53" s="14">
        <v>480</v>
      </c>
      <c r="E53" s="14">
        <v>22012.5</v>
      </c>
      <c r="F53" s="60">
        <v>480</v>
      </c>
      <c r="G53" s="60">
        <v>22012.5</v>
      </c>
      <c r="H53" s="14">
        <v>480</v>
      </c>
      <c r="I53" s="14">
        <v>22012.5</v>
      </c>
      <c r="J53" s="152">
        <v>495</v>
      </c>
      <c r="K53" s="152">
        <v>26795.29</v>
      </c>
      <c r="L53" s="143">
        <f t="shared" si="3"/>
        <v>1935</v>
      </c>
      <c r="M53" s="143">
        <f t="shared" si="3"/>
        <v>92832.790000000008</v>
      </c>
      <c r="N53" s="77">
        <f>ROUND(+M53*0.025,2)</f>
        <v>2320.8200000000002</v>
      </c>
    </row>
    <row r="54" spans="1:14" ht="15.75" x14ac:dyDescent="0.25">
      <c r="A54" s="57"/>
      <c r="B54" s="57"/>
      <c r="C54" s="144">
        <f t="shared" si="1"/>
        <v>49</v>
      </c>
      <c r="D54" s="14">
        <v>571.25</v>
      </c>
      <c r="E54" s="14">
        <v>14037</v>
      </c>
      <c r="F54" s="60">
        <v>555</v>
      </c>
      <c r="G54" s="60">
        <v>13302</v>
      </c>
      <c r="H54" s="14">
        <v>53.25</v>
      </c>
      <c r="I54" s="14">
        <v>12555</v>
      </c>
      <c r="J54" s="150">
        <v>84</v>
      </c>
      <c r="K54" s="150">
        <v>2016</v>
      </c>
      <c r="L54" s="143">
        <f t="shared" si="3"/>
        <v>1263.5</v>
      </c>
      <c r="M54" s="143">
        <f t="shared" si="3"/>
        <v>41910</v>
      </c>
    </row>
    <row r="55" spans="1:14" ht="15.75" x14ac:dyDescent="0.25">
      <c r="A55" s="57"/>
      <c r="B55" s="57"/>
      <c r="C55" s="144">
        <f t="shared" si="1"/>
        <v>50</v>
      </c>
      <c r="D55" s="14">
        <v>480</v>
      </c>
      <c r="E55" s="14">
        <v>8500.02</v>
      </c>
      <c r="F55" s="60">
        <v>480</v>
      </c>
      <c r="G55" s="60">
        <v>8630.82</v>
      </c>
      <c r="H55" s="145"/>
      <c r="I55" s="145"/>
      <c r="J55" s="150"/>
      <c r="K55" s="150"/>
      <c r="L55" s="143">
        <f t="shared" si="3"/>
        <v>960</v>
      </c>
      <c r="M55" s="143">
        <f t="shared" si="3"/>
        <v>17130.84</v>
      </c>
    </row>
    <row r="56" spans="1:14" ht="15.75" x14ac:dyDescent="0.25">
      <c r="A56" s="57"/>
      <c r="B56" s="57"/>
      <c r="C56" s="144">
        <f t="shared" si="1"/>
        <v>51</v>
      </c>
      <c r="D56" s="14">
        <v>480</v>
      </c>
      <c r="E56" s="14">
        <v>17850.060000000001</v>
      </c>
      <c r="F56" s="60">
        <v>480</v>
      </c>
      <c r="G56" s="60">
        <v>17850.060000000001</v>
      </c>
      <c r="H56" s="14">
        <v>480</v>
      </c>
      <c r="I56" s="14">
        <v>17850.060000000001</v>
      </c>
      <c r="J56" s="150">
        <v>480</v>
      </c>
      <c r="K56" s="150">
        <v>18208.39</v>
      </c>
      <c r="L56" s="143">
        <f t="shared" si="3"/>
        <v>1920</v>
      </c>
      <c r="M56" s="143">
        <f t="shared" si="3"/>
        <v>71758.570000000007</v>
      </c>
      <c r="N56" s="77">
        <f>ROUND(+M56*0.025,2)</f>
        <v>1793.96</v>
      </c>
    </row>
    <row r="57" spans="1:14" ht="15.75" x14ac:dyDescent="0.25">
      <c r="A57" s="57"/>
      <c r="B57" s="57"/>
      <c r="C57" s="144">
        <f t="shared" si="1"/>
        <v>52</v>
      </c>
      <c r="D57" s="14">
        <v>390.75</v>
      </c>
      <c r="E57" s="14">
        <v>7078.76</v>
      </c>
      <c r="F57" s="60">
        <v>545.70000000000005</v>
      </c>
      <c r="G57" s="60">
        <v>10671.94</v>
      </c>
      <c r="H57" s="14">
        <v>549.19000000000005</v>
      </c>
      <c r="I57" s="14">
        <v>11338.8</v>
      </c>
      <c r="J57" s="150">
        <v>528.5</v>
      </c>
      <c r="K57" s="150">
        <v>10890</v>
      </c>
      <c r="L57" s="143">
        <f t="shared" si="3"/>
        <v>2014.14</v>
      </c>
      <c r="M57" s="143">
        <f t="shared" si="3"/>
        <v>39979.5</v>
      </c>
      <c r="N57" s="77">
        <f t="shared" ref="N57:N59" si="5">ROUND(+M57*0.025,2)</f>
        <v>999.49</v>
      </c>
    </row>
    <row r="58" spans="1:14" ht="15.75" x14ac:dyDescent="0.25">
      <c r="A58" s="57"/>
      <c r="B58" s="57"/>
      <c r="C58" s="144">
        <f t="shared" si="1"/>
        <v>53</v>
      </c>
      <c r="D58" s="14">
        <v>9.5</v>
      </c>
      <c r="E58" s="14">
        <v>217.99</v>
      </c>
      <c r="F58" s="60">
        <v>88</v>
      </c>
      <c r="G58" s="60">
        <v>2093.25</v>
      </c>
      <c r="H58" s="14">
        <v>51.5</v>
      </c>
      <c r="I58" s="14">
        <v>1126.68</v>
      </c>
      <c r="J58" s="150">
        <v>62.5</v>
      </c>
      <c r="K58" s="150">
        <v>1431.37</v>
      </c>
      <c r="L58" s="143">
        <f t="shared" si="3"/>
        <v>211.5</v>
      </c>
      <c r="M58" s="143">
        <f t="shared" si="3"/>
        <v>4869.29</v>
      </c>
      <c r="N58" s="77">
        <f t="shared" si="5"/>
        <v>121.73</v>
      </c>
    </row>
    <row r="59" spans="1:14" ht="15.75" x14ac:dyDescent="0.25">
      <c r="A59" s="57"/>
      <c r="B59" s="57"/>
      <c r="C59" s="144">
        <f t="shared" si="1"/>
        <v>54</v>
      </c>
      <c r="D59" s="14">
        <v>480</v>
      </c>
      <c r="E59" s="14">
        <v>8100</v>
      </c>
      <c r="F59" s="60">
        <v>480</v>
      </c>
      <c r="G59" s="60">
        <v>8550</v>
      </c>
      <c r="H59" s="14">
        <v>480</v>
      </c>
      <c r="I59" s="14">
        <v>9000</v>
      </c>
      <c r="J59" s="150">
        <v>480</v>
      </c>
      <c r="K59" s="150">
        <v>9000</v>
      </c>
      <c r="L59" s="143">
        <f t="shared" si="3"/>
        <v>1920</v>
      </c>
      <c r="M59" s="143">
        <f t="shared" si="3"/>
        <v>34650</v>
      </c>
      <c r="N59" s="77">
        <f t="shared" si="5"/>
        <v>866.25</v>
      </c>
    </row>
    <row r="60" spans="1:14" ht="15.75" x14ac:dyDescent="0.25">
      <c r="A60" s="57"/>
      <c r="B60" s="57"/>
      <c r="C60" s="144">
        <f t="shared" si="1"/>
        <v>55</v>
      </c>
      <c r="D60" s="14"/>
      <c r="E60" s="14"/>
      <c r="F60" s="60"/>
      <c r="G60" s="60"/>
      <c r="H60" s="14">
        <v>64.25</v>
      </c>
      <c r="I60" s="14">
        <v>1156.5</v>
      </c>
      <c r="J60" s="150">
        <v>530.75</v>
      </c>
      <c r="K60" s="150">
        <v>9618.75</v>
      </c>
      <c r="L60" s="143">
        <f t="shared" si="3"/>
        <v>595</v>
      </c>
      <c r="M60" s="143">
        <f t="shared" si="3"/>
        <v>10775.25</v>
      </c>
    </row>
    <row r="61" spans="1:14" ht="15.75" x14ac:dyDescent="0.25">
      <c r="A61" s="57"/>
      <c r="B61" s="57"/>
      <c r="C61" s="144">
        <f t="shared" si="1"/>
        <v>56</v>
      </c>
      <c r="D61" s="14">
        <v>573.4</v>
      </c>
      <c r="E61" s="14">
        <v>14989.65</v>
      </c>
      <c r="F61" s="60">
        <v>558.4</v>
      </c>
      <c r="G61" s="60">
        <v>14687.4</v>
      </c>
      <c r="H61" s="14">
        <v>602.27</v>
      </c>
      <c r="I61" s="14">
        <v>15880.02</v>
      </c>
      <c r="J61" s="150">
        <v>550.15</v>
      </c>
      <c r="K61" s="150">
        <v>14333.15</v>
      </c>
      <c r="L61" s="143">
        <f t="shared" si="3"/>
        <v>2284.2199999999998</v>
      </c>
      <c r="M61" s="143">
        <f t="shared" si="3"/>
        <v>59890.22</v>
      </c>
      <c r="N61" s="77">
        <f t="shared" ref="N61:N62" si="6">ROUND(+M61*0.025,2)</f>
        <v>1497.26</v>
      </c>
    </row>
    <row r="62" spans="1:14" ht="15.75" x14ac:dyDescent="0.25">
      <c r="A62" s="57"/>
      <c r="B62" s="57"/>
      <c r="C62" s="144">
        <f t="shared" si="1"/>
        <v>57</v>
      </c>
      <c r="D62" s="14">
        <v>482.25</v>
      </c>
      <c r="E62" s="14">
        <v>13955.88</v>
      </c>
      <c r="F62" s="60">
        <v>536.75</v>
      </c>
      <c r="G62" s="60">
        <v>15914.46</v>
      </c>
      <c r="H62" s="14">
        <v>479.25</v>
      </c>
      <c r="I62" s="14">
        <v>14048.8</v>
      </c>
      <c r="J62" s="150">
        <v>492.25</v>
      </c>
      <c r="K62" s="150">
        <v>14496.28</v>
      </c>
      <c r="L62" s="143">
        <f t="shared" si="3"/>
        <v>1990.5</v>
      </c>
      <c r="M62" s="143">
        <f t="shared" si="3"/>
        <v>58415.42</v>
      </c>
      <c r="N62" s="77">
        <f t="shared" si="6"/>
        <v>1460.39</v>
      </c>
    </row>
    <row r="63" spans="1:14" ht="15.75" x14ac:dyDescent="0.25">
      <c r="A63" s="148"/>
      <c r="B63" s="148"/>
      <c r="C63" s="144">
        <f t="shared" si="1"/>
        <v>58</v>
      </c>
      <c r="D63" s="14"/>
      <c r="E63" s="14"/>
      <c r="F63" s="60">
        <v>98.5</v>
      </c>
      <c r="G63" s="60">
        <v>1545.01</v>
      </c>
      <c r="H63" s="14">
        <v>473.75</v>
      </c>
      <c r="I63" s="14">
        <v>7996.14</v>
      </c>
      <c r="J63" s="150">
        <v>382.75</v>
      </c>
      <c r="K63" s="150">
        <v>7224.75</v>
      </c>
      <c r="L63" s="143">
        <f t="shared" si="3"/>
        <v>955</v>
      </c>
      <c r="M63" s="143">
        <f t="shared" si="3"/>
        <v>16765.900000000001</v>
      </c>
    </row>
    <row r="64" spans="1:14" ht="15.75" x14ac:dyDescent="0.25">
      <c r="A64" s="148"/>
      <c r="B64" s="148"/>
      <c r="C64" s="144">
        <f t="shared" si="1"/>
        <v>59</v>
      </c>
      <c r="D64" s="14"/>
      <c r="E64" s="14"/>
      <c r="F64" s="60">
        <v>150.5</v>
      </c>
      <c r="G64" s="60">
        <v>5690.63</v>
      </c>
      <c r="H64" s="14">
        <v>268.25</v>
      </c>
      <c r="I64" s="14">
        <v>10453.129999999999</v>
      </c>
      <c r="J64" s="150">
        <v>96</v>
      </c>
      <c r="K64" s="150">
        <v>3768.75</v>
      </c>
      <c r="L64" s="143">
        <f t="shared" si="3"/>
        <v>514.75</v>
      </c>
      <c r="M64" s="143">
        <f t="shared" si="3"/>
        <v>19912.509999999998</v>
      </c>
    </row>
    <row r="65" spans="1:15" ht="15.75" x14ac:dyDescent="0.25">
      <c r="A65" s="57"/>
      <c r="B65" s="57"/>
      <c r="C65" s="144">
        <f t="shared" si="1"/>
        <v>60</v>
      </c>
      <c r="D65" s="14">
        <v>362.25</v>
      </c>
      <c r="E65" s="14">
        <v>9857.25</v>
      </c>
      <c r="F65" s="60">
        <v>93.75</v>
      </c>
      <c r="G65" s="60">
        <v>2522</v>
      </c>
      <c r="H65" s="14">
        <v>440</v>
      </c>
      <c r="I65" s="14">
        <v>11947</v>
      </c>
      <c r="J65" s="150">
        <v>411</v>
      </c>
      <c r="K65" s="150">
        <v>11842.48</v>
      </c>
      <c r="L65" s="143">
        <f t="shared" si="3"/>
        <v>1307</v>
      </c>
      <c r="M65" s="143">
        <f t="shared" si="3"/>
        <v>36168.729999999996</v>
      </c>
    </row>
    <row r="66" spans="1:15" ht="15.75" x14ac:dyDescent="0.25">
      <c r="A66" s="57"/>
      <c r="B66" s="57"/>
      <c r="C66" s="144">
        <f t="shared" si="1"/>
        <v>61</v>
      </c>
      <c r="D66" s="14">
        <v>340</v>
      </c>
      <c r="E66" s="15">
        <v>5325.01</v>
      </c>
      <c r="F66" s="60">
        <v>17.5</v>
      </c>
      <c r="G66" s="153">
        <v>335.63</v>
      </c>
      <c r="H66" s="145"/>
      <c r="I66" s="154"/>
      <c r="J66" s="150"/>
      <c r="K66" s="155"/>
      <c r="L66" s="143">
        <f t="shared" si="3"/>
        <v>357.5</v>
      </c>
      <c r="M66" s="156">
        <f t="shared" si="3"/>
        <v>5660.64</v>
      </c>
      <c r="N66" s="212"/>
      <c r="O66" s="212"/>
    </row>
    <row r="67" spans="1:15" ht="15.75" x14ac:dyDescent="0.25">
      <c r="A67" s="157" t="s">
        <v>695</v>
      </c>
      <c r="B67" s="158"/>
      <c r="C67" s="159"/>
      <c r="D67" s="150"/>
      <c r="E67" s="150">
        <f>SUM(E6:E66)</f>
        <v>573538.83000000007</v>
      </c>
      <c r="F67" s="160"/>
      <c r="G67" s="150">
        <f>SUM(G6:G66)</f>
        <v>590612.79</v>
      </c>
      <c r="H67" s="14"/>
      <c r="I67" s="150">
        <f>SUM(I6:I66)</f>
        <v>616775.52000000025</v>
      </c>
      <c r="J67" s="150"/>
      <c r="K67" s="150">
        <f>SUM(K6:K66)</f>
        <v>647110.09000000008</v>
      </c>
      <c r="L67" s="161"/>
      <c r="M67" s="150">
        <f>SUM(M6:M66)</f>
        <v>2428037.23</v>
      </c>
      <c r="N67" s="150">
        <f>SUM(N6:N66)</f>
        <v>29605.79</v>
      </c>
      <c r="O67" s="150">
        <f>SUM(O6:O66)</f>
        <v>9256.9</v>
      </c>
    </row>
  </sheetData>
  <mergeCells count="5">
    <mergeCell ref="D4:E4"/>
    <mergeCell ref="F4:G4"/>
    <mergeCell ref="H4:I4"/>
    <mergeCell ref="J4:K4"/>
    <mergeCell ref="L4:M4"/>
  </mergeCells>
  <pageMargins left="0.25" right="0.25" top="0.75" bottom="0.75" header="0.3" footer="0.3"/>
  <pageSetup scale="64" fitToHeight="0" orientation="landscape" r:id="rId1"/>
  <headerFooter>
    <oddFooter>&amp;L&amp;F &amp;A &amp;T&amp;RPage &amp;P 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E6" sqref="E6"/>
    </sheetView>
  </sheetViews>
  <sheetFormatPr defaultRowHeight="15" x14ac:dyDescent="0.25"/>
  <cols>
    <col min="1" max="1" width="15.42578125" customWidth="1"/>
    <col min="2" max="2" width="33.140625" customWidth="1"/>
    <col min="4" max="4" width="11.7109375" customWidth="1"/>
    <col min="5" max="5" width="11.42578125" customWidth="1"/>
    <col min="7" max="7" width="11.140625" customWidth="1"/>
    <col min="8" max="8" width="14.28515625" bestFit="1" customWidth="1"/>
    <col min="9" max="9" width="13.85546875" customWidth="1"/>
    <col min="10" max="10" width="5.85546875" customWidth="1"/>
    <col min="11" max="11" width="16.42578125" customWidth="1"/>
    <col min="12" max="12" width="4.5703125" customWidth="1"/>
    <col min="13" max="13" width="16.42578125" customWidth="1"/>
    <col min="14" max="14" width="13.85546875" customWidth="1"/>
    <col min="15" max="15" width="12.5703125" bestFit="1" customWidth="1"/>
  </cols>
  <sheetData>
    <row r="1" spans="1:15" ht="23.25" x14ac:dyDescent="0.35">
      <c r="A1" s="221" t="s">
        <v>698</v>
      </c>
      <c r="B1" s="221"/>
      <c r="C1" s="221"/>
      <c r="D1" s="221"/>
      <c r="E1" s="221"/>
      <c r="F1" s="221"/>
      <c r="G1" s="221"/>
      <c r="H1" s="221"/>
      <c r="I1" s="221"/>
      <c r="J1" s="221"/>
    </row>
    <row r="2" spans="1:15" ht="15.75" thickBot="1" x14ac:dyDescent="0.3"/>
    <row r="3" spans="1:15" ht="18.75" x14ac:dyDescent="0.3">
      <c r="B3" s="162" t="s">
        <v>699</v>
      </c>
      <c r="D3" s="163"/>
      <c r="F3" s="222" t="s">
        <v>700</v>
      </c>
      <c r="G3" s="223"/>
      <c r="H3" s="223"/>
      <c r="I3" s="224"/>
    </row>
    <row r="4" spans="1:15" ht="30" x14ac:dyDescent="0.25">
      <c r="A4" s="164" t="s">
        <v>701</v>
      </c>
      <c r="B4" s="165" t="s">
        <v>702</v>
      </c>
      <c r="D4" s="166" t="s">
        <v>703</v>
      </c>
      <c r="E4" s="167" t="s">
        <v>704</v>
      </c>
      <c r="F4" s="225" t="s">
        <v>705</v>
      </c>
      <c r="G4" s="226"/>
      <c r="H4" s="168" t="s">
        <v>706</v>
      </c>
      <c r="I4" s="169" t="s">
        <v>422</v>
      </c>
      <c r="K4" s="66" t="s">
        <v>707</v>
      </c>
      <c r="M4" s="66" t="s">
        <v>708</v>
      </c>
    </row>
    <row r="5" spans="1:15" x14ac:dyDescent="0.25">
      <c r="A5" t="s">
        <v>153</v>
      </c>
      <c r="B5" s="65" t="s">
        <v>709</v>
      </c>
      <c r="D5" s="170">
        <v>255</v>
      </c>
      <c r="E5" s="171">
        <v>264.25</v>
      </c>
      <c r="F5" s="172">
        <v>1360.25</v>
      </c>
      <c r="G5" s="173"/>
      <c r="H5" s="174">
        <f>+F5*D5</f>
        <v>346863.75</v>
      </c>
      <c r="I5" s="175">
        <v>255</v>
      </c>
      <c r="K5" s="77">
        <f>+D5*F5</f>
        <v>346863.75</v>
      </c>
      <c r="M5" s="176">
        <f>+F5*E5</f>
        <v>359446.0625</v>
      </c>
    </row>
    <row r="6" spans="1:15" x14ac:dyDescent="0.25">
      <c r="A6" t="s">
        <v>710</v>
      </c>
      <c r="B6" s="65" t="s">
        <v>711</v>
      </c>
      <c r="D6" s="170">
        <f>+D5*1.5</f>
        <v>382.5</v>
      </c>
      <c r="E6" s="171">
        <f>+E5*1.5</f>
        <v>396.375</v>
      </c>
      <c r="F6" s="172">
        <v>64.75</v>
      </c>
      <c r="G6" s="173"/>
      <c r="H6" s="174">
        <f t="shared" ref="H6:H7" si="0">+F6*D6</f>
        <v>24766.875</v>
      </c>
      <c r="I6" s="175">
        <v>382.50084942084953</v>
      </c>
      <c r="K6" s="77">
        <f t="shared" ref="K6:K8" si="1">+D6*F6</f>
        <v>24766.875</v>
      </c>
      <c r="M6" s="176">
        <f t="shared" ref="M6:M8" si="2">+F6*E6</f>
        <v>25665.28125</v>
      </c>
    </row>
    <row r="7" spans="1:15" x14ac:dyDescent="0.25">
      <c r="A7" t="s">
        <v>712</v>
      </c>
      <c r="B7" s="65" t="s">
        <v>713</v>
      </c>
      <c r="D7" s="170">
        <f>+D5*2</f>
        <v>510</v>
      </c>
      <c r="E7" s="171">
        <f>+E5*2</f>
        <v>528.5</v>
      </c>
      <c r="F7" s="172">
        <v>5.5</v>
      </c>
      <c r="G7" s="173"/>
      <c r="H7" s="174">
        <f t="shared" si="0"/>
        <v>2805</v>
      </c>
      <c r="I7" s="175">
        <v>510</v>
      </c>
      <c r="K7" s="77">
        <f t="shared" si="1"/>
        <v>2805</v>
      </c>
      <c r="M7" s="176">
        <f t="shared" si="2"/>
        <v>2906.75</v>
      </c>
    </row>
    <row r="8" spans="1:15" ht="15.75" thickBot="1" x14ac:dyDescent="0.3">
      <c r="A8" s="177" t="s">
        <v>714</v>
      </c>
      <c r="B8" s="178" t="s">
        <v>715</v>
      </c>
      <c r="D8" s="179">
        <f>+D5*3</f>
        <v>765</v>
      </c>
      <c r="E8" s="180">
        <f>+E5*3</f>
        <v>792.75</v>
      </c>
      <c r="F8" s="181">
        <v>2</v>
      </c>
      <c r="G8" s="182"/>
      <c r="H8" s="183">
        <f>+F8*D8</f>
        <v>1530</v>
      </c>
      <c r="I8" s="184">
        <v>765</v>
      </c>
      <c r="K8" s="77">
        <f t="shared" si="1"/>
        <v>1530</v>
      </c>
      <c r="M8" s="176">
        <f t="shared" si="2"/>
        <v>1585.5</v>
      </c>
      <c r="O8" s="201">
        <f>SUM(M5:M8)/M26</f>
        <v>8.0655753078531942E-2</v>
      </c>
    </row>
    <row r="9" spans="1:15" x14ac:dyDescent="0.25">
      <c r="B9" s="185" t="s">
        <v>716</v>
      </c>
      <c r="D9" s="170"/>
      <c r="E9" s="186"/>
      <c r="F9" s="187" t="s">
        <v>717</v>
      </c>
      <c r="G9" s="188">
        <v>1432.5</v>
      </c>
      <c r="H9" s="189" t="s">
        <v>718</v>
      </c>
      <c r="I9" s="190">
        <f>SUM(H5:H8)</f>
        <v>375965.625</v>
      </c>
      <c r="K9" s="77"/>
    </row>
    <row r="10" spans="1:15" x14ac:dyDescent="0.25">
      <c r="D10" s="170"/>
      <c r="E10" s="186"/>
      <c r="F10" s="191"/>
      <c r="G10" s="173"/>
      <c r="H10" s="192"/>
      <c r="I10" s="175"/>
      <c r="K10" s="77"/>
    </row>
    <row r="11" spans="1:15" x14ac:dyDescent="0.25">
      <c r="A11" t="s">
        <v>719</v>
      </c>
      <c r="B11" s="65" t="s">
        <v>720</v>
      </c>
      <c r="D11" s="170">
        <v>255</v>
      </c>
      <c r="E11" s="171">
        <f>+E5</f>
        <v>264.25</v>
      </c>
      <c r="F11" s="172">
        <v>8781</v>
      </c>
      <c r="G11" s="173"/>
      <c r="H11" s="174">
        <f t="shared" ref="H11:H17" si="3">+F11*D11</f>
        <v>2239155</v>
      </c>
      <c r="I11" s="175">
        <v>254.61593212618152</v>
      </c>
      <c r="K11" s="77">
        <f t="shared" ref="K11:K18" si="4">+D11*F11</f>
        <v>2239155</v>
      </c>
      <c r="M11" s="176">
        <f t="shared" ref="M11:M18" si="5">+F11*E11</f>
        <v>2320379.25</v>
      </c>
    </row>
    <row r="12" spans="1:15" x14ac:dyDescent="0.25">
      <c r="A12" t="s">
        <v>721</v>
      </c>
      <c r="B12" s="65" t="s">
        <v>722</v>
      </c>
      <c r="D12" s="170">
        <f>+D11*1.5</f>
        <v>382.5</v>
      </c>
      <c r="E12" s="171">
        <f>+E11*1.5</f>
        <v>396.375</v>
      </c>
      <c r="F12" s="172">
        <v>517</v>
      </c>
      <c r="G12" s="173"/>
      <c r="H12" s="174">
        <f t="shared" si="3"/>
        <v>197752.5</v>
      </c>
      <c r="I12" s="175">
        <v>382.50063829787274</v>
      </c>
      <c r="K12" s="77">
        <f t="shared" si="4"/>
        <v>197752.5</v>
      </c>
      <c r="M12" s="176">
        <f t="shared" si="5"/>
        <v>204925.875</v>
      </c>
    </row>
    <row r="13" spans="1:15" x14ac:dyDescent="0.25">
      <c r="A13" t="s">
        <v>723</v>
      </c>
      <c r="B13" s="65" t="s">
        <v>724</v>
      </c>
      <c r="D13" s="170">
        <f>+D11*2</f>
        <v>510</v>
      </c>
      <c r="E13" s="171">
        <f>+E11*2</f>
        <v>528.5</v>
      </c>
      <c r="F13" s="172">
        <v>195.25</v>
      </c>
      <c r="G13" s="173"/>
      <c r="H13" s="174">
        <f t="shared" si="3"/>
        <v>99577.5</v>
      </c>
      <c r="I13" s="175">
        <v>510</v>
      </c>
      <c r="K13" s="77">
        <f t="shared" si="4"/>
        <v>99577.5</v>
      </c>
      <c r="M13" s="176">
        <f t="shared" si="5"/>
        <v>103189.625</v>
      </c>
      <c r="O13" s="201">
        <f>SUM(M10:M13)/M26</f>
        <v>0.54415109851439236</v>
      </c>
    </row>
    <row r="14" spans="1:15" ht="30" x14ac:dyDescent="0.25">
      <c r="A14" t="s">
        <v>725</v>
      </c>
      <c r="B14" s="65" t="s">
        <v>726</v>
      </c>
      <c r="D14" s="193">
        <f>+D11*3</f>
        <v>765</v>
      </c>
      <c r="E14" s="194">
        <f>+E11*3</f>
        <v>792.75</v>
      </c>
      <c r="F14" s="172">
        <v>16.75</v>
      </c>
      <c r="G14" s="173"/>
      <c r="H14" s="174">
        <f t="shared" si="3"/>
        <v>12813.75</v>
      </c>
      <c r="I14" s="175">
        <v>765</v>
      </c>
      <c r="K14" s="77">
        <f t="shared" si="4"/>
        <v>12813.75</v>
      </c>
      <c r="M14" s="176">
        <f t="shared" si="5"/>
        <v>13278.5625</v>
      </c>
    </row>
    <row r="15" spans="1:15" x14ac:dyDescent="0.25">
      <c r="A15" t="s">
        <v>727</v>
      </c>
      <c r="B15" s="65" t="s">
        <v>728</v>
      </c>
      <c r="D15" s="170">
        <v>255</v>
      </c>
      <c r="E15" s="171">
        <f>+E5</f>
        <v>264.25</v>
      </c>
      <c r="F15" s="172">
        <v>2116</v>
      </c>
      <c r="G15" s="173"/>
      <c r="H15" s="174">
        <f t="shared" si="3"/>
        <v>539580</v>
      </c>
      <c r="I15" s="175">
        <v>255</v>
      </c>
      <c r="K15" s="77">
        <f t="shared" si="4"/>
        <v>539580</v>
      </c>
      <c r="M15" s="176">
        <f t="shared" si="5"/>
        <v>559153</v>
      </c>
    </row>
    <row r="16" spans="1:15" x14ac:dyDescent="0.25">
      <c r="A16" t="s">
        <v>729</v>
      </c>
      <c r="B16" s="65" t="s">
        <v>730</v>
      </c>
      <c r="D16" s="170">
        <f>+D15*1.5</f>
        <v>382.5</v>
      </c>
      <c r="E16" s="171">
        <f>+E15*1.5</f>
        <v>396.375</v>
      </c>
      <c r="F16" s="172">
        <v>736.75</v>
      </c>
      <c r="G16" s="173"/>
      <c r="H16" s="174">
        <f t="shared" si="3"/>
        <v>281806.875</v>
      </c>
      <c r="I16" s="175">
        <v>382.50092975907756</v>
      </c>
      <c r="K16" s="77">
        <f t="shared" si="4"/>
        <v>281806.875</v>
      </c>
      <c r="M16" s="176">
        <f t="shared" si="5"/>
        <v>292029.28125</v>
      </c>
    </row>
    <row r="17" spans="1:15" x14ac:dyDescent="0.25">
      <c r="A17" t="s">
        <v>731</v>
      </c>
      <c r="B17" s="65" t="s">
        <v>732</v>
      </c>
      <c r="D17" s="170">
        <f>+D15*2</f>
        <v>510</v>
      </c>
      <c r="E17" s="171">
        <f>+E15*2</f>
        <v>528.5</v>
      </c>
      <c r="F17" s="172">
        <v>50</v>
      </c>
      <c r="G17" s="173"/>
      <c r="H17" s="174">
        <f t="shared" si="3"/>
        <v>25500</v>
      </c>
      <c r="I17" s="175">
        <v>510</v>
      </c>
      <c r="K17" s="77">
        <f t="shared" si="4"/>
        <v>25500</v>
      </c>
      <c r="M17" s="176">
        <f t="shared" si="5"/>
        <v>26425</v>
      </c>
    </row>
    <row r="18" spans="1:15" ht="15.75" thickBot="1" x14ac:dyDescent="0.3">
      <c r="A18" s="177" t="s">
        <v>733</v>
      </c>
      <c r="B18" s="178" t="s">
        <v>734</v>
      </c>
      <c r="D18" s="179">
        <f>+D15*3</f>
        <v>765</v>
      </c>
      <c r="E18" s="180">
        <f>+E15*3</f>
        <v>792.75</v>
      </c>
      <c r="F18" s="181">
        <v>27.5</v>
      </c>
      <c r="G18" s="182"/>
      <c r="H18" s="183">
        <f>+F18*D18</f>
        <v>21037.5</v>
      </c>
      <c r="I18" s="184">
        <v>765</v>
      </c>
      <c r="K18" s="77">
        <f t="shared" si="4"/>
        <v>21037.5</v>
      </c>
      <c r="M18" s="176">
        <f t="shared" si="5"/>
        <v>21800.625</v>
      </c>
      <c r="O18" s="201">
        <f>SUM(M15:M18)/M26</f>
        <v>0.18619546422851599</v>
      </c>
    </row>
    <row r="19" spans="1:15" x14ac:dyDescent="0.25">
      <c r="A19" s="195"/>
      <c r="B19" s="196" t="s">
        <v>735</v>
      </c>
      <c r="D19" s="193"/>
      <c r="E19" s="194"/>
      <c r="F19" s="187" t="s">
        <v>717</v>
      </c>
      <c r="G19" s="188">
        <v>12440.25</v>
      </c>
      <c r="H19" s="189" t="s">
        <v>718</v>
      </c>
      <c r="I19" s="190">
        <f>SUM(H11:H18)</f>
        <v>3417223.125</v>
      </c>
      <c r="K19" s="77"/>
    </row>
    <row r="20" spans="1:15" x14ac:dyDescent="0.25">
      <c r="A20" s="195"/>
      <c r="B20" s="195"/>
      <c r="D20" s="193"/>
      <c r="E20" s="194"/>
      <c r="F20" s="191"/>
      <c r="G20" s="173"/>
      <c r="H20" s="192"/>
      <c r="I20" s="175"/>
      <c r="K20" s="77"/>
    </row>
    <row r="21" spans="1:15" x14ac:dyDescent="0.25">
      <c r="A21" t="s">
        <v>736</v>
      </c>
      <c r="B21" s="65" t="s">
        <v>737</v>
      </c>
      <c r="D21" s="170">
        <v>46.25</v>
      </c>
      <c r="E21" s="171">
        <v>51.5</v>
      </c>
      <c r="F21" s="172">
        <v>14598.01</v>
      </c>
      <c r="G21" s="173"/>
      <c r="H21" s="174">
        <f t="shared" ref="H21:H23" si="6">+F21*D21</f>
        <v>675157.96250000002</v>
      </c>
      <c r="I21" s="175">
        <v>46.250223146853919</v>
      </c>
      <c r="K21" s="77">
        <f t="shared" ref="K21:K24" si="7">+D21*F21</f>
        <v>675157.96250000002</v>
      </c>
      <c r="M21" s="176">
        <f t="shared" ref="M21:M24" si="8">+F21*E21</f>
        <v>751797.51500000001</v>
      </c>
    </row>
    <row r="22" spans="1:15" x14ac:dyDescent="0.25">
      <c r="A22" t="s">
        <v>738</v>
      </c>
      <c r="B22" s="65" t="s">
        <v>739</v>
      </c>
      <c r="D22" s="170">
        <f>+D21*1.5</f>
        <v>69.375</v>
      </c>
      <c r="E22" s="171">
        <f>+E21*1.5</f>
        <v>77.25</v>
      </c>
      <c r="F22" s="172">
        <v>1472.75</v>
      </c>
      <c r="G22" s="173"/>
      <c r="H22" s="174">
        <f t="shared" si="6"/>
        <v>102172.03125</v>
      </c>
      <c r="I22" s="175">
        <v>69.380770667119208</v>
      </c>
      <c r="K22" s="77">
        <f t="shared" si="7"/>
        <v>102172.03125</v>
      </c>
      <c r="M22" s="176">
        <f t="shared" si="8"/>
        <v>113769.9375</v>
      </c>
    </row>
    <row r="23" spans="1:15" x14ac:dyDescent="0.25">
      <c r="A23" t="s">
        <v>740</v>
      </c>
      <c r="B23" s="65" t="s">
        <v>741</v>
      </c>
      <c r="D23" s="170">
        <f>50*2</f>
        <v>100</v>
      </c>
      <c r="E23" s="171">
        <f>50*2</f>
        <v>100</v>
      </c>
      <c r="F23" s="172">
        <v>268.75</v>
      </c>
      <c r="G23" s="173"/>
      <c r="H23" s="174">
        <f t="shared" si="6"/>
        <v>26875</v>
      </c>
      <c r="I23" s="175">
        <v>92.500279069767458</v>
      </c>
      <c r="K23" s="77">
        <f t="shared" si="7"/>
        <v>26875</v>
      </c>
      <c r="M23" s="176">
        <f t="shared" si="8"/>
        <v>26875</v>
      </c>
    </row>
    <row r="24" spans="1:15" ht="15.75" thickBot="1" x14ac:dyDescent="0.3">
      <c r="A24" s="177" t="s">
        <v>742</v>
      </c>
      <c r="B24" s="178" t="s">
        <v>743</v>
      </c>
      <c r="D24" s="179">
        <f>+D21*3</f>
        <v>138.75</v>
      </c>
      <c r="E24" s="180">
        <f>+E21*3</f>
        <v>154.5</v>
      </c>
      <c r="F24" s="181">
        <v>46.75</v>
      </c>
      <c r="G24" s="182"/>
      <c r="H24" s="183">
        <f>+F24*D24</f>
        <v>6486.5625</v>
      </c>
      <c r="I24" s="184">
        <v>138.75144385026741</v>
      </c>
      <c r="K24" s="77">
        <f t="shared" si="7"/>
        <v>6486.5625</v>
      </c>
      <c r="M24" s="176">
        <f t="shared" si="8"/>
        <v>7222.875</v>
      </c>
      <c r="O24" s="201">
        <f>SUM(M21:M24)/M26</f>
        <v>0.18624875558698967</v>
      </c>
    </row>
    <row r="25" spans="1:15" x14ac:dyDescent="0.25">
      <c r="B25" s="197" t="s">
        <v>744</v>
      </c>
      <c r="D25" s="170"/>
      <c r="F25" s="187" t="s">
        <v>717</v>
      </c>
      <c r="G25" s="188">
        <v>16386.260000000002</v>
      </c>
      <c r="H25" s="189" t="s">
        <v>718</v>
      </c>
      <c r="I25" s="190">
        <f>SUM(H21:H24)</f>
        <v>810691.55625000002</v>
      </c>
      <c r="K25" s="198"/>
      <c r="M25" s="199"/>
    </row>
    <row r="26" spans="1:15" x14ac:dyDescent="0.25">
      <c r="A26" t="s">
        <v>745</v>
      </c>
      <c r="D26" s="170"/>
      <c r="F26" s="191"/>
      <c r="G26" s="173"/>
      <c r="H26" s="192"/>
      <c r="I26" s="175">
        <f>+I9+I19+I25</f>
        <v>4603880.3062500004</v>
      </c>
      <c r="K26" s="176">
        <f>SUM(K5:K24)</f>
        <v>4603880.3062500004</v>
      </c>
      <c r="M26" s="176">
        <f>SUM(M5:M24)</f>
        <v>4830450.1399999997</v>
      </c>
      <c r="N26" s="176">
        <f>+M26-K26</f>
        <v>226569.83374999929</v>
      </c>
    </row>
    <row r="27" spans="1:15" x14ac:dyDescent="0.25">
      <c r="A27" t="s">
        <v>746</v>
      </c>
      <c r="D27" s="170"/>
      <c r="F27" s="191"/>
      <c r="G27" s="173"/>
      <c r="H27" s="192"/>
      <c r="I27" s="175"/>
      <c r="K27" s="176"/>
      <c r="M27" s="176"/>
    </row>
    <row r="28" spans="1:15" x14ac:dyDescent="0.25">
      <c r="D28" s="170"/>
      <c r="F28" s="191"/>
      <c r="G28" s="173"/>
      <c r="H28" s="192"/>
      <c r="I28" s="175"/>
      <c r="K28" s="36"/>
      <c r="M28" s="176"/>
      <c r="N28" s="77"/>
    </row>
  </sheetData>
  <mergeCells count="3">
    <mergeCell ref="A1:J1"/>
    <mergeCell ref="F3:I3"/>
    <mergeCell ref="F4:G4"/>
  </mergeCells>
  <pageMargins left="0.25" right="0.25" top="0.75" bottom="0.75" header="0.3" footer="0.3"/>
  <pageSetup scale="67" fitToHeight="0" orientation="landscape" r:id="rId1"/>
  <headerFooter>
    <oddHeader>&amp;CArrow Launch Service, Inc.
Price Out
Test Period ended 6/30/17</oddHeader>
    <oddFooter>&amp;L&amp;F  &amp;A  &amp;T&amp;RPage &amp;P 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tabSelected="1" topLeftCell="A37" workbookViewId="0">
      <selection activeCell="J62" sqref="J62"/>
    </sheetView>
  </sheetViews>
  <sheetFormatPr defaultRowHeight="15" x14ac:dyDescent="0.25"/>
  <cols>
    <col min="2" max="2" width="30.140625" customWidth="1"/>
    <col min="3" max="3" width="14.42578125" customWidth="1"/>
    <col min="4" max="7" width="12" customWidth="1"/>
    <col min="8" max="8" width="23" customWidth="1"/>
    <col min="9" max="9" width="12" customWidth="1"/>
    <col min="10" max="10" width="14.42578125" customWidth="1"/>
    <col min="11" max="11" width="16.85546875" customWidth="1"/>
    <col min="12" max="15" width="12" customWidth="1"/>
  </cols>
  <sheetData>
    <row r="1" spans="1:23" ht="18.75" x14ac:dyDescent="0.3">
      <c r="A1" s="39" t="s">
        <v>233</v>
      </c>
      <c r="B1" s="39"/>
      <c r="C1" s="39"/>
      <c r="D1" s="39"/>
      <c r="E1" s="39"/>
      <c r="F1" s="39"/>
      <c r="G1" s="39"/>
      <c r="H1" s="39"/>
      <c r="I1" s="39"/>
      <c r="J1" s="39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8.75" x14ac:dyDescent="0.3">
      <c r="A2" s="39" t="s">
        <v>353</v>
      </c>
      <c r="B2" s="39"/>
      <c r="C2" s="39"/>
      <c r="D2" s="39"/>
      <c r="E2" s="39"/>
      <c r="F2" s="39"/>
      <c r="G2" s="39"/>
      <c r="H2" s="39"/>
      <c r="I2" s="39"/>
      <c r="J2" s="39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18.75" x14ac:dyDescent="0.3">
      <c r="A3" s="39" t="s">
        <v>234</v>
      </c>
      <c r="B3" s="39"/>
      <c r="C3" s="39"/>
      <c r="D3" s="39"/>
      <c r="E3" s="39"/>
      <c r="F3" s="39"/>
      <c r="G3" s="39"/>
      <c r="H3" s="39"/>
      <c r="I3" s="39"/>
      <c r="J3" s="39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78.75" x14ac:dyDescent="0.25">
      <c r="B4" s="40" t="s">
        <v>235</v>
      </c>
      <c r="C4" s="41" t="s">
        <v>223</v>
      </c>
      <c r="D4" s="42" t="s">
        <v>354</v>
      </c>
      <c r="E4" s="42" t="s">
        <v>776</v>
      </c>
      <c r="F4" s="42" t="s">
        <v>778</v>
      </c>
      <c r="G4" s="42"/>
      <c r="H4" s="42" t="s">
        <v>227</v>
      </c>
      <c r="I4" s="41" t="s">
        <v>229</v>
      </c>
      <c r="J4" s="43" t="s">
        <v>189</v>
      </c>
      <c r="K4" s="217" t="s">
        <v>800</v>
      </c>
      <c r="L4" s="217" t="s">
        <v>782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18.75" x14ac:dyDescent="0.3">
      <c r="A5" s="44" t="s">
        <v>236</v>
      </c>
      <c r="B5" s="45" t="s">
        <v>237</v>
      </c>
      <c r="C5" s="45" t="s">
        <v>238</v>
      </c>
      <c r="D5" s="45" t="s">
        <v>239</v>
      </c>
      <c r="E5" s="45" t="s">
        <v>240</v>
      </c>
      <c r="F5" s="45" t="s">
        <v>241</v>
      </c>
      <c r="G5" s="45" t="s">
        <v>242</v>
      </c>
      <c r="H5" s="46" t="s">
        <v>243</v>
      </c>
      <c r="I5" s="45" t="s">
        <v>244</v>
      </c>
      <c r="J5" s="45" t="s">
        <v>779</v>
      </c>
      <c r="K5" s="45" t="s">
        <v>780</v>
      </c>
      <c r="L5" s="45" t="s">
        <v>781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8.75" x14ac:dyDescent="0.3">
      <c r="A6" s="62"/>
      <c r="B6" s="63"/>
      <c r="C6" s="63"/>
      <c r="D6" s="63"/>
      <c r="E6" s="63"/>
      <c r="F6" s="63"/>
      <c r="G6" s="63"/>
      <c r="H6" s="64"/>
      <c r="I6" s="63"/>
      <c r="J6" s="6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18.75" x14ac:dyDescent="0.3">
      <c r="A7" s="62"/>
      <c r="B7" s="63"/>
      <c r="C7" s="63"/>
      <c r="D7" s="63"/>
      <c r="E7" s="63"/>
      <c r="F7" s="63"/>
      <c r="G7" s="63"/>
      <c r="H7" s="64"/>
      <c r="I7" s="63"/>
      <c r="J7" s="6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15.75" x14ac:dyDescent="0.25">
      <c r="A8">
        <v>10</v>
      </c>
      <c r="B8" s="24" t="s">
        <v>188</v>
      </c>
      <c r="C8" s="31">
        <f>+'Semi Annual '!N58</f>
        <v>3558398.9699999997</v>
      </c>
      <c r="D8" s="31"/>
      <c r="E8" s="31">
        <f t="shared" ref="E8:E14" si="0">+C8</f>
        <v>3558398.9699999997</v>
      </c>
      <c r="G8" s="32">
        <f>+E8+F8</f>
        <v>3558398.9699999997</v>
      </c>
      <c r="H8" s="38" t="s">
        <v>228</v>
      </c>
      <c r="I8" s="31">
        <f>+E8</f>
        <v>3558398.9699999997</v>
      </c>
      <c r="J8" s="31"/>
      <c r="K8" s="31">
        <f>+I68*0.8</f>
        <v>182980.51967746319</v>
      </c>
      <c r="L8" s="31">
        <f>+I8+K8</f>
        <v>3741379.4896774627</v>
      </c>
      <c r="M8" s="31"/>
      <c r="N8" s="31"/>
      <c r="O8" s="31"/>
      <c r="P8" s="31"/>
      <c r="Q8" s="31"/>
      <c r="R8" s="31"/>
      <c r="S8" s="31"/>
      <c r="T8" s="31"/>
      <c r="U8" s="23"/>
      <c r="V8" s="23"/>
      <c r="W8" s="23"/>
    </row>
    <row r="9" spans="1:23" ht="15.75" x14ac:dyDescent="0.25">
      <c r="A9">
        <v>11</v>
      </c>
      <c r="B9" s="24" t="s">
        <v>153</v>
      </c>
      <c r="C9" s="31">
        <f>+'Semi Annual '!O58</f>
        <v>352137.56</v>
      </c>
      <c r="D9" s="31"/>
      <c r="E9" s="31">
        <f t="shared" si="0"/>
        <v>352137.56</v>
      </c>
      <c r="G9" s="32">
        <f t="shared" ref="G9:G14" si="1">+E9+F9</f>
        <v>352137.56</v>
      </c>
      <c r="H9" s="38" t="s">
        <v>228</v>
      </c>
      <c r="I9" s="31">
        <f>+E9</f>
        <v>352137.56</v>
      </c>
      <c r="J9" s="31"/>
      <c r="K9" s="31"/>
      <c r="L9" s="31">
        <f>+I9+K9</f>
        <v>352137.56</v>
      </c>
      <c r="M9" s="31"/>
      <c r="N9" s="31"/>
      <c r="O9" s="31"/>
      <c r="P9" s="31"/>
      <c r="Q9" s="31"/>
      <c r="R9" s="31"/>
      <c r="S9" s="31"/>
      <c r="T9" s="31"/>
      <c r="U9" s="23"/>
      <c r="V9" s="23"/>
      <c r="W9" s="23"/>
    </row>
    <row r="10" spans="1:23" ht="15.75" x14ac:dyDescent="0.25">
      <c r="A10">
        <f>+A9+1</f>
        <v>12</v>
      </c>
      <c r="B10" s="24" t="s">
        <v>213</v>
      </c>
      <c r="C10" s="31">
        <f>+'Semi Annual '!P58</f>
        <v>98866.42</v>
      </c>
      <c r="D10" s="31"/>
      <c r="E10" s="31">
        <f t="shared" si="0"/>
        <v>98866.42</v>
      </c>
      <c r="G10" s="32">
        <f t="shared" si="1"/>
        <v>98866.42</v>
      </c>
      <c r="H10" s="38" t="s">
        <v>228</v>
      </c>
      <c r="I10" s="31">
        <f>+E10</f>
        <v>98866.42</v>
      </c>
      <c r="J10" s="31"/>
      <c r="K10" s="31"/>
      <c r="L10" s="31">
        <f t="shared" ref="L10:L11" si="2">+I10+K10</f>
        <v>98866.42</v>
      </c>
      <c r="M10" s="31"/>
      <c r="N10" s="31"/>
      <c r="O10" s="31"/>
      <c r="P10" s="31"/>
      <c r="Q10" s="31"/>
      <c r="R10" s="31"/>
      <c r="S10" s="31"/>
      <c r="T10" s="31"/>
      <c r="U10" s="23"/>
      <c r="V10" s="23"/>
      <c r="W10" s="23"/>
    </row>
    <row r="11" spans="1:23" ht="15.75" x14ac:dyDescent="0.25">
      <c r="A11">
        <f t="shared" ref="A11:A14" si="3">+A10+1</f>
        <v>13</v>
      </c>
      <c r="B11" s="24" t="s">
        <v>214</v>
      </c>
      <c r="C11" s="31">
        <f>+'Semi Annual '!Q58</f>
        <v>643844.79999999993</v>
      </c>
      <c r="D11" s="31"/>
      <c r="E11" s="31">
        <f t="shared" si="0"/>
        <v>643844.79999999993</v>
      </c>
      <c r="G11" s="32">
        <f t="shared" si="1"/>
        <v>643844.79999999993</v>
      </c>
      <c r="H11" s="38" t="s">
        <v>228</v>
      </c>
      <c r="I11" s="31">
        <f>+E11</f>
        <v>643844.79999999993</v>
      </c>
      <c r="J11" s="31"/>
      <c r="K11" s="31">
        <f>+I68-K8</f>
        <v>45745.129919365776</v>
      </c>
      <c r="L11" s="31">
        <f t="shared" si="2"/>
        <v>689589.92991936568</v>
      </c>
      <c r="M11" s="31"/>
      <c r="N11" s="31"/>
      <c r="O11" s="31"/>
      <c r="P11" s="31"/>
      <c r="Q11" s="31"/>
      <c r="R11" s="31"/>
      <c r="S11" s="31"/>
      <c r="T11" s="31"/>
      <c r="U11" s="23"/>
      <c r="V11" s="23"/>
      <c r="W11" s="23"/>
    </row>
    <row r="12" spans="1:23" ht="15.75" x14ac:dyDescent="0.25">
      <c r="A12">
        <f t="shared" si="3"/>
        <v>14</v>
      </c>
      <c r="B12" s="24" t="s">
        <v>16</v>
      </c>
      <c r="C12" s="31">
        <f>+'Semi Annual '!R58</f>
        <v>974117.70000000007</v>
      </c>
      <c r="D12" s="31"/>
      <c r="E12" s="31">
        <f t="shared" si="0"/>
        <v>974117.70000000007</v>
      </c>
      <c r="G12" s="32">
        <f t="shared" si="1"/>
        <v>974117.70000000007</v>
      </c>
      <c r="H12" s="38" t="s">
        <v>228</v>
      </c>
      <c r="I12" s="31"/>
      <c r="J12" s="31">
        <f>+E12</f>
        <v>974117.70000000007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23"/>
      <c r="V12" s="23"/>
      <c r="W12" s="23"/>
    </row>
    <row r="13" spans="1:23" ht="15.75" x14ac:dyDescent="0.25">
      <c r="A13">
        <f t="shared" si="3"/>
        <v>15</v>
      </c>
      <c r="B13" s="24" t="s">
        <v>52</v>
      </c>
      <c r="C13" s="31">
        <f>+'Semi Annual '!S58</f>
        <v>4259.1400000000003</v>
      </c>
      <c r="D13" s="31"/>
      <c r="E13" s="31">
        <f t="shared" si="0"/>
        <v>4259.1400000000003</v>
      </c>
      <c r="G13" s="32">
        <f t="shared" si="1"/>
        <v>4259.1400000000003</v>
      </c>
      <c r="H13" s="38" t="s">
        <v>228</v>
      </c>
      <c r="I13" s="31"/>
      <c r="J13" s="31">
        <f>+E13</f>
        <v>4259.1400000000003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23"/>
      <c r="V13" s="23"/>
      <c r="W13" s="23"/>
    </row>
    <row r="14" spans="1:23" ht="15.75" x14ac:dyDescent="0.25">
      <c r="A14">
        <f t="shared" si="3"/>
        <v>16</v>
      </c>
      <c r="B14" s="24" t="s">
        <v>54</v>
      </c>
      <c r="C14" s="33">
        <f>+'Semi Annual '!T58</f>
        <v>27228.27</v>
      </c>
      <c r="D14" s="31"/>
      <c r="E14" s="33">
        <f t="shared" si="0"/>
        <v>27228.27</v>
      </c>
      <c r="G14" s="114">
        <f t="shared" si="1"/>
        <v>27228.27</v>
      </c>
      <c r="H14" s="38" t="s">
        <v>228</v>
      </c>
      <c r="I14" s="33"/>
      <c r="J14" s="33">
        <f>+E14</f>
        <v>27228.27</v>
      </c>
      <c r="K14" s="33"/>
      <c r="L14" s="33"/>
      <c r="M14" s="31"/>
      <c r="N14" s="31"/>
      <c r="O14" s="31"/>
      <c r="P14" s="31"/>
      <c r="Q14" s="31"/>
      <c r="R14" s="31"/>
      <c r="S14" s="31"/>
      <c r="T14" s="31"/>
      <c r="U14" s="23"/>
      <c r="V14" s="23"/>
      <c r="W14" s="23"/>
    </row>
    <row r="15" spans="1:23" ht="15.75" x14ac:dyDescent="0.25">
      <c r="B15" s="24" t="s">
        <v>55</v>
      </c>
      <c r="C15" s="31">
        <f>SUM(C8:C14)</f>
        <v>5658852.8599999994</v>
      </c>
      <c r="D15" s="31"/>
      <c r="E15" s="31">
        <f>SUM(E8:E14)</f>
        <v>5658852.8599999994</v>
      </c>
      <c r="G15" s="32">
        <f>SUM(G8:G14)</f>
        <v>5658852.8599999994</v>
      </c>
      <c r="H15" s="31"/>
      <c r="I15" s="31">
        <f t="shared" ref="I15:L15" si="4">SUM(I8:I14)</f>
        <v>4653247.75</v>
      </c>
      <c r="J15" s="31">
        <f t="shared" si="4"/>
        <v>1005605.1100000001</v>
      </c>
      <c r="K15" s="31">
        <f t="shared" si="4"/>
        <v>228725.64959682897</v>
      </c>
      <c r="L15" s="31">
        <f t="shared" si="4"/>
        <v>4881973.399596828</v>
      </c>
      <c r="M15" s="31"/>
      <c r="N15" s="31"/>
      <c r="O15" s="31"/>
      <c r="P15" s="31"/>
      <c r="Q15" s="31"/>
      <c r="R15" s="31"/>
      <c r="S15" s="31"/>
      <c r="T15" s="31"/>
      <c r="U15" s="23"/>
      <c r="V15" s="23"/>
      <c r="W15" s="23"/>
    </row>
    <row r="16" spans="1:23" ht="15.75" x14ac:dyDescent="0.25">
      <c r="B16" s="24"/>
      <c r="C16" s="31"/>
      <c r="D16" s="31"/>
      <c r="E16" s="31"/>
      <c r="H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3"/>
      <c r="V16" s="23"/>
      <c r="W16" s="23"/>
    </row>
    <row r="17" spans="1:23" ht="15.75" x14ac:dyDescent="0.25">
      <c r="B17" s="24" t="str">
        <f>+'Semi Annual '!A60</f>
        <v/>
      </c>
      <c r="C17" s="31"/>
      <c r="D17" s="31"/>
      <c r="E17" s="31"/>
      <c r="H17" s="31"/>
      <c r="I17" s="26">
        <f>+I15/E15</f>
        <v>0.82229523635290291</v>
      </c>
      <c r="J17" s="26">
        <f>+J15/E15</f>
        <v>0.17770476364709722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23"/>
      <c r="V17" s="23"/>
      <c r="W17" s="23"/>
    </row>
    <row r="18" spans="1:23" ht="15.75" x14ac:dyDescent="0.25">
      <c r="B18" s="24"/>
      <c r="C18" s="31"/>
      <c r="D18" s="31"/>
      <c r="E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23"/>
      <c r="V18" s="23"/>
      <c r="W18" s="23"/>
    </row>
    <row r="19" spans="1:23" ht="15.75" x14ac:dyDescent="0.25">
      <c r="A19">
        <v>17</v>
      </c>
      <c r="B19" s="24" t="s">
        <v>215</v>
      </c>
      <c r="C19" s="31">
        <f>+'Semi Annual '!V193</f>
        <v>3637.97</v>
      </c>
      <c r="D19" s="31">
        <f>+'Restaing Adjustments'!R19</f>
        <v>0</v>
      </c>
      <c r="E19" s="31">
        <f t="shared" ref="E19:E58" si="5">+C19+D19</f>
        <v>3637.97</v>
      </c>
      <c r="G19" s="32">
        <f t="shared" ref="G19:G59" si="6">+E19+F19</f>
        <v>3637.97</v>
      </c>
      <c r="H19" s="38" t="s">
        <v>230</v>
      </c>
      <c r="I19" s="31">
        <f>+G19*'Allocation Statistics'!$D$14</f>
        <v>3150.3320952432191</v>
      </c>
      <c r="J19" s="31">
        <f>+E19*'Allocation Statistics'!$F$14</f>
        <v>487.6379047567811</v>
      </c>
      <c r="K19" s="31"/>
      <c r="L19" s="31">
        <f t="shared" ref="L19:L58" si="7">+I19+K19</f>
        <v>3150.3320952432191</v>
      </c>
      <c r="M19" s="31"/>
      <c r="N19" s="31"/>
      <c r="O19" s="31"/>
      <c r="P19" s="31"/>
      <c r="Q19" s="31"/>
      <c r="R19" s="31"/>
      <c r="S19" s="31"/>
      <c r="T19" s="31"/>
      <c r="U19" s="23"/>
      <c r="V19" s="23"/>
      <c r="W19" s="23"/>
    </row>
    <row r="20" spans="1:23" ht="15.75" x14ac:dyDescent="0.25">
      <c r="A20">
        <f t="shared" ref="A20:A58" si="8">+A19+1</f>
        <v>18</v>
      </c>
      <c r="B20" s="24" t="s">
        <v>191</v>
      </c>
      <c r="C20" s="31">
        <f>+'Semi Annual '!W193</f>
        <v>36524.649999999994</v>
      </c>
      <c r="D20" s="31">
        <f>+'Restaing Adjustments'!R20</f>
        <v>0</v>
      </c>
      <c r="E20" s="31">
        <f t="shared" si="5"/>
        <v>36524.649999999994</v>
      </c>
      <c r="G20" s="32">
        <f t="shared" si="6"/>
        <v>36524.649999999994</v>
      </c>
      <c r="H20" s="38" t="s">
        <v>230</v>
      </c>
      <c r="I20" s="31">
        <f>+G20*'Allocation Statistics'!$D$14</f>
        <v>31628.841678882789</v>
      </c>
      <c r="J20" s="31">
        <f>+E20*'Allocation Statistics'!$F$14</f>
        <v>4895.8083211172061</v>
      </c>
      <c r="K20" s="31"/>
      <c r="L20" s="31">
        <f t="shared" si="7"/>
        <v>31628.841678882789</v>
      </c>
      <c r="M20" s="31"/>
      <c r="N20" s="31"/>
      <c r="O20" s="31"/>
      <c r="P20" s="31"/>
      <c r="Q20" s="31"/>
      <c r="R20" s="31"/>
      <c r="S20" s="31"/>
      <c r="T20" s="31"/>
      <c r="U20" s="23"/>
      <c r="V20" s="23"/>
      <c r="W20" s="23"/>
    </row>
    <row r="21" spans="1:23" ht="15.75" x14ac:dyDescent="0.25">
      <c r="A21">
        <f t="shared" si="8"/>
        <v>19</v>
      </c>
      <c r="B21" s="24" t="s">
        <v>216</v>
      </c>
      <c r="C21" s="31">
        <f>+'Semi Annual '!X193</f>
        <v>198528.6</v>
      </c>
      <c r="D21" s="31">
        <f>+'Restaing Adjustments'!R21</f>
        <v>0</v>
      </c>
      <c r="E21" s="31">
        <f t="shared" si="5"/>
        <v>198528.6</v>
      </c>
      <c r="G21" s="32">
        <f t="shared" si="6"/>
        <v>198528.6</v>
      </c>
      <c r="H21" s="52" t="s">
        <v>256</v>
      </c>
      <c r="I21" s="31">
        <f>+G21*'Allocation Statistics'!$D$8</f>
        <v>174651.96462770304</v>
      </c>
      <c r="J21" s="31">
        <f>+E21*'Allocation Statistics'!$F$8</f>
        <v>23876.635372296965</v>
      </c>
      <c r="K21" s="31"/>
      <c r="L21" s="31">
        <f t="shared" si="7"/>
        <v>174651.96462770304</v>
      </c>
      <c r="M21" s="31"/>
      <c r="N21" s="31"/>
      <c r="O21" s="31"/>
      <c r="P21" s="31"/>
      <c r="Q21" s="31"/>
      <c r="R21" s="31"/>
      <c r="S21" s="31"/>
      <c r="T21" s="31"/>
      <c r="U21" s="23"/>
      <c r="V21" s="23"/>
      <c r="W21" s="23"/>
    </row>
    <row r="22" spans="1:23" ht="15.75" x14ac:dyDescent="0.25">
      <c r="A22">
        <f t="shared" si="8"/>
        <v>20</v>
      </c>
      <c r="B22" s="24" t="s">
        <v>193</v>
      </c>
      <c r="C22" s="31">
        <f>+'Semi Annual '!Y193</f>
        <v>131415.93</v>
      </c>
      <c r="D22" s="31">
        <f>+'Restaing Adjustments'!R22</f>
        <v>0</v>
      </c>
      <c r="E22" s="31">
        <f t="shared" si="5"/>
        <v>131415.93</v>
      </c>
      <c r="G22" s="32">
        <f t="shared" si="6"/>
        <v>131415.93</v>
      </c>
      <c r="H22" s="38" t="s">
        <v>230</v>
      </c>
      <c r="I22" s="31">
        <f>+G22*'Allocation Statistics'!$D$14</f>
        <v>113800.77958455848</v>
      </c>
      <c r="J22" s="31">
        <f>+E22*'Allocation Statistics'!$F$14</f>
        <v>17615.150415441527</v>
      </c>
      <c r="K22" s="31"/>
      <c r="L22" s="31">
        <f t="shared" si="7"/>
        <v>113800.77958455848</v>
      </c>
      <c r="M22" s="31"/>
      <c r="N22" s="31"/>
      <c r="O22" s="31"/>
      <c r="P22" s="31"/>
      <c r="Q22" s="31"/>
      <c r="R22" s="31"/>
      <c r="S22" s="31"/>
      <c r="T22" s="31"/>
      <c r="U22" s="23"/>
      <c r="V22" s="23"/>
      <c r="W22" s="23"/>
    </row>
    <row r="23" spans="1:23" ht="15.75" x14ac:dyDescent="0.25">
      <c r="A23">
        <f t="shared" si="8"/>
        <v>21</v>
      </c>
      <c r="B23" s="24" t="s">
        <v>217</v>
      </c>
      <c r="C23" s="31">
        <f>+'Semi Annual '!Z193</f>
        <v>318805.56999999989</v>
      </c>
      <c r="D23" s="31">
        <f>+'Restaing Adjustments'!R23</f>
        <v>0</v>
      </c>
      <c r="E23" s="31">
        <f t="shared" si="5"/>
        <v>318805.56999999989</v>
      </c>
      <c r="G23" s="32">
        <f t="shared" si="6"/>
        <v>318805.56999999989</v>
      </c>
      <c r="H23" s="52" t="s">
        <v>256</v>
      </c>
      <c r="I23" s="31">
        <f>+G23*'Allocation Statistics'!$D$8</f>
        <v>280463.46538863762</v>
      </c>
      <c r="J23" s="31">
        <f>+E23*'Allocation Statistics'!$F$8</f>
        <v>38342.104611362258</v>
      </c>
      <c r="K23" s="31"/>
      <c r="L23" s="31">
        <f t="shared" si="7"/>
        <v>280463.46538863762</v>
      </c>
      <c r="M23" s="31"/>
      <c r="N23" s="31"/>
      <c r="O23" s="31"/>
      <c r="P23" s="31"/>
      <c r="Q23" s="31"/>
      <c r="R23" s="31"/>
      <c r="S23" s="31"/>
      <c r="T23" s="31"/>
      <c r="U23" s="23"/>
      <c r="V23" s="23"/>
      <c r="W23" s="23"/>
    </row>
    <row r="24" spans="1:23" ht="15.75" x14ac:dyDescent="0.25">
      <c r="A24">
        <f t="shared" si="8"/>
        <v>22</v>
      </c>
      <c r="B24" s="24" t="s">
        <v>218</v>
      </c>
      <c r="C24" s="31">
        <f>+'Semi Annual '!AA193</f>
        <v>7100.16</v>
      </c>
      <c r="D24" s="31">
        <f>+'Restaing Adjustments'!R24</f>
        <v>0</v>
      </c>
      <c r="E24" s="31">
        <f t="shared" si="5"/>
        <v>7100.16</v>
      </c>
      <c r="G24" s="32">
        <f t="shared" si="6"/>
        <v>7100.16</v>
      </c>
      <c r="H24" s="38" t="s">
        <v>230</v>
      </c>
      <c r="I24" s="31">
        <f>+G24*'Allocation Statistics'!$D$14</f>
        <v>6148.4459545741429</v>
      </c>
      <c r="J24" s="31">
        <f>+E24*'Allocation Statistics'!$F$14</f>
        <v>951.71404542585753</v>
      </c>
      <c r="K24" s="31"/>
      <c r="L24" s="31">
        <f t="shared" si="7"/>
        <v>6148.4459545741429</v>
      </c>
      <c r="M24" s="31"/>
      <c r="N24" s="31"/>
      <c r="O24" s="31"/>
      <c r="P24" s="31"/>
      <c r="Q24" s="31"/>
      <c r="R24" s="31"/>
      <c r="S24" s="31"/>
      <c r="T24" s="31"/>
      <c r="U24" s="23"/>
      <c r="V24" s="23"/>
      <c r="W24" s="23"/>
    </row>
    <row r="25" spans="1:23" ht="15.75" x14ac:dyDescent="0.25">
      <c r="A25">
        <f t="shared" si="8"/>
        <v>23</v>
      </c>
      <c r="B25" s="24" t="s">
        <v>195</v>
      </c>
      <c r="C25" s="31">
        <f>+'Semi Annual '!AB193</f>
        <v>90018.299999999988</v>
      </c>
      <c r="D25" s="31">
        <f>+'Restaing Adjustments'!R25</f>
        <v>0</v>
      </c>
      <c r="E25" s="31">
        <f t="shared" si="5"/>
        <v>90018.299999999988</v>
      </c>
      <c r="G25" s="32">
        <f t="shared" si="6"/>
        <v>90018.299999999988</v>
      </c>
      <c r="H25" s="52" t="s">
        <v>256</v>
      </c>
      <c r="I25" s="31">
        <f>+E25*'Allocation Statistics'!$D$8</f>
        <v>79191.980135083606</v>
      </c>
      <c r="J25" s="31">
        <f>+E25*'Allocation Statistics'!$F$8</f>
        <v>10826.319864916388</v>
      </c>
      <c r="K25" s="31"/>
      <c r="L25" s="31">
        <f t="shared" si="7"/>
        <v>79191.980135083606</v>
      </c>
      <c r="M25" s="31"/>
      <c r="N25" s="31"/>
      <c r="O25" s="31"/>
      <c r="P25" s="31"/>
      <c r="Q25" s="31"/>
      <c r="R25" s="31"/>
      <c r="S25" s="31"/>
      <c r="T25" s="31"/>
      <c r="U25" s="23"/>
      <c r="V25" s="23"/>
      <c r="W25" s="23"/>
    </row>
    <row r="26" spans="1:23" ht="15.75" x14ac:dyDescent="0.25">
      <c r="A26">
        <f t="shared" si="8"/>
        <v>24</v>
      </c>
      <c r="B26" s="24" t="s">
        <v>219</v>
      </c>
      <c r="C26" s="31">
        <f>+'Semi Annual '!AC193</f>
        <v>-546.19000000000005</v>
      </c>
      <c r="D26" s="31">
        <f>+'Restaing Adjustments'!R26</f>
        <v>0</v>
      </c>
      <c r="E26" s="31">
        <f t="shared" si="5"/>
        <v>-546.19000000000005</v>
      </c>
      <c r="G26" s="32">
        <f t="shared" si="6"/>
        <v>-546.19000000000005</v>
      </c>
      <c r="H26" s="38" t="s">
        <v>230</v>
      </c>
      <c r="I26" s="31">
        <f>+G26*'Allocation Statistics'!$D$14</f>
        <v>-472.97803090759243</v>
      </c>
      <c r="J26" s="31">
        <f>+E26*'Allocation Statistics'!$F$14</f>
        <v>-73.211969092407671</v>
      </c>
      <c r="K26" s="31"/>
      <c r="L26" s="31">
        <f t="shared" si="7"/>
        <v>-472.97803090759243</v>
      </c>
      <c r="M26" s="31"/>
      <c r="N26" s="31"/>
      <c r="O26" s="31"/>
      <c r="P26" s="31"/>
      <c r="Q26" s="31"/>
      <c r="R26" s="31"/>
      <c r="S26" s="31"/>
      <c r="T26" s="31"/>
      <c r="U26" s="23"/>
      <c r="V26" s="23"/>
      <c r="W26" s="23"/>
    </row>
    <row r="27" spans="1:23" ht="15.75" x14ac:dyDescent="0.25">
      <c r="A27">
        <f t="shared" si="8"/>
        <v>25</v>
      </c>
      <c r="B27" s="24" t="s">
        <v>220</v>
      </c>
      <c r="C27" s="31">
        <f>+'Semi Annual '!AD193</f>
        <v>2028715.92</v>
      </c>
      <c r="D27" s="31">
        <f>+'Restaing Adjustments'!R27</f>
        <v>17262.13</v>
      </c>
      <c r="E27" s="31">
        <f t="shared" si="5"/>
        <v>2045978.0499999998</v>
      </c>
      <c r="F27" s="78">
        <f>+'Profroma Adjustments'!G27</f>
        <v>29605.79</v>
      </c>
      <c r="G27" s="32">
        <f t="shared" si="6"/>
        <v>2075583.8399999999</v>
      </c>
      <c r="H27" s="53" t="s">
        <v>257</v>
      </c>
      <c r="I27" s="31">
        <f>+G27*'Allocation Statistics'!$D$10</f>
        <v>1768782.5899820905</v>
      </c>
      <c r="J27" s="31">
        <f>+G27*'Allocation Statistics'!$F$10</f>
        <v>306801.25001790939</v>
      </c>
      <c r="K27" s="31"/>
      <c r="L27" s="31">
        <f t="shared" si="7"/>
        <v>1768782.5899820905</v>
      </c>
      <c r="M27" s="31"/>
      <c r="N27" s="31"/>
      <c r="O27" s="31"/>
      <c r="P27" s="31"/>
      <c r="Q27" s="31"/>
      <c r="R27" s="31"/>
      <c r="S27" s="31"/>
      <c r="T27" s="31"/>
      <c r="U27" s="23"/>
      <c r="V27" s="23"/>
      <c r="W27" s="23"/>
    </row>
    <row r="28" spans="1:23" ht="15.75" x14ac:dyDescent="0.25">
      <c r="A28">
        <f t="shared" si="8"/>
        <v>26</v>
      </c>
      <c r="B28" s="24" t="s">
        <v>221</v>
      </c>
      <c r="C28" s="31">
        <f>+'Semi Annual '!AE193</f>
        <v>181794.57</v>
      </c>
      <c r="D28" s="31">
        <f>+'Restaing Adjustments'!R28</f>
        <v>0</v>
      </c>
      <c r="E28" s="31">
        <f t="shared" si="5"/>
        <v>181794.57</v>
      </c>
      <c r="G28" s="32">
        <f t="shared" si="6"/>
        <v>181794.57</v>
      </c>
      <c r="H28" s="53" t="s">
        <v>257</v>
      </c>
      <c r="I28" s="31">
        <f>+G28*'Allocation Statistics'!$D$10</f>
        <v>154922.70857595446</v>
      </c>
      <c r="J28" s="31">
        <f>+E28*'Allocation Statistics'!$F$10</f>
        <v>26871.861424045554</v>
      </c>
      <c r="K28" s="31"/>
      <c r="L28" s="31">
        <f t="shared" si="7"/>
        <v>154922.70857595446</v>
      </c>
      <c r="M28" s="31"/>
      <c r="N28" s="31"/>
      <c r="O28" s="31"/>
      <c r="P28" s="31"/>
      <c r="Q28" s="31"/>
      <c r="R28" s="31"/>
      <c r="S28" s="31"/>
      <c r="T28" s="31"/>
      <c r="U28" s="23"/>
      <c r="V28" s="23"/>
      <c r="W28" s="23"/>
    </row>
    <row r="29" spans="1:23" ht="15.75" x14ac:dyDescent="0.25">
      <c r="A29">
        <f>+A28+1</f>
        <v>27</v>
      </c>
      <c r="B29" s="24" t="s">
        <v>222</v>
      </c>
      <c r="C29" s="31">
        <f>+'Semi Annual '!AF193</f>
        <v>7319.01</v>
      </c>
      <c r="D29" s="31">
        <f>+'Restaing Adjustments'!R29</f>
        <v>0</v>
      </c>
      <c r="E29" s="31">
        <f t="shared" si="5"/>
        <v>7319.01</v>
      </c>
      <c r="G29" s="32">
        <f t="shared" si="6"/>
        <v>7319.01</v>
      </c>
      <c r="H29" s="38" t="s">
        <v>230</v>
      </c>
      <c r="I29" s="31">
        <f>+G29*'Allocation Statistics'!$D$14</f>
        <v>6337.9610355242276</v>
      </c>
      <c r="J29" s="31">
        <f>+E29*'Allocation Statistics'!$F$14</f>
        <v>981.04896447577323</v>
      </c>
      <c r="K29" s="31"/>
      <c r="L29" s="31">
        <f t="shared" si="7"/>
        <v>6337.9610355242276</v>
      </c>
      <c r="M29" s="31"/>
      <c r="N29" s="31"/>
      <c r="O29" s="31"/>
      <c r="P29" s="31"/>
      <c r="Q29" s="31"/>
      <c r="R29" s="31"/>
      <c r="S29" s="31"/>
      <c r="T29" s="31"/>
      <c r="U29" s="23"/>
      <c r="V29" s="23"/>
      <c r="W29" s="23"/>
    </row>
    <row r="30" spans="1:23" ht="15.75" x14ac:dyDescent="0.25">
      <c r="A30">
        <f t="shared" si="8"/>
        <v>28</v>
      </c>
      <c r="B30" s="24" t="s">
        <v>135</v>
      </c>
      <c r="C30" s="31">
        <f>+'Semi Annual '!AG193</f>
        <v>141835.20000000001</v>
      </c>
      <c r="D30" s="31">
        <f>+'Restaing Adjustments'!R30</f>
        <v>15359.04</v>
      </c>
      <c r="E30" s="31">
        <f t="shared" si="5"/>
        <v>157194.24000000002</v>
      </c>
      <c r="G30" s="32">
        <f t="shared" si="6"/>
        <v>157194.24000000002</v>
      </c>
      <c r="H30" s="53" t="s">
        <v>257</v>
      </c>
      <c r="I30" s="31">
        <f>+G30*'Allocation Statistics'!D10</f>
        <v>133958.66242505837</v>
      </c>
      <c r="J30" s="31">
        <f>+E30-I30</f>
        <v>23235.57757494165</v>
      </c>
      <c r="K30" s="31"/>
      <c r="L30" s="31">
        <f t="shared" si="7"/>
        <v>133958.66242505837</v>
      </c>
      <c r="M30" s="31"/>
      <c r="N30" s="31"/>
      <c r="O30" s="31"/>
      <c r="P30" s="31"/>
      <c r="Q30" s="31"/>
      <c r="R30" s="31"/>
      <c r="S30" s="31"/>
      <c r="T30" s="31"/>
      <c r="U30" s="23"/>
      <c r="V30" s="23"/>
      <c r="W30" s="23"/>
    </row>
    <row r="31" spans="1:23" ht="15.75" x14ac:dyDescent="0.25">
      <c r="A31">
        <f t="shared" si="8"/>
        <v>29</v>
      </c>
      <c r="B31" s="24" t="s">
        <v>136</v>
      </c>
      <c r="C31" s="31">
        <f>+'Semi Annual '!AH193</f>
        <v>257486.11</v>
      </c>
      <c r="D31" s="31">
        <f>+'Restaing Adjustments'!R31</f>
        <v>-78460</v>
      </c>
      <c r="E31" s="31">
        <f t="shared" si="5"/>
        <v>179026.11</v>
      </c>
      <c r="F31" s="78">
        <f>+'Profroma Adjustments'!G31</f>
        <v>9256.9</v>
      </c>
      <c r="G31" s="32">
        <f t="shared" si="6"/>
        <v>188283.00999999998</v>
      </c>
      <c r="H31" s="38" t="s">
        <v>230</v>
      </c>
      <c r="I31" s="31">
        <f>+G31*'Allocation Statistics'!$D$14</f>
        <v>163045.32730946102</v>
      </c>
      <c r="J31" s="31">
        <f>+G31*'Allocation Statistics'!$F$14</f>
        <v>25237.682690538972</v>
      </c>
      <c r="K31" s="31"/>
      <c r="L31" s="31">
        <f t="shared" si="7"/>
        <v>163045.32730946102</v>
      </c>
      <c r="M31" s="31"/>
      <c r="N31" s="31"/>
      <c r="O31" s="31"/>
      <c r="P31" s="31"/>
      <c r="Q31" s="31"/>
      <c r="R31" s="31"/>
      <c r="S31" s="31"/>
      <c r="T31" s="31"/>
      <c r="U31" s="23"/>
      <c r="V31" s="23"/>
      <c r="W31" s="23"/>
    </row>
    <row r="32" spans="1:23" ht="15.75" x14ac:dyDescent="0.25">
      <c r="A32">
        <f t="shared" si="8"/>
        <v>30</v>
      </c>
      <c r="B32" s="24" t="s">
        <v>139</v>
      </c>
      <c r="C32" s="31">
        <f>+'Semi Annual '!AJ193</f>
        <v>32345.399999999998</v>
      </c>
      <c r="D32" s="31">
        <f>+'Restaing Adjustments'!R32</f>
        <v>0</v>
      </c>
      <c r="E32" s="31">
        <f t="shared" si="5"/>
        <v>32345.399999999998</v>
      </c>
      <c r="G32" s="32">
        <f t="shared" si="6"/>
        <v>32345.399999999998</v>
      </c>
      <c r="H32" s="38" t="s">
        <v>230</v>
      </c>
      <c r="I32" s="31">
        <f>+G32*'Allocation Statistics'!$D$14</f>
        <v>28009.783410385466</v>
      </c>
      <c r="J32" s="31">
        <f>+E32*'Allocation Statistics'!$F$14</f>
        <v>4335.616589614534</v>
      </c>
      <c r="K32" s="31"/>
      <c r="L32" s="31">
        <f t="shared" si="7"/>
        <v>28009.783410385466</v>
      </c>
      <c r="M32" s="31"/>
      <c r="N32" s="31"/>
      <c r="O32" s="31"/>
      <c r="P32" s="31"/>
      <c r="Q32" s="31"/>
      <c r="R32" s="31"/>
      <c r="S32" s="31"/>
      <c r="T32" s="31"/>
      <c r="U32" s="23"/>
      <c r="V32" s="23"/>
      <c r="W32" s="23"/>
    </row>
    <row r="33" spans="1:23" ht="15.75" x14ac:dyDescent="0.25">
      <c r="A33">
        <f t="shared" si="8"/>
        <v>31</v>
      </c>
      <c r="B33" s="24" t="s">
        <v>266</v>
      </c>
      <c r="C33" s="31">
        <f>+'Semi Annual '!AL146</f>
        <v>16102.08</v>
      </c>
      <c r="D33" s="31">
        <f>+'Restaing Adjustments'!R33</f>
        <v>-16102.08</v>
      </c>
      <c r="E33" s="31">
        <f t="shared" si="5"/>
        <v>0</v>
      </c>
      <c r="G33" s="32">
        <f t="shared" si="6"/>
        <v>0</v>
      </c>
      <c r="H33" s="38" t="s">
        <v>230</v>
      </c>
      <c r="I33" s="31">
        <f>+G33*'Allocation Statistics'!$D$14</f>
        <v>0</v>
      </c>
      <c r="J33" s="31">
        <f>+E33*'Allocation Statistics'!$F$14</f>
        <v>0</v>
      </c>
      <c r="K33" s="31"/>
      <c r="L33" s="31">
        <f t="shared" si="7"/>
        <v>0</v>
      </c>
      <c r="M33" s="31"/>
      <c r="N33" s="31"/>
      <c r="O33" s="31"/>
      <c r="P33" s="31"/>
      <c r="Q33" s="31"/>
      <c r="R33" s="31"/>
      <c r="S33" s="31"/>
      <c r="T33" s="31"/>
      <c r="U33" s="23"/>
      <c r="V33" s="23"/>
      <c r="W33" s="23"/>
    </row>
    <row r="34" spans="1:23" ht="15.75" x14ac:dyDescent="0.25">
      <c r="A34">
        <f t="shared" si="8"/>
        <v>32</v>
      </c>
      <c r="B34" s="24" t="s">
        <v>141</v>
      </c>
      <c r="C34" s="31">
        <f>+'Semi Annual '!AL147</f>
        <v>97491.55</v>
      </c>
      <c r="D34" s="31">
        <f>+'Restaing Adjustments'!R34</f>
        <v>-5908.57</v>
      </c>
      <c r="E34" s="31">
        <f t="shared" si="5"/>
        <v>91582.98000000001</v>
      </c>
      <c r="G34" s="32">
        <f t="shared" si="6"/>
        <v>91582.98000000001</v>
      </c>
      <c r="H34" s="38" t="s">
        <v>265</v>
      </c>
      <c r="I34" s="31">
        <v>81894</v>
      </c>
      <c r="J34" s="31">
        <f>+E34-I34</f>
        <v>9688.9800000000105</v>
      </c>
      <c r="K34" s="31"/>
      <c r="L34" s="31">
        <f t="shared" si="7"/>
        <v>81894</v>
      </c>
      <c r="M34" s="31"/>
      <c r="N34" s="31"/>
      <c r="O34" s="31"/>
      <c r="P34" s="31"/>
      <c r="Q34" s="31"/>
      <c r="R34" s="31"/>
      <c r="S34" s="31"/>
      <c r="T34" s="31"/>
      <c r="U34" s="23"/>
      <c r="V34" s="23"/>
      <c r="W34" s="23"/>
    </row>
    <row r="35" spans="1:23" ht="15.75" x14ac:dyDescent="0.25">
      <c r="A35">
        <f t="shared" si="8"/>
        <v>33</v>
      </c>
      <c r="B35" s="24" t="s">
        <v>142</v>
      </c>
      <c r="C35" s="31">
        <f>+'Semi Annual '!AK193</f>
        <v>269140.23</v>
      </c>
      <c r="D35" s="31">
        <f>+'Restaing Adjustments'!R35</f>
        <v>-125743.55499999999</v>
      </c>
      <c r="E35" s="31">
        <f t="shared" si="5"/>
        <v>143396.67499999999</v>
      </c>
      <c r="G35" s="32">
        <f t="shared" si="6"/>
        <v>143396.67499999999</v>
      </c>
      <c r="H35" s="38" t="s">
        <v>265</v>
      </c>
      <c r="I35" s="31">
        <v>124036</v>
      </c>
      <c r="J35" s="31">
        <f>+E35-I35</f>
        <v>19360.674999999988</v>
      </c>
      <c r="K35" s="31"/>
      <c r="L35" s="31">
        <f t="shared" si="7"/>
        <v>124036</v>
      </c>
      <c r="M35" s="31"/>
      <c r="N35" s="31"/>
      <c r="O35" s="31"/>
      <c r="P35" s="31"/>
      <c r="Q35" s="31"/>
      <c r="R35" s="31"/>
      <c r="S35" s="31"/>
      <c r="T35" s="31"/>
      <c r="U35" s="23"/>
      <c r="V35" s="23"/>
      <c r="W35" s="23"/>
    </row>
    <row r="36" spans="1:23" ht="15.75" x14ac:dyDescent="0.25">
      <c r="A36">
        <f t="shared" si="8"/>
        <v>34</v>
      </c>
      <c r="B36" s="24" t="s">
        <v>143</v>
      </c>
      <c r="C36" s="31">
        <f>+'Semi Annual '!AM193</f>
        <v>43841.130000000005</v>
      </c>
      <c r="D36" s="31">
        <f>+'Restaing Adjustments'!R36</f>
        <v>0</v>
      </c>
      <c r="E36" s="31">
        <f t="shared" si="5"/>
        <v>43841.130000000005</v>
      </c>
      <c r="G36" s="32">
        <f t="shared" si="6"/>
        <v>43841.130000000005</v>
      </c>
      <c r="H36" s="38" t="s">
        <v>230</v>
      </c>
      <c r="I36" s="31">
        <f>+G36*'Allocation Statistics'!$D$14</f>
        <v>37964.611838671117</v>
      </c>
      <c r="J36" s="31">
        <f>+E36*'Allocation Statistics'!$F$14</f>
        <v>5876.5181613288905</v>
      </c>
      <c r="K36" s="31"/>
      <c r="L36" s="31">
        <f t="shared" si="7"/>
        <v>37964.611838671117</v>
      </c>
      <c r="M36" s="31"/>
      <c r="N36" s="31"/>
      <c r="O36" s="31"/>
      <c r="P36" s="31"/>
      <c r="Q36" s="31"/>
      <c r="R36" s="31"/>
      <c r="S36" s="31"/>
      <c r="T36" s="31"/>
      <c r="U36" s="23"/>
      <c r="V36" s="23"/>
      <c r="W36" s="23"/>
    </row>
    <row r="37" spans="1:23" ht="15.75" x14ac:dyDescent="0.25">
      <c r="A37">
        <f t="shared" si="8"/>
        <v>35</v>
      </c>
      <c r="B37" s="24" t="s">
        <v>144</v>
      </c>
      <c r="C37" s="31">
        <f>+'Semi Annual '!AN193</f>
        <v>9262.510000000002</v>
      </c>
      <c r="D37" s="31">
        <f>+'Restaing Adjustments'!R37</f>
        <v>8567.86</v>
      </c>
      <c r="E37" s="31">
        <f t="shared" si="5"/>
        <v>17830.370000000003</v>
      </c>
      <c r="G37" s="32">
        <f t="shared" si="6"/>
        <v>17830.370000000003</v>
      </c>
      <c r="H37" s="38" t="s">
        <v>265</v>
      </c>
      <c r="I37" s="31">
        <f>+'Bad Debts'!H39</f>
        <v>13935.04</v>
      </c>
      <c r="J37" s="31">
        <f>+E37-I37</f>
        <v>3895.3300000000017</v>
      </c>
      <c r="K37" s="31"/>
      <c r="L37" s="31">
        <f t="shared" si="7"/>
        <v>13935.04</v>
      </c>
      <c r="M37" s="31"/>
      <c r="N37" s="31"/>
      <c r="O37" s="31"/>
      <c r="P37" s="31"/>
      <c r="Q37" s="31"/>
      <c r="R37" s="31"/>
      <c r="S37" s="31"/>
      <c r="T37" s="31"/>
      <c r="U37" s="23"/>
      <c r="V37" s="23"/>
      <c r="W37" s="23"/>
    </row>
    <row r="38" spans="1:23" ht="15.75" x14ac:dyDescent="0.25">
      <c r="A38">
        <f t="shared" si="8"/>
        <v>36</v>
      </c>
      <c r="B38" s="24" t="s">
        <v>146</v>
      </c>
      <c r="C38" s="31">
        <f>+'Semi Annual '!AP153+'Semi Annual '!AP167</f>
        <v>1946.3600000000001</v>
      </c>
      <c r="D38" s="31">
        <f>+'Restaing Adjustments'!R38</f>
        <v>-1946.3600000000001</v>
      </c>
      <c r="E38" s="31">
        <f t="shared" si="5"/>
        <v>0</v>
      </c>
      <c r="G38" s="32">
        <f t="shared" si="6"/>
        <v>0</v>
      </c>
      <c r="H38" s="38"/>
      <c r="I38" s="31"/>
      <c r="J38" s="31"/>
      <c r="K38" s="31"/>
      <c r="L38" s="31">
        <f t="shared" si="7"/>
        <v>0</v>
      </c>
      <c r="M38" s="31"/>
      <c r="N38" s="31"/>
      <c r="O38" s="31"/>
      <c r="P38" s="31"/>
      <c r="Q38" s="31"/>
      <c r="R38" s="31"/>
      <c r="S38" s="31"/>
      <c r="T38" s="31"/>
      <c r="U38" s="23"/>
      <c r="V38" s="23"/>
      <c r="W38" s="23"/>
    </row>
    <row r="39" spans="1:23" ht="15.75" x14ac:dyDescent="0.25">
      <c r="A39">
        <f t="shared" si="8"/>
        <v>37</v>
      </c>
      <c r="B39" s="24" t="s">
        <v>147</v>
      </c>
      <c r="C39" s="31">
        <f>+'Semi Annual '!AQ193</f>
        <v>434101.83</v>
      </c>
      <c r="D39" s="31">
        <f>+'Restaing Adjustments'!R39</f>
        <v>46201.898196429189</v>
      </c>
      <c r="E39" s="31">
        <f t="shared" si="5"/>
        <v>480303.72819642921</v>
      </c>
      <c r="G39" s="32">
        <f t="shared" si="6"/>
        <v>480303.72819642921</v>
      </c>
      <c r="H39" s="38" t="s">
        <v>228</v>
      </c>
      <c r="I39" s="31">
        <f>+Depreciation!M282</f>
        <v>282026.72800056584</v>
      </c>
      <c r="J39" s="31">
        <f>+Depreciation!N282</f>
        <v>198277.00019586334</v>
      </c>
      <c r="K39" s="31"/>
      <c r="L39" s="31">
        <f t="shared" si="7"/>
        <v>282026.72800056584</v>
      </c>
      <c r="M39" s="31"/>
      <c r="N39" s="31"/>
      <c r="O39" s="31"/>
      <c r="P39" s="31"/>
      <c r="Q39" s="31"/>
      <c r="R39" s="31"/>
      <c r="S39" s="31"/>
      <c r="T39" s="31"/>
      <c r="U39" s="23"/>
      <c r="V39" s="23"/>
      <c r="W39" s="23"/>
    </row>
    <row r="40" spans="1:23" ht="15.75" x14ac:dyDescent="0.25">
      <c r="A40">
        <f t="shared" si="8"/>
        <v>38</v>
      </c>
      <c r="B40" s="24" t="s">
        <v>149</v>
      </c>
      <c r="C40" s="31">
        <f>+'Semi Annual '!AR193</f>
        <v>24204.38</v>
      </c>
      <c r="D40" s="31">
        <f>+'Restaing Adjustments'!R40</f>
        <v>-16978.54</v>
      </c>
      <c r="E40" s="31">
        <f t="shared" si="5"/>
        <v>7225.84</v>
      </c>
      <c r="G40" s="32">
        <f t="shared" si="6"/>
        <v>7225.84</v>
      </c>
      <c r="H40" s="38" t="s">
        <v>230</v>
      </c>
      <c r="I40" s="31">
        <f>+G40*'Allocation Statistics'!$D$14</f>
        <v>6257.2796551627043</v>
      </c>
      <c r="J40" s="31">
        <f>+E40*'Allocation Statistics'!$F$14</f>
        <v>968.5603448372965</v>
      </c>
      <c r="K40" s="31"/>
      <c r="L40" s="31">
        <f t="shared" si="7"/>
        <v>6257.2796551627043</v>
      </c>
      <c r="M40" s="31"/>
      <c r="N40" s="31"/>
      <c r="O40" s="31"/>
      <c r="P40" s="31"/>
      <c r="Q40" s="31"/>
      <c r="R40" s="31"/>
      <c r="S40" s="31"/>
      <c r="T40" s="31"/>
      <c r="U40" s="23"/>
      <c r="V40" s="23"/>
      <c r="W40" s="23"/>
    </row>
    <row r="41" spans="1:23" ht="15.75" x14ac:dyDescent="0.25">
      <c r="A41">
        <f t="shared" si="8"/>
        <v>39</v>
      </c>
      <c r="B41" s="24" t="s">
        <v>150</v>
      </c>
      <c r="C41" s="31">
        <f>+'Semi Annual '!AI193</f>
        <v>227838.52</v>
      </c>
      <c r="D41" s="31">
        <f>+'Restaing Adjustments'!R41</f>
        <v>0</v>
      </c>
      <c r="E41" s="31">
        <f t="shared" si="5"/>
        <v>227838.52</v>
      </c>
      <c r="G41" s="32">
        <f t="shared" si="6"/>
        <v>227838.52</v>
      </c>
      <c r="H41" s="53" t="s">
        <v>257</v>
      </c>
      <c r="I41" s="31">
        <f>+G41*'Allocation Statistics'!$D$10</f>
        <v>194160.69817892122</v>
      </c>
      <c r="J41" s="31">
        <f>+E41*'Allocation Statistics'!$F$10</f>
        <v>33677.821821078767</v>
      </c>
      <c r="K41" s="31"/>
      <c r="L41" s="31">
        <f t="shared" si="7"/>
        <v>194160.69817892122</v>
      </c>
      <c r="M41" s="31"/>
      <c r="N41" s="31"/>
      <c r="O41" s="31"/>
      <c r="P41" s="31"/>
      <c r="Q41" s="31"/>
      <c r="R41" s="31"/>
      <c r="S41" s="31"/>
      <c r="T41" s="31"/>
      <c r="U41" s="23"/>
      <c r="V41" s="23"/>
      <c r="W41" s="23"/>
    </row>
    <row r="42" spans="1:23" ht="15.75" x14ac:dyDescent="0.25">
      <c r="A42">
        <f t="shared" si="8"/>
        <v>40</v>
      </c>
      <c r="B42" s="24" t="s">
        <v>154</v>
      </c>
      <c r="C42" s="31">
        <f>+'Semi Annual '!AT193</f>
        <v>45801.64</v>
      </c>
      <c r="D42" s="31">
        <f>+'Restaing Adjustments'!R42</f>
        <v>0</v>
      </c>
      <c r="E42" s="31">
        <f t="shared" si="5"/>
        <v>45801.64</v>
      </c>
      <c r="G42" s="32">
        <f t="shared" si="6"/>
        <v>45801.64</v>
      </c>
      <c r="H42" s="38" t="s">
        <v>230</v>
      </c>
      <c r="I42" s="31">
        <f>+G42*'Allocation Statistics'!$D$14</f>
        <v>39662.332703891356</v>
      </c>
      <c r="J42" s="31">
        <f>+E42*'Allocation Statistics'!$F$14</f>
        <v>6139.3072961086473</v>
      </c>
      <c r="K42" s="31"/>
      <c r="L42" s="31">
        <f t="shared" si="7"/>
        <v>39662.332703891356</v>
      </c>
      <c r="M42" s="31"/>
      <c r="N42" s="31"/>
      <c r="O42" s="31"/>
      <c r="P42" s="31"/>
      <c r="Q42" s="31"/>
      <c r="R42" s="31"/>
      <c r="S42" s="31"/>
      <c r="T42" s="31"/>
      <c r="U42" s="23"/>
      <c r="V42" s="23"/>
      <c r="W42" s="23"/>
    </row>
    <row r="43" spans="1:23" ht="15.75" x14ac:dyDescent="0.25">
      <c r="A43">
        <f t="shared" si="8"/>
        <v>41</v>
      </c>
      <c r="B43" s="24" t="s">
        <v>155</v>
      </c>
      <c r="C43" s="31">
        <f>+'Semi Annual '!AU193</f>
        <v>177397.19</v>
      </c>
      <c r="D43" s="31">
        <f>+'Restaing Adjustments'!R43</f>
        <v>0</v>
      </c>
      <c r="E43" s="31">
        <f t="shared" si="5"/>
        <v>177397.19</v>
      </c>
      <c r="G43" s="32">
        <f t="shared" si="6"/>
        <v>177397.19</v>
      </c>
      <c r="H43" s="38" t="s">
        <v>230</v>
      </c>
      <c r="I43" s="31">
        <f>+G43*'Allocation Statistics'!$D$14</f>
        <v>153618.65580611149</v>
      </c>
      <c r="J43" s="31">
        <f>+E43*'Allocation Statistics'!$F$14</f>
        <v>23778.534193888518</v>
      </c>
      <c r="K43" s="31"/>
      <c r="L43" s="31">
        <f t="shared" si="7"/>
        <v>153618.65580611149</v>
      </c>
      <c r="M43" s="31"/>
      <c r="N43" s="31"/>
      <c r="O43" s="31"/>
      <c r="P43" s="31"/>
      <c r="Q43" s="31"/>
      <c r="R43" s="31"/>
      <c r="S43" s="31"/>
      <c r="T43" s="31"/>
      <c r="U43" s="23"/>
      <c r="V43" s="23"/>
      <c r="W43" s="23"/>
    </row>
    <row r="44" spans="1:23" ht="15.75" x14ac:dyDescent="0.25">
      <c r="A44">
        <f t="shared" si="8"/>
        <v>42</v>
      </c>
      <c r="B44" s="24" t="s">
        <v>159</v>
      </c>
      <c r="C44" s="31">
        <f>+'Semi Annual '!AV193</f>
        <v>11213.839999999997</v>
      </c>
      <c r="D44" s="31">
        <f>+'Restaing Adjustments'!R44</f>
        <v>0</v>
      </c>
      <c r="E44" s="31">
        <f t="shared" si="5"/>
        <v>11213.839999999997</v>
      </c>
      <c r="G44" s="32">
        <f t="shared" si="6"/>
        <v>11213.839999999997</v>
      </c>
      <c r="H44" s="38" t="s">
        <v>230</v>
      </c>
      <c r="I44" s="31">
        <f>+G44*'Allocation Statistics'!$D$14</f>
        <v>9710.7233052834981</v>
      </c>
      <c r="J44" s="31">
        <f>+E44*'Allocation Statistics'!$F$14</f>
        <v>1503.1166947164988</v>
      </c>
      <c r="K44" s="31"/>
      <c r="L44" s="31">
        <f t="shared" si="7"/>
        <v>9710.7233052834981</v>
      </c>
      <c r="M44" s="31"/>
      <c r="N44" s="31"/>
      <c r="O44" s="31"/>
      <c r="P44" s="31"/>
      <c r="Q44" s="31"/>
      <c r="R44" s="31"/>
      <c r="S44" s="31"/>
      <c r="T44" s="31"/>
      <c r="U44" s="23"/>
      <c r="V44" s="23"/>
      <c r="W44" s="23"/>
    </row>
    <row r="45" spans="1:23" ht="15.75" x14ac:dyDescent="0.25">
      <c r="A45">
        <f t="shared" si="8"/>
        <v>43</v>
      </c>
      <c r="B45" s="24" t="s">
        <v>161</v>
      </c>
      <c r="C45" s="31">
        <f>+'Semi Annual '!AO193</f>
        <v>138469.10999999999</v>
      </c>
      <c r="D45" s="31">
        <f>+'Restaing Adjustments'!R45</f>
        <v>0</v>
      </c>
      <c r="E45" s="31">
        <f t="shared" si="5"/>
        <v>138469.10999999999</v>
      </c>
      <c r="G45" s="32">
        <f t="shared" si="6"/>
        <v>138469.10999999999</v>
      </c>
      <c r="H45" s="38" t="s">
        <v>230</v>
      </c>
      <c r="I45" s="31">
        <f>+G45*'Allocation Statistics'!$D$14</f>
        <v>119908.54279523023</v>
      </c>
      <c r="J45" s="31">
        <f>+E45*'Allocation Statistics'!$F$14</f>
        <v>18560.567204769759</v>
      </c>
      <c r="K45" s="31"/>
      <c r="L45" s="31">
        <f t="shared" si="7"/>
        <v>119908.54279523023</v>
      </c>
      <c r="M45" s="31"/>
      <c r="N45" s="31"/>
      <c r="O45" s="31"/>
      <c r="P45" s="31"/>
      <c r="Q45" s="31"/>
      <c r="R45" s="31"/>
      <c r="S45" s="31"/>
      <c r="T45" s="31"/>
      <c r="U45" s="23"/>
      <c r="V45" s="23"/>
      <c r="W45" s="23"/>
    </row>
    <row r="46" spans="1:23" ht="15.75" x14ac:dyDescent="0.25">
      <c r="A46">
        <f t="shared" si="8"/>
        <v>44</v>
      </c>
      <c r="B46" s="24" t="s">
        <v>163</v>
      </c>
      <c r="C46" s="31">
        <f>+'Semi Annual '!AZ193</f>
        <v>2350.9000000000024</v>
      </c>
      <c r="D46" s="31">
        <f>+'Restaing Adjustments'!R46</f>
        <v>0</v>
      </c>
      <c r="E46" s="31">
        <f t="shared" si="5"/>
        <v>2350.9000000000024</v>
      </c>
      <c r="G46" s="32">
        <f t="shared" si="6"/>
        <v>2350.9000000000024</v>
      </c>
      <c r="H46" s="38" t="s">
        <v>230</v>
      </c>
      <c r="I46" s="31">
        <f>+G46*'Allocation Statistics'!$D$14</f>
        <v>2035.7825168177008</v>
      </c>
      <c r="J46" s="31">
        <f>+E46*'Allocation Statistics'!$F$14</f>
        <v>315.11748318230167</v>
      </c>
      <c r="K46" s="31"/>
      <c r="L46" s="31">
        <f t="shared" si="7"/>
        <v>2035.7825168177008</v>
      </c>
      <c r="M46" s="31"/>
      <c r="N46" s="31"/>
      <c r="O46" s="202"/>
      <c r="P46" s="31"/>
      <c r="Q46" s="31"/>
      <c r="R46" s="31"/>
      <c r="S46" s="31"/>
      <c r="T46" s="31"/>
      <c r="U46" s="23"/>
      <c r="V46" s="23"/>
      <c r="W46" s="23"/>
    </row>
    <row r="47" spans="1:23" ht="15.75" x14ac:dyDescent="0.25">
      <c r="A47">
        <f t="shared" si="8"/>
        <v>45</v>
      </c>
      <c r="B47" s="24" t="s">
        <v>164</v>
      </c>
      <c r="C47" s="31">
        <f>+'Semi Annual '!AW193</f>
        <v>120896.20000000001</v>
      </c>
      <c r="D47" s="31">
        <f>+'Restaing Adjustments'!R47</f>
        <v>0</v>
      </c>
      <c r="E47" s="31">
        <f t="shared" si="5"/>
        <v>120896.20000000001</v>
      </c>
      <c r="G47" s="32">
        <f t="shared" si="6"/>
        <v>120896.20000000001</v>
      </c>
      <c r="H47" s="38" t="s">
        <v>230</v>
      </c>
      <c r="I47" s="31">
        <f>+G47*'Allocation Statistics'!$D$14</f>
        <v>104691.12693423621</v>
      </c>
      <c r="J47" s="31">
        <f>+E47*'Allocation Statistics'!$F$14</f>
        <v>16205.073065763811</v>
      </c>
      <c r="K47" s="31"/>
      <c r="L47" s="31">
        <f t="shared" si="7"/>
        <v>104691.12693423621</v>
      </c>
      <c r="M47" s="31"/>
      <c r="N47" s="31"/>
      <c r="O47" s="202"/>
      <c r="P47" s="31"/>
      <c r="Q47" s="31"/>
      <c r="R47" s="31"/>
      <c r="S47" s="31"/>
      <c r="T47" s="31"/>
      <c r="U47" s="23"/>
      <c r="V47" s="23"/>
      <c r="W47" s="23"/>
    </row>
    <row r="48" spans="1:23" ht="15.75" x14ac:dyDescent="0.25">
      <c r="A48">
        <f t="shared" si="8"/>
        <v>46</v>
      </c>
      <c r="B48" s="24" t="s">
        <v>245</v>
      </c>
      <c r="C48" s="31">
        <f>+'Semi Annual '!AX193</f>
        <v>50255.130000000005</v>
      </c>
      <c r="D48" s="31">
        <f>+'Restaing Adjustments'!R48</f>
        <v>0</v>
      </c>
      <c r="E48" s="31">
        <f t="shared" si="5"/>
        <v>50255.130000000005</v>
      </c>
      <c r="G48" s="32">
        <f t="shared" si="6"/>
        <v>50255.130000000005</v>
      </c>
      <c r="H48" s="38" t="s">
        <v>230</v>
      </c>
      <c r="I48" s="31">
        <f>+G48*'Allocation Statistics'!$D$14</f>
        <v>43518.871510655772</v>
      </c>
      <c r="J48" s="31">
        <f>+E48*'Allocation Statistics'!$F$14</f>
        <v>6736.2584893442381</v>
      </c>
      <c r="K48" s="31"/>
      <c r="L48" s="31">
        <f t="shared" si="7"/>
        <v>43518.871510655772</v>
      </c>
      <c r="M48" s="31"/>
      <c r="N48" s="31"/>
      <c r="O48" s="202"/>
      <c r="P48" s="31"/>
      <c r="Q48" s="31"/>
      <c r="R48" s="31"/>
      <c r="S48" s="31"/>
      <c r="T48" s="31"/>
      <c r="U48" s="23"/>
      <c r="V48" s="23"/>
      <c r="W48" s="23"/>
    </row>
    <row r="49" spans="1:23" ht="15.75" x14ac:dyDescent="0.25">
      <c r="A49">
        <f t="shared" si="8"/>
        <v>47</v>
      </c>
      <c r="B49" s="24" t="s">
        <v>175</v>
      </c>
      <c r="C49" s="31">
        <f>+'Semi Annual '!AY193</f>
        <v>7011.7199999999993</v>
      </c>
      <c r="D49" s="31">
        <f>+'Restaing Adjustments'!R49</f>
        <v>0</v>
      </c>
      <c r="E49" s="31">
        <f t="shared" si="5"/>
        <v>7011.7199999999993</v>
      </c>
      <c r="G49" s="32">
        <f t="shared" si="6"/>
        <v>7011.7199999999993</v>
      </c>
      <c r="H49" s="38" t="s">
        <v>230</v>
      </c>
      <c r="I49" s="31">
        <f>+G49*'Allocation Statistics'!$D$14</f>
        <v>6071.8605592841013</v>
      </c>
      <c r="J49" s="31">
        <f>+E49*'Allocation Statistics'!$F$14</f>
        <v>939.85944071589847</v>
      </c>
      <c r="K49" s="31"/>
      <c r="L49" s="31">
        <f t="shared" si="7"/>
        <v>6071.8605592841013</v>
      </c>
      <c r="M49" s="31"/>
      <c r="N49" s="31"/>
      <c r="O49" s="31"/>
      <c r="P49" s="31"/>
      <c r="Q49" s="31"/>
      <c r="R49" s="31"/>
      <c r="S49" s="31"/>
      <c r="T49" s="31"/>
      <c r="U49" s="23"/>
      <c r="V49" s="23"/>
      <c r="W49" s="23"/>
    </row>
    <row r="50" spans="1:23" ht="15.75" x14ac:dyDescent="0.25">
      <c r="A50">
        <f t="shared" si="8"/>
        <v>48</v>
      </c>
      <c r="B50" s="24" t="s">
        <v>176</v>
      </c>
      <c r="C50" s="31">
        <f>+'Semi Annual '!BA193</f>
        <v>41500.32</v>
      </c>
      <c r="D50" s="31">
        <f>+'Restaing Adjustments'!R50</f>
        <v>0</v>
      </c>
      <c r="E50" s="31">
        <f t="shared" si="5"/>
        <v>41500.32</v>
      </c>
      <c r="G50" s="32">
        <f t="shared" si="6"/>
        <v>41500.32</v>
      </c>
      <c r="H50" s="38" t="s">
        <v>231</v>
      </c>
      <c r="I50" s="31">
        <f>+G50*I17</f>
        <v>34125.515443121105</v>
      </c>
      <c r="J50" s="31">
        <f>+E50*J17</f>
        <v>7374.8045568789021</v>
      </c>
      <c r="K50" s="31">
        <f>+K15*0.015</f>
        <v>3430.8847439524343</v>
      </c>
      <c r="L50" s="31">
        <f t="shared" si="7"/>
        <v>37556.400187073537</v>
      </c>
      <c r="M50" s="31"/>
      <c r="N50" s="202"/>
      <c r="O50" s="31"/>
      <c r="P50" s="31"/>
      <c r="Q50" s="31"/>
      <c r="R50" s="31"/>
      <c r="S50" s="31"/>
      <c r="T50" s="31"/>
      <c r="U50" s="23"/>
      <c r="V50" s="23"/>
      <c r="W50" s="23"/>
    </row>
    <row r="51" spans="1:23" ht="15.75" x14ac:dyDescent="0.25">
      <c r="A51">
        <f t="shared" si="8"/>
        <v>49</v>
      </c>
      <c r="B51" s="24" t="s">
        <v>178</v>
      </c>
      <c r="C51" s="31">
        <f>+'Semi Annual '!BB193</f>
        <v>82376.97</v>
      </c>
      <c r="D51" s="31">
        <f>+'Restaing Adjustments'!R51</f>
        <v>0</v>
      </c>
      <c r="E51" s="31">
        <f t="shared" si="5"/>
        <v>82376.97</v>
      </c>
      <c r="G51" s="32">
        <f t="shared" si="6"/>
        <v>82376.97</v>
      </c>
      <c r="H51" s="38" t="s">
        <v>230</v>
      </c>
      <c r="I51" s="31">
        <f>+G51*'Allocation Statistics'!$D$14</f>
        <v>71335.061174195449</v>
      </c>
      <c r="J51" s="31">
        <f>+E51*'Allocation Statistics'!$F$14</f>
        <v>11041.908825804561</v>
      </c>
      <c r="K51" s="31"/>
      <c r="L51" s="31">
        <f t="shared" si="7"/>
        <v>71335.061174195449</v>
      </c>
      <c r="M51" s="31"/>
      <c r="N51" s="202"/>
      <c r="O51" s="31"/>
      <c r="P51" s="31"/>
      <c r="Q51" s="31"/>
      <c r="R51" s="31"/>
      <c r="S51" s="31"/>
      <c r="T51" s="31"/>
      <c r="U51" s="23"/>
      <c r="V51" s="23"/>
      <c r="W51" s="23"/>
    </row>
    <row r="52" spans="1:23" ht="15.75" x14ac:dyDescent="0.25">
      <c r="A52">
        <f t="shared" si="8"/>
        <v>50</v>
      </c>
      <c r="B52" s="24" t="s">
        <v>179</v>
      </c>
      <c r="C52" s="31">
        <f>+'Semi Annual '!BC193</f>
        <v>2507.3399999999997</v>
      </c>
      <c r="D52" s="31">
        <f>+'Restaing Adjustments'!R52</f>
        <v>0</v>
      </c>
      <c r="E52" s="31">
        <f t="shared" si="5"/>
        <v>2507.3399999999997</v>
      </c>
      <c r="G52" s="32">
        <f t="shared" si="6"/>
        <v>2507.3399999999997</v>
      </c>
      <c r="H52" s="38" t="s">
        <v>230</v>
      </c>
      <c r="I52" s="31">
        <f>+G52*'Allocation Statistics'!$D$14</f>
        <v>2171.2531097527281</v>
      </c>
      <c r="J52" s="31">
        <f>+E52*'Allocation Statistics'!$F$14</f>
        <v>336.08689024727181</v>
      </c>
      <c r="K52" s="31"/>
      <c r="L52" s="31">
        <f t="shared" si="7"/>
        <v>2171.2531097527281</v>
      </c>
      <c r="M52" s="31"/>
      <c r="N52" s="202"/>
      <c r="O52" s="31"/>
      <c r="P52" s="31"/>
      <c r="Q52" s="31"/>
      <c r="R52" s="31"/>
      <c r="S52" s="31"/>
      <c r="T52" s="31"/>
      <c r="U52" s="23"/>
      <c r="V52" s="23"/>
      <c r="W52" s="23"/>
    </row>
    <row r="53" spans="1:23" ht="15.75" x14ac:dyDescent="0.25">
      <c r="A53">
        <f t="shared" si="8"/>
        <v>51</v>
      </c>
      <c r="B53" s="24" t="s">
        <v>246</v>
      </c>
      <c r="C53" s="31">
        <f>+'Semi Annual '!AS193</f>
        <v>229233.78999999998</v>
      </c>
      <c r="D53" s="31">
        <f>+'Restaing Adjustments'!R53</f>
        <v>0</v>
      </c>
      <c r="E53" s="31">
        <f t="shared" si="5"/>
        <v>229233.78999999998</v>
      </c>
      <c r="G53" s="32">
        <f t="shared" si="6"/>
        <v>229233.78999999998</v>
      </c>
      <c r="H53" s="38" t="s">
        <v>230</v>
      </c>
      <c r="I53" s="31">
        <f>+G53*'Allocation Statistics'!$D$14</f>
        <v>198507.01516264401</v>
      </c>
      <c r="J53" s="31">
        <f>+E53*'Allocation Statistics'!$F$14</f>
        <v>30726.774837355988</v>
      </c>
      <c r="K53" s="31"/>
      <c r="L53" s="31">
        <f t="shared" si="7"/>
        <v>198507.01516264401</v>
      </c>
      <c r="M53" s="31"/>
      <c r="N53" s="31"/>
      <c r="O53" s="31"/>
      <c r="P53" s="31"/>
      <c r="Q53" s="31"/>
      <c r="R53" s="31"/>
      <c r="S53" s="31"/>
      <c r="T53" s="31"/>
      <c r="U53" s="23"/>
      <c r="V53" s="23"/>
      <c r="W53" s="23"/>
    </row>
    <row r="54" spans="1:23" ht="15.75" x14ac:dyDescent="0.25">
      <c r="A54">
        <f t="shared" si="8"/>
        <v>52</v>
      </c>
      <c r="B54" s="24" t="s">
        <v>269</v>
      </c>
      <c r="C54" s="31"/>
      <c r="D54" s="31">
        <f>+'Restaing Adjustments'!R54</f>
        <v>16978.54</v>
      </c>
      <c r="E54" s="31">
        <f t="shared" si="5"/>
        <v>16978.54</v>
      </c>
      <c r="G54" s="32">
        <f t="shared" si="6"/>
        <v>16978.54</v>
      </c>
      <c r="H54" s="38" t="s">
        <v>228</v>
      </c>
      <c r="I54" s="31">
        <f>+G54</f>
        <v>16978.54</v>
      </c>
      <c r="J54" s="31"/>
      <c r="K54" s="31">
        <f>+I54*0.004</f>
        <v>67.91416000000001</v>
      </c>
      <c r="L54" s="31">
        <f t="shared" si="7"/>
        <v>17046.454160000001</v>
      </c>
      <c r="M54" s="31"/>
      <c r="N54" s="31"/>
      <c r="O54" s="31"/>
      <c r="P54" s="31"/>
      <c r="Q54" s="31"/>
      <c r="R54" s="31"/>
      <c r="S54" s="31"/>
      <c r="T54" s="31"/>
      <c r="U54" s="23"/>
      <c r="V54" s="23"/>
      <c r="W54" s="23"/>
    </row>
    <row r="55" spans="1:23" ht="15.75" x14ac:dyDescent="0.25">
      <c r="A55">
        <f t="shared" si="8"/>
        <v>53</v>
      </c>
      <c r="B55" s="24" t="s">
        <v>181</v>
      </c>
      <c r="C55" s="31">
        <f>+'Semi Annual '!BD193</f>
        <v>30921.230000000003</v>
      </c>
      <c r="D55" s="31">
        <f>+'Restaing Adjustments'!R55</f>
        <v>0</v>
      </c>
      <c r="E55" s="31">
        <f t="shared" si="5"/>
        <v>30921.230000000003</v>
      </c>
      <c r="G55" s="32">
        <f t="shared" si="6"/>
        <v>30921.230000000003</v>
      </c>
      <c r="H55" s="38" t="s">
        <v>230</v>
      </c>
      <c r="I55" s="31">
        <f>+G55*'Allocation Statistics'!$D$14</f>
        <v>26776.510882002185</v>
      </c>
      <c r="J55" s="31">
        <f>+E55*'Allocation Statistics'!$F$14</f>
        <v>4144.719117997819</v>
      </c>
      <c r="K55" s="31"/>
      <c r="L55" s="31">
        <f t="shared" si="7"/>
        <v>26776.510882002185</v>
      </c>
      <c r="M55" s="31"/>
      <c r="N55" s="31"/>
      <c r="O55" s="31"/>
      <c r="P55" s="31"/>
      <c r="Q55" s="31"/>
      <c r="R55" s="31"/>
      <c r="S55" s="31"/>
      <c r="T55" s="31"/>
      <c r="U55" s="23"/>
      <c r="V55" s="23"/>
      <c r="W55" s="23"/>
    </row>
    <row r="56" spans="1:23" ht="15.75" x14ac:dyDescent="0.25">
      <c r="A56">
        <f t="shared" si="8"/>
        <v>54</v>
      </c>
      <c r="B56" s="24" t="s">
        <v>182</v>
      </c>
      <c r="C56" s="31">
        <f>+'Semi Annual '!BE193</f>
        <v>26370.16</v>
      </c>
      <c r="D56" s="31">
        <f>+'Restaing Adjustments'!R56</f>
        <v>0</v>
      </c>
      <c r="E56" s="31">
        <f t="shared" si="5"/>
        <v>26370.16</v>
      </c>
      <c r="G56" s="32">
        <f t="shared" si="6"/>
        <v>26370.16</v>
      </c>
      <c r="H56" s="38" t="s">
        <v>230</v>
      </c>
      <c r="I56" s="31">
        <f>+G56*'Allocation Statistics'!$D$14</f>
        <v>22835.471816617213</v>
      </c>
      <c r="J56" s="31">
        <f>+E56*'Allocation Statistics'!$F$14</f>
        <v>3534.6881833827874</v>
      </c>
      <c r="K56" s="31"/>
      <c r="L56" s="31">
        <f t="shared" si="7"/>
        <v>22835.471816617213</v>
      </c>
      <c r="M56" s="31"/>
      <c r="N56" s="31"/>
      <c r="O56" s="31"/>
      <c r="P56" s="31"/>
      <c r="Q56" s="31"/>
      <c r="R56" s="31"/>
      <c r="S56" s="31"/>
      <c r="T56" s="31"/>
      <c r="U56" s="23"/>
      <c r="V56" s="23"/>
      <c r="W56" s="23"/>
    </row>
    <row r="57" spans="1:23" ht="15.75" x14ac:dyDescent="0.25">
      <c r="A57">
        <f t="shared" si="8"/>
        <v>55</v>
      </c>
      <c r="B57" s="24" t="s">
        <v>183</v>
      </c>
      <c r="C57" s="31">
        <f>+'Semi Annual '!AP191</f>
        <v>97081.760000000009</v>
      </c>
      <c r="D57" s="31">
        <f>+'Restaing Adjustments'!R57</f>
        <v>-97081.760000000009</v>
      </c>
      <c r="E57" s="31">
        <f t="shared" si="5"/>
        <v>0</v>
      </c>
      <c r="G57" s="32">
        <f t="shared" si="6"/>
        <v>0</v>
      </c>
      <c r="H57" s="38"/>
      <c r="I57" s="31"/>
      <c r="J57" s="31"/>
      <c r="K57" s="31"/>
      <c r="L57" s="31">
        <f t="shared" si="7"/>
        <v>0</v>
      </c>
      <c r="M57" s="31"/>
      <c r="N57" s="31"/>
      <c r="O57" s="31"/>
      <c r="P57" s="31"/>
      <c r="Q57" s="31"/>
      <c r="R57" s="31"/>
      <c r="S57" s="31"/>
      <c r="T57" s="31"/>
      <c r="U57" s="23"/>
      <c r="V57" s="23"/>
      <c r="W57" s="23"/>
    </row>
    <row r="58" spans="1:23" ht="15.75" x14ac:dyDescent="0.25">
      <c r="A58">
        <f t="shared" si="8"/>
        <v>56</v>
      </c>
      <c r="B58" s="24" t="s">
        <v>184</v>
      </c>
      <c r="C58" s="33">
        <f>+'Semi Annual '!AP192</f>
        <v>33089.160000000003</v>
      </c>
      <c r="D58" s="31">
        <f>+'Restaing Adjustments'!R58</f>
        <v>-33089.160000000003</v>
      </c>
      <c r="E58" s="31">
        <f t="shared" si="5"/>
        <v>0</v>
      </c>
      <c r="G58" s="114">
        <f t="shared" si="6"/>
        <v>0</v>
      </c>
      <c r="H58" s="38"/>
      <c r="I58" s="31"/>
      <c r="J58" s="31"/>
      <c r="K58" s="31"/>
      <c r="L58" s="31">
        <f t="shared" si="7"/>
        <v>0</v>
      </c>
      <c r="M58" s="31"/>
      <c r="N58" s="31"/>
      <c r="O58" s="31"/>
      <c r="P58" s="31"/>
      <c r="Q58" s="31"/>
      <c r="R58" s="31"/>
      <c r="S58" s="31"/>
      <c r="T58" s="31"/>
      <c r="U58" s="23"/>
      <c r="V58" s="23"/>
      <c r="W58" s="23"/>
    </row>
    <row r="59" spans="1:23" ht="15.75" x14ac:dyDescent="0.25">
      <c r="A59">
        <v>57</v>
      </c>
      <c r="B59" s="24" t="s">
        <v>185</v>
      </c>
      <c r="C59" s="37">
        <f>SUM(C19:C58)</f>
        <v>5655386.2499999991</v>
      </c>
      <c r="D59" s="37">
        <f>SUM(D19:D58)</f>
        <v>-270940.55680357083</v>
      </c>
      <c r="E59" s="37">
        <f>SUM(E19:E58)</f>
        <v>5384445.6931964289</v>
      </c>
      <c r="F59" s="37">
        <f>SUM(F19:F58)</f>
        <v>38862.69</v>
      </c>
      <c r="G59" s="216">
        <f t="shared" si="6"/>
        <v>5423308.3831964293</v>
      </c>
      <c r="H59" s="31"/>
      <c r="I59" s="37">
        <f>SUM(I19:I58)</f>
        <v>4535841.4855654137</v>
      </c>
      <c r="J59" s="37">
        <f>SUM(J19:J58)</f>
        <v>887466.89763101574</v>
      </c>
      <c r="K59" s="37">
        <f>SUM(K19:K58)</f>
        <v>3498.7989039524341</v>
      </c>
      <c r="L59" s="37">
        <f>SUM(L19:L58)</f>
        <v>4539340.2844693661</v>
      </c>
      <c r="M59" s="31"/>
      <c r="N59" s="31"/>
      <c r="O59" s="31"/>
      <c r="P59" s="31"/>
      <c r="Q59" s="31"/>
      <c r="R59" s="31"/>
      <c r="S59" s="31"/>
      <c r="T59" s="31"/>
      <c r="U59" s="23"/>
      <c r="V59" s="23"/>
      <c r="W59" s="23"/>
    </row>
    <row r="60" spans="1:23" ht="15.75" x14ac:dyDescent="0.25">
      <c r="B60" s="24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23"/>
      <c r="V60" s="23"/>
      <c r="W60" s="23"/>
    </row>
    <row r="61" spans="1:23" ht="16.5" thickBot="1" x14ac:dyDescent="0.3">
      <c r="A61">
        <v>58</v>
      </c>
      <c r="B61" s="24" t="s">
        <v>1</v>
      </c>
      <c r="C61" s="218">
        <f>+C15-C59</f>
        <v>3466.6100000003353</v>
      </c>
      <c r="D61" s="218">
        <f>+D15-D59</f>
        <v>270940.55680357083</v>
      </c>
      <c r="E61" s="218">
        <f>+E15-E59</f>
        <v>274407.16680357046</v>
      </c>
      <c r="F61" s="218">
        <f>+F15-F59</f>
        <v>-38862.69</v>
      </c>
      <c r="G61" s="218">
        <f>+G15-G59</f>
        <v>235544.47680357005</v>
      </c>
      <c r="H61" s="31"/>
      <c r="I61" s="218">
        <f>+I15-I59</f>
        <v>117406.26443458628</v>
      </c>
      <c r="J61" s="218">
        <f>+J15-J59</f>
        <v>118138.21236898436</v>
      </c>
      <c r="K61" s="218">
        <f>+K15-K59</f>
        <v>225226.85069287653</v>
      </c>
      <c r="L61" s="218">
        <f>+L15-L59</f>
        <v>342633.11512746196</v>
      </c>
      <c r="M61" s="31"/>
      <c r="N61" s="31"/>
      <c r="O61" s="31"/>
      <c r="P61" s="31"/>
      <c r="Q61" s="31"/>
      <c r="R61" s="31"/>
      <c r="S61" s="31"/>
      <c r="T61" s="31"/>
      <c r="U61" s="23"/>
      <c r="V61" s="23"/>
      <c r="W61" s="23"/>
    </row>
    <row r="62" spans="1:23" ht="16.5" thickTop="1" x14ac:dyDescent="0.25">
      <c r="A62">
        <v>59</v>
      </c>
      <c r="B62" s="24" t="s">
        <v>783</v>
      </c>
      <c r="C62" s="26">
        <f>+C59/C15</f>
        <v>0.99938740057644826</v>
      </c>
      <c r="D62" s="31"/>
      <c r="E62" s="26">
        <f>+E59/E15</f>
        <v>0.95150834036643062</v>
      </c>
      <c r="F62" s="26"/>
      <c r="G62" s="26">
        <f>+G59/G15</f>
        <v>0.95837593190158155</v>
      </c>
      <c r="H62" s="31"/>
      <c r="I62" s="26">
        <f>+I59/I15</f>
        <v>0.97476896336873831</v>
      </c>
      <c r="J62" s="26"/>
      <c r="K62" s="31"/>
      <c r="L62" s="26">
        <f>+L59/L15</f>
        <v>0.92981667717489858</v>
      </c>
      <c r="M62" s="31"/>
      <c r="N62" s="31"/>
      <c r="O62" s="31"/>
      <c r="P62" s="31"/>
      <c r="Q62" s="31"/>
      <c r="R62" s="31"/>
      <c r="S62" s="31"/>
      <c r="T62" s="31"/>
      <c r="U62" s="23"/>
      <c r="V62" s="23"/>
      <c r="W62" s="23"/>
    </row>
    <row r="63" spans="1:23" ht="15.75" x14ac:dyDescent="0.25">
      <c r="B63" s="24"/>
      <c r="C63" s="31"/>
      <c r="D63" s="31"/>
      <c r="E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23"/>
      <c r="V63" s="23"/>
      <c r="W63" s="23"/>
    </row>
    <row r="64" spans="1:23" ht="15.75" x14ac:dyDescent="0.25">
      <c r="B64" s="24"/>
      <c r="C64" s="31"/>
      <c r="D64" s="31"/>
      <c r="E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23"/>
      <c r="V64" s="23"/>
      <c r="W64" s="23"/>
    </row>
    <row r="65" spans="2:23" ht="15.75" x14ac:dyDescent="0.25">
      <c r="B65" s="23"/>
      <c r="C65" s="31">
        <f>+C59-'Semi Annual '!V194</f>
        <v>0</v>
      </c>
      <c r="D65" s="31"/>
      <c r="E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23"/>
      <c r="V65" s="23"/>
      <c r="W65" s="23"/>
    </row>
    <row r="66" spans="2:23" ht="15.75" x14ac:dyDescent="0.25">
      <c r="B66" s="23" t="s">
        <v>270</v>
      </c>
      <c r="C66" s="31"/>
      <c r="D66" s="31"/>
      <c r="E66" s="26">
        <v>0.92910000000000004</v>
      </c>
      <c r="H66" s="31"/>
      <c r="I66" s="31">
        <f>+I59/E66</f>
        <v>4881973.399596829</v>
      </c>
      <c r="J66" s="31"/>
      <c r="K66" s="26"/>
      <c r="L66" s="202"/>
      <c r="M66" s="26"/>
      <c r="N66" s="26"/>
      <c r="O66" s="31"/>
      <c r="P66" s="31"/>
      <c r="Q66" s="31"/>
      <c r="R66" s="31"/>
      <c r="S66" s="31"/>
      <c r="T66" s="31"/>
      <c r="U66" s="23"/>
      <c r="V66" s="23"/>
      <c r="W66" s="23"/>
    </row>
    <row r="67" spans="2:23" x14ac:dyDescent="0.25">
      <c r="C67" s="32"/>
      <c r="D67" s="32"/>
      <c r="E67" s="32"/>
      <c r="F67" s="32"/>
      <c r="G67" s="32"/>
      <c r="H67" s="32"/>
      <c r="I67" s="32"/>
      <c r="J67" s="32"/>
      <c r="K67" s="201"/>
      <c r="L67" s="32"/>
      <c r="M67" s="32"/>
      <c r="N67" s="32"/>
      <c r="O67" s="32"/>
      <c r="P67" s="32"/>
      <c r="Q67" s="32"/>
      <c r="R67" s="32"/>
      <c r="S67" s="32"/>
      <c r="T67" s="32"/>
    </row>
    <row r="68" spans="2:23" ht="15.75" x14ac:dyDescent="0.25">
      <c r="B68" s="23" t="s">
        <v>232</v>
      </c>
      <c r="C68" s="32"/>
      <c r="D68" s="32"/>
      <c r="E68" s="32"/>
      <c r="F68" s="32"/>
      <c r="G68" s="32"/>
      <c r="H68" s="32"/>
      <c r="I68" s="31">
        <f>+I66-I15</f>
        <v>228725.64959682897</v>
      </c>
      <c r="J68" s="32"/>
      <c r="K68" s="201"/>
      <c r="L68" s="32"/>
      <c r="M68" s="32"/>
      <c r="N68" s="32"/>
      <c r="O68" s="32"/>
      <c r="P68" s="32"/>
      <c r="Q68" s="32"/>
      <c r="R68" s="32"/>
      <c r="S68" s="32"/>
      <c r="T68" s="32"/>
    </row>
    <row r="69" spans="2:23" x14ac:dyDescent="0.2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</sheetData>
  <pageMargins left="0.25" right="0.25" top="0.75" bottom="0.75" header="0.3" footer="0.3"/>
  <pageSetup scale="74" fitToHeight="0" orientation="landscape" horizontalDpi="4294967293" r:id="rId1"/>
  <headerFooter>
    <oddFooter>&amp;L&amp;F &amp;D&amp;R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14" sqref="F14"/>
    </sheetView>
  </sheetViews>
  <sheetFormatPr defaultRowHeight="15" x14ac:dyDescent="0.25"/>
  <cols>
    <col min="4" max="4" width="14.140625" customWidth="1"/>
    <col min="6" max="6" width="11.5703125" customWidth="1"/>
  </cols>
  <sheetData>
    <row r="1" spans="1:9" ht="18.75" x14ac:dyDescent="0.3">
      <c r="A1" s="48" t="s">
        <v>233</v>
      </c>
      <c r="B1" s="47"/>
      <c r="C1" s="47"/>
      <c r="D1" s="47"/>
      <c r="E1" s="47"/>
      <c r="F1" s="47"/>
      <c r="G1" s="47"/>
      <c r="H1" s="47"/>
      <c r="I1" s="47"/>
    </row>
    <row r="2" spans="1:9" ht="18.75" x14ac:dyDescent="0.3">
      <c r="A2" s="48" t="s">
        <v>225</v>
      </c>
      <c r="B2" s="47"/>
      <c r="C2" s="47"/>
      <c r="D2" s="47"/>
      <c r="E2" s="47"/>
      <c r="F2" s="47"/>
      <c r="G2" s="47"/>
      <c r="H2" s="47"/>
      <c r="I2" s="47"/>
    </row>
    <row r="3" spans="1:9" ht="18.75" x14ac:dyDescent="0.3">
      <c r="A3" s="48" t="s">
        <v>234</v>
      </c>
      <c r="B3" s="47"/>
      <c r="C3" s="47"/>
      <c r="D3" s="47"/>
      <c r="E3" s="47"/>
      <c r="F3" s="47"/>
      <c r="G3" s="47"/>
      <c r="H3" s="203"/>
      <c r="I3" s="47"/>
    </row>
    <row r="4" spans="1:9" ht="30" x14ac:dyDescent="0.25">
      <c r="A4" s="35"/>
      <c r="D4" s="49" t="s">
        <v>229</v>
      </c>
      <c r="E4" s="34"/>
      <c r="F4" s="50" t="s">
        <v>189</v>
      </c>
      <c r="G4" s="34"/>
      <c r="H4" s="204"/>
    </row>
    <row r="5" spans="1:9" x14ac:dyDescent="0.25">
      <c r="A5" s="35" t="s">
        <v>258</v>
      </c>
      <c r="D5" s="32"/>
      <c r="E5" s="32"/>
      <c r="F5" s="32"/>
      <c r="G5" s="32"/>
      <c r="H5" s="110"/>
    </row>
    <row r="6" spans="1:9" x14ac:dyDescent="0.25">
      <c r="D6" s="36"/>
      <c r="F6" s="36"/>
    </row>
    <row r="7" spans="1:9" x14ac:dyDescent="0.25">
      <c r="D7" s="32"/>
      <c r="E7" s="32"/>
      <c r="F7" s="32"/>
      <c r="G7" s="32"/>
      <c r="H7" s="32"/>
    </row>
    <row r="8" spans="1:9" x14ac:dyDescent="0.25">
      <c r="A8" s="35" t="s">
        <v>259</v>
      </c>
      <c r="D8" s="36">
        <v>0.87973201154746994</v>
      </c>
      <c r="F8" s="36">
        <v>0.12026798845253009</v>
      </c>
    </row>
    <row r="10" spans="1:9" x14ac:dyDescent="0.25">
      <c r="A10" s="35" t="s">
        <v>260</v>
      </c>
      <c r="D10" s="36">
        <v>0.85218556624631003</v>
      </c>
      <c r="F10" s="36">
        <v>0.14781443375368997</v>
      </c>
    </row>
    <row r="11" spans="1:9" x14ac:dyDescent="0.25">
      <c r="D11" s="36"/>
      <c r="F11" s="36"/>
    </row>
    <row r="12" spans="1:9" x14ac:dyDescent="0.25">
      <c r="A12" s="35" t="s">
        <v>252</v>
      </c>
      <c r="D12" s="36">
        <f>+'Pro Forma'!I17</f>
        <v>0.82229523635290291</v>
      </c>
      <c r="F12" s="36">
        <f>+'Pro Forma'!J17</f>
        <v>0.17770476364709722</v>
      </c>
    </row>
    <row r="13" spans="1:9" x14ac:dyDescent="0.25">
      <c r="D13" s="36"/>
      <c r="F13" s="36"/>
    </row>
    <row r="14" spans="1:9" x14ac:dyDescent="0.25">
      <c r="A14" s="35" t="s">
        <v>254</v>
      </c>
      <c r="D14" s="36">
        <f>(+D8+D10)/2</f>
        <v>0.86595878889689004</v>
      </c>
      <c r="F14" s="36">
        <f>(+F8+F10)/2</f>
        <v>0.13404121110311001</v>
      </c>
    </row>
    <row r="16" spans="1:9" x14ac:dyDescent="0.25">
      <c r="A16" s="51" t="s">
        <v>248</v>
      </c>
      <c r="B16" t="s">
        <v>261</v>
      </c>
    </row>
    <row r="18" spans="1:2" x14ac:dyDescent="0.25">
      <c r="A18" s="51" t="s">
        <v>247</v>
      </c>
      <c r="B18" t="s">
        <v>249</v>
      </c>
    </row>
    <row r="20" spans="1:2" x14ac:dyDescent="0.25">
      <c r="A20" s="51" t="s">
        <v>250</v>
      </c>
      <c r="B20" t="s">
        <v>262</v>
      </c>
    </row>
    <row r="21" spans="1:2" x14ac:dyDescent="0.25">
      <c r="B21" t="s">
        <v>263</v>
      </c>
    </row>
    <row r="23" spans="1:2" x14ac:dyDescent="0.25">
      <c r="A23" s="51" t="s">
        <v>251</v>
      </c>
      <c r="B23" t="s">
        <v>751</v>
      </c>
    </row>
    <row r="24" spans="1:2" x14ac:dyDescent="0.25">
      <c r="B24" t="s">
        <v>264</v>
      </c>
    </row>
    <row r="25" spans="1:2" x14ac:dyDescent="0.25">
      <c r="A25" s="51" t="s">
        <v>253</v>
      </c>
      <c r="B25" t="s">
        <v>255</v>
      </c>
    </row>
  </sheetData>
  <pageMargins left="0.7" right="0.7" top="0.75" bottom="0.75" header="0.3" footer="0.3"/>
  <pageSetup orientation="portrait" horizontalDpi="4294967293" r:id="rId1"/>
  <headerFooter>
    <oddFooter>&amp;L&amp;F &amp;A &amp;T&amp;R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workbookViewId="0">
      <pane ySplit="7" topLeftCell="A59" activePane="bottomLeft" state="frozen"/>
      <selection pane="bottomLeft" activeCell="R7" sqref="R7:R59"/>
    </sheetView>
  </sheetViews>
  <sheetFormatPr defaultRowHeight="15" x14ac:dyDescent="0.25"/>
  <cols>
    <col min="1" max="1" width="5" customWidth="1"/>
    <col min="2" max="2" width="30.140625" customWidth="1"/>
    <col min="4" max="4" width="11.140625" customWidth="1"/>
    <col min="5" max="6" width="13" customWidth="1"/>
    <col min="7" max="7" width="11.7109375" customWidth="1"/>
    <col min="8" max="10" width="14.140625" customWidth="1"/>
    <col min="11" max="11" width="13" customWidth="1"/>
    <col min="12" max="12" width="16.140625" customWidth="1"/>
    <col min="13" max="13" width="12" customWidth="1"/>
    <col min="14" max="15" width="11.85546875" customWidth="1"/>
    <col min="16" max="16" width="14.140625" customWidth="1"/>
    <col min="17" max="17" width="11.85546875" customWidth="1"/>
    <col min="19" max="19" width="10.85546875" bestFit="1" customWidth="1"/>
    <col min="20" max="20" width="11.85546875" bestFit="1" customWidth="1"/>
  </cols>
  <sheetData>
    <row r="1" spans="1:21" ht="18.75" x14ac:dyDescent="0.3">
      <c r="A1" s="39" t="s">
        <v>233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1" ht="18.75" x14ac:dyDescent="0.3">
      <c r="A2" s="39" t="s">
        <v>354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1" ht="18.75" x14ac:dyDescent="0.3">
      <c r="A3" s="39" t="s">
        <v>234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5" spans="1:21" x14ac:dyDescent="0.25">
      <c r="C5" s="206" t="s">
        <v>355</v>
      </c>
      <c r="D5" s="206" t="s">
        <v>357</v>
      </c>
      <c r="E5" s="206" t="s">
        <v>359</v>
      </c>
      <c r="F5" s="206" t="s">
        <v>361</v>
      </c>
      <c r="G5" s="206" t="s">
        <v>363</v>
      </c>
      <c r="H5" s="206" t="s">
        <v>365</v>
      </c>
      <c r="I5" s="206" t="s">
        <v>366</v>
      </c>
      <c r="J5" s="206" t="s">
        <v>377</v>
      </c>
      <c r="K5" s="206" t="s">
        <v>380</v>
      </c>
      <c r="L5" s="206" t="s">
        <v>382</v>
      </c>
      <c r="M5" s="206" t="s">
        <v>680</v>
      </c>
      <c r="N5" s="206" t="s">
        <v>681</v>
      </c>
      <c r="O5" s="206" t="s">
        <v>682</v>
      </c>
      <c r="P5" s="206" t="s">
        <v>683</v>
      </c>
      <c r="Q5" s="206" t="s">
        <v>764</v>
      </c>
    </row>
    <row r="7" spans="1:21" ht="60" x14ac:dyDescent="0.25">
      <c r="C7" s="66" t="s">
        <v>356</v>
      </c>
      <c r="D7" s="66" t="s">
        <v>358</v>
      </c>
      <c r="E7" s="66" t="s">
        <v>360</v>
      </c>
      <c r="F7" s="66" t="s">
        <v>747</v>
      </c>
      <c r="G7" s="66" t="s">
        <v>362</v>
      </c>
      <c r="H7" s="66" t="s">
        <v>364</v>
      </c>
      <c r="I7" s="66" t="s">
        <v>379</v>
      </c>
      <c r="J7" s="66" t="s">
        <v>384</v>
      </c>
      <c r="K7" s="66" t="s">
        <v>752</v>
      </c>
      <c r="L7" s="66" t="s">
        <v>367</v>
      </c>
      <c r="M7" s="66" t="s">
        <v>378</v>
      </c>
      <c r="N7" s="66" t="s">
        <v>381</v>
      </c>
      <c r="O7" s="66" t="s">
        <v>383</v>
      </c>
      <c r="P7" s="66" t="s">
        <v>385</v>
      </c>
      <c r="Q7" s="66" t="s">
        <v>684</v>
      </c>
      <c r="R7" s="66" t="s">
        <v>226</v>
      </c>
    </row>
    <row r="8" spans="1:21" ht="15.75" x14ac:dyDescent="0.25">
      <c r="A8">
        <v>10</v>
      </c>
      <c r="B8" s="24" t="s">
        <v>188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>
        <f t="shared" ref="R8:R15" si="0">SUM(C8:Q8)</f>
        <v>0</v>
      </c>
      <c r="S8" s="78"/>
      <c r="T8" s="78"/>
      <c r="U8" s="32"/>
    </row>
    <row r="9" spans="1:21" ht="15.75" x14ac:dyDescent="0.25">
      <c r="A9">
        <v>11</v>
      </c>
      <c r="B9" s="24" t="s">
        <v>153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>
        <f t="shared" si="0"/>
        <v>0</v>
      </c>
      <c r="S9" s="78"/>
      <c r="T9" s="78"/>
      <c r="U9" s="32"/>
    </row>
    <row r="10" spans="1:21" ht="15.75" x14ac:dyDescent="0.25">
      <c r="A10">
        <f>+A9+1</f>
        <v>12</v>
      </c>
      <c r="B10" s="24" t="s">
        <v>213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>
        <f t="shared" si="0"/>
        <v>0</v>
      </c>
      <c r="S10" s="78"/>
      <c r="T10" s="78"/>
      <c r="U10" s="32"/>
    </row>
    <row r="11" spans="1:21" ht="15.75" x14ac:dyDescent="0.25">
      <c r="A11">
        <f t="shared" ref="A11:A14" si="1">+A10+1</f>
        <v>13</v>
      </c>
      <c r="B11" s="24" t="s">
        <v>214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>
        <f t="shared" si="0"/>
        <v>0</v>
      </c>
      <c r="S11" s="78"/>
      <c r="T11" s="78"/>
      <c r="U11" s="32"/>
    </row>
    <row r="12" spans="1:21" ht="15.75" x14ac:dyDescent="0.25">
      <c r="A12">
        <f t="shared" si="1"/>
        <v>14</v>
      </c>
      <c r="B12" s="24" t="s">
        <v>16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>
        <f t="shared" si="0"/>
        <v>0</v>
      </c>
      <c r="S12" s="78"/>
      <c r="T12" s="78"/>
      <c r="U12" s="32"/>
    </row>
    <row r="13" spans="1:21" ht="15.75" x14ac:dyDescent="0.25">
      <c r="A13">
        <f t="shared" si="1"/>
        <v>15</v>
      </c>
      <c r="B13" s="24" t="s">
        <v>52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>
        <f t="shared" si="0"/>
        <v>0</v>
      </c>
      <c r="S13" s="78"/>
      <c r="T13" s="78"/>
      <c r="U13" s="32"/>
    </row>
    <row r="14" spans="1:21" ht="15.75" x14ac:dyDescent="0.25">
      <c r="A14">
        <f t="shared" si="1"/>
        <v>16</v>
      </c>
      <c r="B14" s="24" t="s">
        <v>54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>
        <f t="shared" si="0"/>
        <v>0</v>
      </c>
      <c r="S14" s="78"/>
      <c r="T14" s="78"/>
      <c r="U14" s="32"/>
    </row>
    <row r="15" spans="1:21" ht="15.75" x14ac:dyDescent="0.25">
      <c r="B15" s="24" t="s">
        <v>55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>
        <f t="shared" si="0"/>
        <v>0</v>
      </c>
      <c r="S15" s="78"/>
      <c r="T15" s="78"/>
      <c r="U15" s="32"/>
    </row>
    <row r="16" spans="1:21" ht="15.75" x14ac:dyDescent="0.25">
      <c r="B16" s="24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32"/>
    </row>
    <row r="17" spans="1:21" ht="15.75" x14ac:dyDescent="0.25">
      <c r="B17" s="24" t="str">
        <f>+'Semi Annual '!A60</f>
        <v/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32"/>
    </row>
    <row r="18" spans="1:21" ht="15.75" x14ac:dyDescent="0.25">
      <c r="B18" s="24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32"/>
    </row>
    <row r="19" spans="1:21" ht="15.75" x14ac:dyDescent="0.25">
      <c r="A19">
        <v>17</v>
      </c>
      <c r="B19" s="24" t="s">
        <v>215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>
        <f t="shared" ref="R19:R59" si="2">SUM(C19:Q19)</f>
        <v>0</v>
      </c>
      <c r="S19" s="78"/>
      <c r="T19" s="78"/>
      <c r="U19" s="32"/>
    </row>
    <row r="20" spans="1:21" ht="15.75" x14ac:dyDescent="0.25">
      <c r="A20">
        <f t="shared" ref="A20:A58" si="3">+A19+1</f>
        <v>18</v>
      </c>
      <c r="B20" s="24" t="s">
        <v>191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>
        <f t="shared" si="2"/>
        <v>0</v>
      </c>
      <c r="S20" s="78"/>
      <c r="T20" s="78"/>
      <c r="U20" s="32"/>
    </row>
    <row r="21" spans="1:21" ht="15.75" x14ac:dyDescent="0.25">
      <c r="A21">
        <f t="shared" si="3"/>
        <v>19</v>
      </c>
      <c r="B21" s="24" t="s">
        <v>216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>
        <f t="shared" si="2"/>
        <v>0</v>
      </c>
      <c r="S21" s="78"/>
      <c r="T21" s="78"/>
      <c r="U21" s="32"/>
    </row>
    <row r="22" spans="1:21" ht="15.75" x14ac:dyDescent="0.25">
      <c r="A22">
        <f t="shared" si="3"/>
        <v>20</v>
      </c>
      <c r="B22" s="24" t="s">
        <v>193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>
        <f t="shared" si="2"/>
        <v>0</v>
      </c>
      <c r="S22" s="78"/>
      <c r="T22" s="78"/>
      <c r="U22" s="32"/>
    </row>
    <row r="23" spans="1:21" ht="15.75" x14ac:dyDescent="0.25">
      <c r="A23">
        <f t="shared" si="3"/>
        <v>21</v>
      </c>
      <c r="B23" s="24" t="s">
        <v>217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>
        <f t="shared" si="2"/>
        <v>0</v>
      </c>
      <c r="S23" s="78"/>
      <c r="T23" s="78"/>
      <c r="U23" s="32"/>
    </row>
    <row r="24" spans="1:21" ht="15.75" x14ac:dyDescent="0.25">
      <c r="A24">
        <f t="shared" si="3"/>
        <v>22</v>
      </c>
      <c r="B24" s="24" t="s">
        <v>218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>
        <f t="shared" si="2"/>
        <v>0</v>
      </c>
      <c r="S24" s="78"/>
      <c r="T24" s="78"/>
      <c r="U24" s="32"/>
    </row>
    <row r="25" spans="1:21" ht="15.75" x14ac:dyDescent="0.25">
      <c r="A25">
        <f t="shared" si="3"/>
        <v>23</v>
      </c>
      <c r="B25" s="24" t="s">
        <v>195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>
        <f t="shared" si="2"/>
        <v>0</v>
      </c>
      <c r="S25" s="78"/>
      <c r="T25" s="78"/>
      <c r="U25" s="32"/>
    </row>
    <row r="26" spans="1:21" ht="15.75" x14ac:dyDescent="0.25">
      <c r="A26">
        <f t="shared" si="3"/>
        <v>24</v>
      </c>
      <c r="B26" s="24" t="s">
        <v>219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>
        <f t="shared" si="2"/>
        <v>0</v>
      </c>
      <c r="S26" s="78"/>
      <c r="T26" s="78"/>
      <c r="U26" s="32"/>
    </row>
    <row r="27" spans="1:21" ht="15.75" x14ac:dyDescent="0.25">
      <c r="A27">
        <f t="shared" si="3"/>
        <v>25</v>
      </c>
      <c r="B27" s="24" t="s">
        <v>220</v>
      </c>
      <c r="C27" s="78"/>
      <c r="D27" s="78"/>
      <c r="E27" s="78"/>
      <c r="F27" s="78"/>
      <c r="G27" s="78"/>
      <c r="H27" s="78">
        <f>12889.78+4372.35</f>
        <v>17262.13</v>
      </c>
      <c r="I27" s="78"/>
      <c r="J27" s="78"/>
      <c r="K27" s="78"/>
      <c r="L27" s="78"/>
      <c r="M27" s="78"/>
      <c r="N27" s="78"/>
      <c r="O27" s="78"/>
      <c r="P27" s="78"/>
      <c r="Q27" s="78"/>
      <c r="R27" s="78">
        <f t="shared" si="2"/>
        <v>17262.13</v>
      </c>
      <c r="S27" s="78"/>
      <c r="T27" s="78"/>
      <c r="U27" s="32"/>
    </row>
    <row r="28" spans="1:21" ht="15.75" x14ac:dyDescent="0.25">
      <c r="A28">
        <f t="shared" si="3"/>
        <v>26</v>
      </c>
      <c r="B28" s="24" t="s">
        <v>221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>
        <f t="shared" si="2"/>
        <v>0</v>
      </c>
      <c r="S28" s="78"/>
      <c r="T28" s="78"/>
      <c r="U28" s="32"/>
    </row>
    <row r="29" spans="1:21" ht="15.75" x14ac:dyDescent="0.25">
      <c r="A29">
        <f>+A28+1</f>
        <v>27</v>
      </c>
      <c r="B29" s="24" t="s">
        <v>222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>
        <f t="shared" si="2"/>
        <v>0</v>
      </c>
      <c r="S29" s="78"/>
      <c r="T29" s="78"/>
      <c r="U29" s="32"/>
    </row>
    <row r="30" spans="1:21" ht="15.75" x14ac:dyDescent="0.25">
      <c r="A30">
        <f t="shared" si="3"/>
        <v>28</v>
      </c>
      <c r="B30" s="24" t="s">
        <v>135</v>
      </c>
      <c r="C30" s="78"/>
      <c r="D30" s="78"/>
      <c r="E30" s="78"/>
      <c r="F30" s="78"/>
      <c r="G30" s="78"/>
      <c r="H30" s="78">
        <v>15359.04</v>
      </c>
      <c r="I30" s="78"/>
      <c r="J30" s="78"/>
      <c r="K30" s="78"/>
      <c r="L30" s="78"/>
      <c r="M30" s="78"/>
      <c r="N30" s="78"/>
      <c r="O30" s="78"/>
      <c r="P30" s="78"/>
      <c r="Q30" s="78"/>
      <c r="R30" s="78">
        <f t="shared" si="2"/>
        <v>15359.04</v>
      </c>
      <c r="S30" s="78"/>
      <c r="T30" s="78"/>
      <c r="U30" s="32"/>
    </row>
    <row r="31" spans="1:21" ht="15.75" x14ac:dyDescent="0.25">
      <c r="A31">
        <f t="shared" si="3"/>
        <v>29</v>
      </c>
      <c r="B31" s="24" t="s">
        <v>136</v>
      </c>
      <c r="C31" s="78"/>
      <c r="D31" s="78"/>
      <c r="E31" s="78"/>
      <c r="F31" s="78"/>
      <c r="G31" s="78"/>
      <c r="H31" s="78"/>
      <c r="I31" s="78">
        <v>-78460</v>
      </c>
      <c r="J31" s="78"/>
      <c r="K31" s="78"/>
      <c r="L31" s="78"/>
      <c r="M31" s="78"/>
      <c r="N31" s="78"/>
      <c r="O31" s="78"/>
      <c r="P31" s="78"/>
      <c r="Q31" s="78"/>
      <c r="R31" s="78">
        <f t="shared" si="2"/>
        <v>-78460</v>
      </c>
      <c r="S31" s="78"/>
      <c r="T31" s="78"/>
      <c r="U31" s="32"/>
    </row>
    <row r="32" spans="1:21" ht="15.75" x14ac:dyDescent="0.25">
      <c r="A32">
        <f t="shared" si="3"/>
        <v>30</v>
      </c>
      <c r="B32" s="24" t="s">
        <v>139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>
        <f t="shared" si="2"/>
        <v>0</v>
      </c>
      <c r="S32" s="78"/>
      <c r="T32" s="78"/>
      <c r="U32" s="32"/>
    </row>
    <row r="33" spans="1:21" ht="15.75" x14ac:dyDescent="0.25">
      <c r="A33">
        <f t="shared" si="3"/>
        <v>31</v>
      </c>
      <c r="B33" s="24" t="s">
        <v>266</v>
      </c>
      <c r="C33" s="78"/>
      <c r="D33" s="78"/>
      <c r="E33" s="78"/>
      <c r="F33" s="78"/>
      <c r="G33" s="78"/>
      <c r="H33" s="78"/>
      <c r="I33" s="78"/>
      <c r="J33" s="78"/>
      <c r="K33" s="78">
        <f>-'Pro Forma'!C33</f>
        <v>-16102.08</v>
      </c>
      <c r="L33" s="78"/>
      <c r="M33" s="78"/>
      <c r="N33" s="78"/>
      <c r="O33" s="78"/>
      <c r="P33" s="78"/>
      <c r="Q33" s="78"/>
      <c r="R33" s="78">
        <f t="shared" si="2"/>
        <v>-16102.08</v>
      </c>
      <c r="S33" s="78"/>
      <c r="T33" s="78"/>
      <c r="U33" s="32"/>
    </row>
    <row r="34" spans="1:21" ht="15.75" x14ac:dyDescent="0.25">
      <c r="A34">
        <f t="shared" si="3"/>
        <v>32</v>
      </c>
      <c r="B34" s="24" t="s">
        <v>141</v>
      </c>
      <c r="C34" s="78"/>
      <c r="D34" s="78"/>
      <c r="E34" s="78"/>
      <c r="F34" s="78"/>
      <c r="G34" s="78"/>
      <c r="H34" s="78"/>
      <c r="I34" s="78"/>
      <c r="J34" s="78"/>
      <c r="K34" s="78">
        <v>-12318</v>
      </c>
      <c r="L34" s="78">
        <f>+'Prior Rate Case Costs'!J11</f>
        <v>14693.75</v>
      </c>
      <c r="M34" s="78">
        <v>-29307.7</v>
      </c>
      <c r="N34" s="78">
        <v>21023.38</v>
      </c>
      <c r="O34" s="78"/>
      <c r="P34" s="78"/>
      <c r="Q34" s="78"/>
      <c r="R34" s="78">
        <f t="shared" si="2"/>
        <v>-5908.57</v>
      </c>
      <c r="S34" s="78"/>
      <c r="T34" s="78"/>
      <c r="U34" s="32"/>
    </row>
    <row r="35" spans="1:21" ht="15.75" x14ac:dyDescent="0.25">
      <c r="A35">
        <f t="shared" si="3"/>
        <v>33</v>
      </c>
      <c r="B35" s="24" t="s">
        <v>142</v>
      </c>
      <c r="C35" s="78"/>
      <c r="D35" s="78"/>
      <c r="E35" s="78"/>
      <c r="F35" s="78"/>
      <c r="G35" s="78"/>
      <c r="H35" s="78"/>
      <c r="I35" s="78">
        <v>-17657</v>
      </c>
      <c r="J35" s="78">
        <f>-52.35-4636.95</f>
        <v>-4689.3</v>
      </c>
      <c r="K35" s="78">
        <f>-9392.86-11835.2</f>
        <v>-21228.06</v>
      </c>
      <c r="L35" s="78">
        <f>+'Prior Rate Case Costs'!J17</f>
        <v>8775.994999999999</v>
      </c>
      <c r="M35" s="78">
        <v>-118305.87</v>
      </c>
      <c r="N35" s="78">
        <v>12500</v>
      </c>
      <c r="O35" s="78">
        <f>9388.18+2562.5+2910</f>
        <v>14860.68</v>
      </c>
      <c r="P35" s="78"/>
      <c r="Q35" s="78"/>
      <c r="R35" s="78">
        <f t="shared" si="2"/>
        <v>-125743.55499999999</v>
      </c>
      <c r="S35" s="79"/>
      <c r="T35" s="80"/>
      <c r="U35" s="32"/>
    </row>
    <row r="36" spans="1:21" ht="15.75" x14ac:dyDescent="0.25">
      <c r="A36">
        <f t="shared" si="3"/>
        <v>34</v>
      </c>
      <c r="B36" s="24" t="s">
        <v>143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>
        <f t="shared" si="2"/>
        <v>0</v>
      </c>
      <c r="S36" s="78"/>
      <c r="T36" s="78"/>
      <c r="U36" s="32"/>
    </row>
    <row r="37" spans="1:21" ht="15.75" x14ac:dyDescent="0.25">
      <c r="A37">
        <f t="shared" si="3"/>
        <v>35</v>
      </c>
      <c r="B37" s="24" t="s">
        <v>144</v>
      </c>
      <c r="C37" s="78"/>
      <c r="D37" s="78"/>
      <c r="E37" s="78"/>
      <c r="F37" s="78">
        <f>-'Pro Forma'!C37</f>
        <v>-9262.510000000002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>
        <f>+'Bad Debts'!H29+'Bad Debts'!H18</f>
        <v>17830.370000000003</v>
      </c>
      <c r="R37" s="78">
        <f t="shared" si="2"/>
        <v>8567.86</v>
      </c>
      <c r="S37" s="78"/>
      <c r="T37" s="78"/>
      <c r="U37" s="32"/>
    </row>
    <row r="38" spans="1:21" ht="15.75" x14ac:dyDescent="0.25">
      <c r="A38">
        <f t="shared" si="3"/>
        <v>36</v>
      </c>
      <c r="B38" s="24" t="s">
        <v>146</v>
      </c>
      <c r="C38" s="78"/>
      <c r="D38" s="78"/>
      <c r="E38" s="78">
        <f>-'Pro Forma'!C38</f>
        <v>-1946.3600000000001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>
        <f t="shared" si="2"/>
        <v>-1946.3600000000001</v>
      </c>
      <c r="S38" s="78"/>
      <c r="T38" s="78"/>
      <c r="U38" s="32"/>
    </row>
    <row r="39" spans="1:21" ht="15.75" x14ac:dyDescent="0.25">
      <c r="A39">
        <f t="shared" si="3"/>
        <v>37</v>
      </c>
      <c r="B39" s="24" t="s">
        <v>147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>
        <f>+Depreciation!T273-'Pro Forma'!C39</f>
        <v>46201.898196429189</v>
      </c>
      <c r="Q39" s="78"/>
      <c r="R39" s="78">
        <f t="shared" si="2"/>
        <v>46201.898196429189</v>
      </c>
      <c r="S39" s="78"/>
      <c r="T39" s="78"/>
      <c r="U39" s="32"/>
    </row>
    <row r="40" spans="1:21" ht="15.75" x14ac:dyDescent="0.25">
      <c r="A40">
        <f t="shared" si="3"/>
        <v>38</v>
      </c>
      <c r="B40" s="24" t="s">
        <v>149</v>
      </c>
      <c r="C40" s="78"/>
      <c r="D40" s="78"/>
      <c r="E40" s="78"/>
      <c r="F40" s="78"/>
      <c r="G40" s="78">
        <v>-16978.54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>
        <f t="shared" si="2"/>
        <v>-16978.54</v>
      </c>
      <c r="S40" s="78"/>
      <c r="T40" s="78"/>
      <c r="U40" s="32"/>
    </row>
    <row r="41" spans="1:21" ht="15.75" x14ac:dyDescent="0.25">
      <c r="A41">
        <f t="shared" si="3"/>
        <v>39</v>
      </c>
      <c r="B41" s="24" t="s">
        <v>150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>
        <f t="shared" si="2"/>
        <v>0</v>
      </c>
      <c r="S41" s="78"/>
      <c r="T41" s="78"/>
      <c r="U41" s="32"/>
    </row>
    <row r="42" spans="1:21" ht="15.75" x14ac:dyDescent="0.25">
      <c r="A42">
        <f t="shared" si="3"/>
        <v>40</v>
      </c>
      <c r="B42" s="24" t="s">
        <v>154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>
        <f t="shared" si="2"/>
        <v>0</v>
      </c>
      <c r="S42" s="78"/>
      <c r="T42" s="78"/>
      <c r="U42" s="32"/>
    </row>
    <row r="43" spans="1:21" ht="15.75" x14ac:dyDescent="0.25">
      <c r="A43">
        <f t="shared" si="3"/>
        <v>41</v>
      </c>
      <c r="B43" s="24" t="s">
        <v>155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>
        <f t="shared" si="2"/>
        <v>0</v>
      </c>
      <c r="S43" s="78"/>
      <c r="T43" s="78"/>
      <c r="U43" s="32"/>
    </row>
    <row r="44" spans="1:21" ht="15.75" x14ac:dyDescent="0.25">
      <c r="A44">
        <f t="shared" si="3"/>
        <v>42</v>
      </c>
      <c r="B44" s="24" t="s">
        <v>159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>
        <f t="shared" si="2"/>
        <v>0</v>
      </c>
      <c r="S44" s="78"/>
      <c r="T44" s="78"/>
      <c r="U44" s="32"/>
    </row>
    <row r="45" spans="1:21" ht="15.75" x14ac:dyDescent="0.25">
      <c r="A45">
        <f t="shared" si="3"/>
        <v>43</v>
      </c>
      <c r="B45" s="24" t="s">
        <v>161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>
        <f t="shared" si="2"/>
        <v>0</v>
      </c>
      <c r="S45" s="78"/>
      <c r="T45" s="78"/>
      <c r="U45" s="32"/>
    </row>
    <row r="46" spans="1:21" ht="15.75" x14ac:dyDescent="0.25">
      <c r="A46">
        <f t="shared" si="3"/>
        <v>44</v>
      </c>
      <c r="B46" s="24" t="s">
        <v>163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>
        <f t="shared" si="2"/>
        <v>0</v>
      </c>
      <c r="S46" s="78"/>
      <c r="T46" s="78"/>
      <c r="U46" s="32"/>
    </row>
    <row r="47" spans="1:21" ht="15.75" x14ac:dyDescent="0.25">
      <c r="A47">
        <f t="shared" si="3"/>
        <v>45</v>
      </c>
      <c r="B47" s="24" t="s">
        <v>164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>
        <f t="shared" si="2"/>
        <v>0</v>
      </c>
      <c r="S47" s="78"/>
      <c r="T47" s="78"/>
      <c r="U47" s="32"/>
    </row>
    <row r="48" spans="1:21" ht="15.75" x14ac:dyDescent="0.25">
      <c r="A48">
        <f t="shared" si="3"/>
        <v>46</v>
      </c>
      <c r="B48" s="24" t="s">
        <v>245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>
        <f t="shared" si="2"/>
        <v>0</v>
      </c>
      <c r="S48" s="78"/>
      <c r="T48" s="78"/>
      <c r="U48" s="32"/>
    </row>
    <row r="49" spans="1:21" ht="15.75" x14ac:dyDescent="0.25">
      <c r="A49">
        <f t="shared" si="3"/>
        <v>47</v>
      </c>
      <c r="B49" s="24" t="s">
        <v>175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>
        <f t="shared" si="2"/>
        <v>0</v>
      </c>
      <c r="S49" s="78"/>
      <c r="T49" s="78"/>
      <c r="U49" s="32"/>
    </row>
    <row r="50" spans="1:21" ht="15.75" x14ac:dyDescent="0.25">
      <c r="A50">
        <f t="shared" si="3"/>
        <v>48</v>
      </c>
      <c r="B50" s="24" t="s">
        <v>176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>
        <f t="shared" si="2"/>
        <v>0</v>
      </c>
      <c r="S50" s="78"/>
      <c r="T50" s="78"/>
      <c r="U50" s="32"/>
    </row>
    <row r="51" spans="1:21" ht="15.75" x14ac:dyDescent="0.25">
      <c r="A51">
        <f t="shared" si="3"/>
        <v>49</v>
      </c>
      <c r="B51" s="24" t="s">
        <v>178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>
        <f t="shared" si="2"/>
        <v>0</v>
      </c>
      <c r="S51" s="78"/>
      <c r="T51" s="78"/>
      <c r="U51" s="32"/>
    </row>
    <row r="52" spans="1:21" ht="15.75" x14ac:dyDescent="0.25">
      <c r="A52">
        <f t="shared" si="3"/>
        <v>50</v>
      </c>
      <c r="B52" s="24" t="s">
        <v>179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>
        <f t="shared" si="2"/>
        <v>0</v>
      </c>
      <c r="S52" s="78"/>
      <c r="T52" s="78"/>
      <c r="U52" s="32"/>
    </row>
    <row r="53" spans="1:21" ht="15.75" x14ac:dyDescent="0.25">
      <c r="A53">
        <f t="shared" si="3"/>
        <v>51</v>
      </c>
      <c r="B53" s="24" t="s">
        <v>246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>
        <f t="shared" si="2"/>
        <v>0</v>
      </c>
      <c r="S53" s="78"/>
      <c r="T53" s="78"/>
      <c r="U53" s="32"/>
    </row>
    <row r="54" spans="1:21" ht="15.75" x14ac:dyDescent="0.25">
      <c r="A54">
        <f t="shared" si="3"/>
        <v>52</v>
      </c>
      <c r="B54" s="24" t="s">
        <v>269</v>
      </c>
      <c r="C54" s="78"/>
      <c r="D54" s="78"/>
      <c r="E54" s="78"/>
      <c r="F54" s="78"/>
      <c r="G54" s="78">
        <v>16978.54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>
        <f t="shared" si="2"/>
        <v>16978.54</v>
      </c>
      <c r="S54" s="78"/>
      <c r="T54" s="78"/>
      <c r="U54" s="32"/>
    </row>
    <row r="55" spans="1:21" ht="15.75" x14ac:dyDescent="0.25">
      <c r="A55">
        <f t="shared" si="3"/>
        <v>53</v>
      </c>
      <c r="B55" s="24" t="s">
        <v>181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>
        <f t="shared" si="2"/>
        <v>0</v>
      </c>
      <c r="S55" s="78"/>
      <c r="T55" s="78"/>
      <c r="U55" s="32"/>
    </row>
    <row r="56" spans="1:21" ht="15.75" x14ac:dyDescent="0.25">
      <c r="A56">
        <f t="shared" si="3"/>
        <v>54</v>
      </c>
      <c r="B56" s="24" t="s">
        <v>182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>
        <f t="shared" si="2"/>
        <v>0</v>
      </c>
      <c r="S56" s="78"/>
      <c r="T56" s="78"/>
      <c r="U56" s="32"/>
    </row>
    <row r="57" spans="1:21" ht="15.75" x14ac:dyDescent="0.25">
      <c r="A57">
        <f t="shared" si="3"/>
        <v>55</v>
      </c>
      <c r="B57" s="24" t="s">
        <v>183</v>
      </c>
      <c r="C57" s="78">
        <f>-'Pro Forma'!C57</f>
        <v>-97081.760000000009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>
        <f t="shared" si="2"/>
        <v>-97081.760000000009</v>
      </c>
      <c r="S57" s="78"/>
      <c r="T57" s="78"/>
      <c r="U57" s="32"/>
    </row>
    <row r="58" spans="1:21" ht="15.75" x14ac:dyDescent="0.25">
      <c r="A58">
        <f t="shared" si="3"/>
        <v>56</v>
      </c>
      <c r="B58" s="24" t="s">
        <v>184</v>
      </c>
      <c r="C58" s="81"/>
      <c r="D58" s="81">
        <f>-'Pro Forma'!C58</f>
        <v>-33089.160000000003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>
        <f t="shared" si="2"/>
        <v>-33089.160000000003</v>
      </c>
      <c r="S58" s="78"/>
      <c r="T58" s="78"/>
      <c r="U58" s="32"/>
    </row>
    <row r="59" spans="1:21" ht="15.75" x14ac:dyDescent="0.25">
      <c r="B59" s="24" t="s">
        <v>185</v>
      </c>
      <c r="C59" s="78">
        <f>SUM(C19:C58)</f>
        <v>-97081.760000000009</v>
      </c>
      <c r="D59" s="78">
        <f t="shared" ref="D59:Q59" si="4">SUM(D19:D58)</f>
        <v>-33089.160000000003</v>
      </c>
      <c r="E59" s="78">
        <f t="shared" si="4"/>
        <v>-1946.3600000000001</v>
      </c>
      <c r="F59" s="78">
        <f t="shared" si="4"/>
        <v>-9262.510000000002</v>
      </c>
      <c r="G59" s="78">
        <f t="shared" si="4"/>
        <v>0</v>
      </c>
      <c r="H59" s="78">
        <f t="shared" si="4"/>
        <v>32621.170000000002</v>
      </c>
      <c r="I59" s="78">
        <f t="shared" si="4"/>
        <v>-96117</v>
      </c>
      <c r="J59" s="78">
        <f t="shared" si="4"/>
        <v>-4689.3</v>
      </c>
      <c r="K59" s="78">
        <f t="shared" si="4"/>
        <v>-49648.14</v>
      </c>
      <c r="L59" s="78">
        <f t="shared" si="4"/>
        <v>23469.744999999999</v>
      </c>
      <c r="M59" s="78">
        <f t="shared" si="4"/>
        <v>-147613.57</v>
      </c>
      <c r="N59" s="78">
        <f t="shared" si="4"/>
        <v>33523.380000000005</v>
      </c>
      <c r="O59" s="78">
        <f t="shared" si="4"/>
        <v>14860.68</v>
      </c>
      <c r="P59" s="78">
        <f t="shared" si="4"/>
        <v>46201.898196429189</v>
      </c>
      <c r="Q59" s="78">
        <f t="shared" si="4"/>
        <v>17830.370000000003</v>
      </c>
      <c r="R59" s="78">
        <f t="shared" si="2"/>
        <v>-270940.55680357083</v>
      </c>
      <c r="S59" s="78"/>
      <c r="T59" s="78"/>
      <c r="U59" s="32"/>
    </row>
    <row r="60" spans="1:21" x14ac:dyDescent="0.25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</sheetData>
  <pageMargins left="0.25" right="0.25" top="0.5" bottom="0.5" header="0.3" footer="0.3"/>
  <pageSetup scale="53" fitToHeight="0" orientation="landscape" r:id="rId1"/>
  <headerFooter>
    <oddFooter>&amp;L&amp;F &amp;A &amp;T&amp;RPage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D6" sqref="D6"/>
    </sheetView>
  </sheetViews>
  <sheetFormatPr defaultRowHeight="15" x14ac:dyDescent="0.25"/>
  <cols>
    <col min="1" max="1" width="5" customWidth="1"/>
    <col min="2" max="2" width="30.140625" customWidth="1"/>
    <col min="4" max="4" width="21.28515625" customWidth="1"/>
    <col min="7" max="7" width="13.28515625" customWidth="1"/>
  </cols>
  <sheetData>
    <row r="1" spans="1:7" ht="18.75" x14ac:dyDescent="0.3">
      <c r="A1" s="214" t="s">
        <v>233</v>
      </c>
    </row>
    <row r="2" spans="1:7" ht="18.75" x14ac:dyDescent="0.3">
      <c r="A2" s="214" t="s">
        <v>354</v>
      </c>
    </row>
    <row r="3" spans="1:7" ht="18.75" x14ac:dyDescent="0.3">
      <c r="A3" s="214" t="s">
        <v>234</v>
      </c>
    </row>
    <row r="4" spans="1:7" x14ac:dyDescent="0.25">
      <c r="A4" s="215"/>
    </row>
    <row r="5" spans="1:7" x14ac:dyDescent="0.25">
      <c r="D5" s="206" t="s">
        <v>777</v>
      </c>
    </row>
    <row r="7" spans="1:7" ht="45" x14ac:dyDescent="0.25">
      <c r="D7" s="66" t="s">
        <v>772</v>
      </c>
      <c r="G7" s="66" t="s">
        <v>226</v>
      </c>
    </row>
    <row r="8" spans="1:7" ht="15.75" x14ac:dyDescent="0.25">
      <c r="A8">
        <v>10</v>
      </c>
      <c r="B8" s="24" t="s">
        <v>188</v>
      </c>
      <c r="D8" s="78"/>
      <c r="G8" s="78">
        <f>SUM(D8:F8)</f>
        <v>0</v>
      </c>
    </row>
    <row r="9" spans="1:7" ht="15.75" x14ac:dyDescent="0.25">
      <c r="A9">
        <v>11</v>
      </c>
      <c r="B9" s="24" t="s">
        <v>153</v>
      </c>
      <c r="D9" s="78"/>
      <c r="G9" s="78">
        <f t="shared" ref="G9:G15" si="0">SUM(D9:F9)</f>
        <v>0</v>
      </c>
    </row>
    <row r="10" spans="1:7" ht="15.75" x14ac:dyDescent="0.25">
      <c r="A10">
        <f>+A9+1</f>
        <v>12</v>
      </c>
      <c r="B10" s="24" t="s">
        <v>213</v>
      </c>
      <c r="D10" s="78"/>
      <c r="G10" s="78">
        <f t="shared" si="0"/>
        <v>0</v>
      </c>
    </row>
    <row r="11" spans="1:7" ht="15.75" x14ac:dyDescent="0.25">
      <c r="A11">
        <f t="shared" ref="A11:A14" si="1">+A10+1</f>
        <v>13</v>
      </c>
      <c r="B11" s="24" t="s">
        <v>214</v>
      </c>
      <c r="D11" s="78"/>
      <c r="G11" s="78">
        <f t="shared" si="0"/>
        <v>0</v>
      </c>
    </row>
    <row r="12" spans="1:7" ht="15.75" x14ac:dyDescent="0.25">
      <c r="A12">
        <f t="shared" si="1"/>
        <v>14</v>
      </c>
      <c r="B12" s="24" t="s">
        <v>16</v>
      </c>
      <c r="D12" s="78"/>
      <c r="G12" s="78">
        <f t="shared" si="0"/>
        <v>0</v>
      </c>
    </row>
    <row r="13" spans="1:7" ht="15.75" x14ac:dyDescent="0.25">
      <c r="A13">
        <f t="shared" si="1"/>
        <v>15</v>
      </c>
      <c r="B13" s="24" t="s">
        <v>52</v>
      </c>
      <c r="D13" s="78"/>
      <c r="G13" s="78">
        <f t="shared" si="0"/>
        <v>0</v>
      </c>
    </row>
    <row r="14" spans="1:7" ht="15.75" x14ac:dyDescent="0.25">
      <c r="A14">
        <f t="shared" si="1"/>
        <v>16</v>
      </c>
      <c r="B14" s="24" t="s">
        <v>54</v>
      </c>
      <c r="D14" s="81"/>
      <c r="G14" s="81">
        <f t="shared" si="0"/>
        <v>0</v>
      </c>
    </row>
    <row r="15" spans="1:7" ht="15.75" x14ac:dyDescent="0.25">
      <c r="B15" s="24" t="s">
        <v>55</v>
      </c>
      <c r="D15" s="78"/>
      <c r="G15" s="78">
        <f t="shared" si="0"/>
        <v>0</v>
      </c>
    </row>
    <row r="16" spans="1:7" ht="15.75" x14ac:dyDescent="0.25">
      <c r="B16" s="24"/>
      <c r="D16" s="78"/>
      <c r="G16" s="78"/>
    </row>
    <row r="17" spans="1:7" ht="15.75" x14ac:dyDescent="0.25">
      <c r="B17" s="24" t="str">
        <f>+'Semi Annual '!A60</f>
        <v/>
      </c>
      <c r="D17" s="78"/>
      <c r="G17" s="78"/>
    </row>
    <row r="18" spans="1:7" ht="15.75" x14ac:dyDescent="0.25">
      <c r="B18" s="24"/>
      <c r="D18" s="78"/>
      <c r="G18" s="78"/>
    </row>
    <row r="19" spans="1:7" ht="15.75" x14ac:dyDescent="0.25">
      <c r="A19">
        <v>17</v>
      </c>
      <c r="B19" s="24" t="s">
        <v>215</v>
      </c>
      <c r="D19" s="78"/>
      <c r="G19" s="78">
        <f t="shared" ref="G19:G59" si="2">SUM(D19:F19)</f>
        <v>0</v>
      </c>
    </row>
    <row r="20" spans="1:7" ht="15.75" x14ac:dyDescent="0.25">
      <c r="A20">
        <f t="shared" ref="A20:A58" si="3">+A19+1</f>
        <v>18</v>
      </c>
      <c r="B20" s="24" t="s">
        <v>191</v>
      </c>
      <c r="D20" s="78"/>
      <c r="G20" s="78">
        <f t="shared" si="2"/>
        <v>0</v>
      </c>
    </row>
    <row r="21" spans="1:7" ht="15.75" x14ac:dyDescent="0.25">
      <c r="A21">
        <f t="shared" si="3"/>
        <v>19</v>
      </c>
      <c r="B21" s="24" t="s">
        <v>216</v>
      </c>
      <c r="D21" s="78"/>
      <c r="G21" s="78">
        <f t="shared" si="2"/>
        <v>0</v>
      </c>
    </row>
    <row r="22" spans="1:7" ht="15.75" x14ac:dyDescent="0.25">
      <c r="A22">
        <f t="shared" si="3"/>
        <v>20</v>
      </c>
      <c r="B22" s="24" t="s">
        <v>193</v>
      </c>
      <c r="D22" s="78"/>
      <c r="G22" s="78">
        <f t="shared" si="2"/>
        <v>0</v>
      </c>
    </row>
    <row r="23" spans="1:7" ht="15.75" x14ac:dyDescent="0.25">
      <c r="A23">
        <f t="shared" si="3"/>
        <v>21</v>
      </c>
      <c r="B23" s="24" t="s">
        <v>217</v>
      </c>
      <c r="D23" s="78"/>
      <c r="G23" s="78">
        <f t="shared" si="2"/>
        <v>0</v>
      </c>
    </row>
    <row r="24" spans="1:7" ht="15.75" x14ac:dyDescent="0.25">
      <c r="A24">
        <f t="shared" si="3"/>
        <v>22</v>
      </c>
      <c r="B24" s="24" t="s">
        <v>218</v>
      </c>
      <c r="D24" s="78"/>
      <c r="G24" s="78">
        <f t="shared" si="2"/>
        <v>0</v>
      </c>
    </row>
    <row r="25" spans="1:7" ht="15.75" x14ac:dyDescent="0.25">
      <c r="A25">
        <f t="shared" si="3"/>
        <v>23</v>
      </c>
      <c r="B25" s="24" t="s">
        <v>195</v>
      </c>
      <c r="D25" s="78"/>
      <c r="G25" s="78">
        <f t="shared" si="2"/>
        <v>0</v>
      </c>
    </row>
    <row r="26" spans="1:7" ht="15.75" x14ac:dyDescent="0.25">
      <c r="A26">
        <f t="shared" si="3"/>
        <v>24</v>
      </c>
      <c r="B26" s="24" t="s">
        <v>219</v>
      </c>
      <c r="D26" s="78"/>
      <c r="G26" s="78">
        <f t="shared" si="2"/>
        <v>0</v>
      </c>
    </row>
    <row r="27" spans="1:7" ht="15.75" x14ac:dyDescent="0.25">
      <c r="A27">
        <f t="shared" si="3"/>
        <v>25</v>
      </c>
      <c r="B27" s="24" t="s">
        <v>220</v>
      </c>
      <c r="D27" s="78">
        <f>+Payroll!N67</f>
        <v>29605.79</v>
      </c>
      <c r="G27" s="78">
        <f t="shared" si="2"/>
        <v>29605.79</v>
      </c>
    </row>
    <row r="28" spans="1:7" ht="15.75" x14ac:dyDescent="0.25">
      <c r="A28">
        <f t="shared" si="3"/>
        <v>26</v>
      </c>
      <c r="B28" s="24" t="s">
        <v>221</v>
      </c>
      <c r="D28" s="78"/>
      <c r="G28" s="78">
        <f t="shared" si="2"/>
        <v>0</v>
      </c>
    </row>
    <row r="29" spans="1:7" ht="15.75" x14ac:dyDescent="0.25">
      <c r="A29">
        <f>+A28+1</f>
        <v>27</v>
      </c>
      <c r="B29" s="24" t="s">
        <v>222</v>
      </c>
      <c r="D29" s="78"/>
      <c r="G29" s="78">
        <f t="shared" si="2"/>
        <v>0</v>
      </c>
    </row>
    <row r="30" spans="1:7" ht="15.75" x14ac:dyDescent="0.25">
      <c r="A30">
        <f t="shared" si="3"/>
        <v>28</v>
      </c>
      <c r="B30" s="24" t="s">
        <v>135</v>
      </c>
      <c r="D30" s="78"/>
      <c r="G30" s="78">
        <f t="shared" si="2"/>
        <v>0</v>
      </c>
    </row>
    <row r="31" spans="1:7" ht="15.75" x14ac:dyDescent="0.25">
      <c r="A31">
        <f t="shared" si="3"/>
        <v>29</v>
      </c>
      <c r="B31" s="24" t="s">
        <v>136</v>
      </c>
      <c r="D31" s="78">
        <f>+Payroll!O67</f>
        <v>9256.9</v>
      </c>
      <c r="G31" s="78">
        <f t="shared" si="2"/>
        <v>9256.9</v>
      </c>
    </row>
    <row r="32" spans="1:7" ht="15.75" x14ac:dyDescent="0.25">
      <c r="A32">
        <f t="shared" si="3"/>
        <v>30</v>
      </c>
      <c r="B32" s="24" t="s">
        <v>139</v>
      </c>
      <c r="D32" s="78"/>
      <c r="G32" s="78">
        <f t="shared" si="2"/>
        <v>0</v>
      </c>
    </row>
    <row r="33" spans="1:7" ht="15.75" x14ac:dyDescent="0.25">
      <c r="A33">
        <f t="shared" si="3"/>
        <v>31</v>
      </c>
      <c r="B33" s="24" t="s">
        <v>266</v>
      </c>
      <c r="D33" s="78"/>
      <c r="G33" s="78">
        <f t="shared" si="2"/>
        <v>0</v>
      </c>
    </row>
    <row r="34" spans="1:7" ht="15.75" x14ac:dyDescent="0.25">
      <c r="A34">
        <f t="shared" si="3"/>
        <v>32</v>
      </c>
      <c r="B34" s="24" t="s">
        <v>141</v>
      </c>
      <c r="D34" s="78"/>
      <c r="G34" s="78">
        <f t="shared" si="2"/>
        <v>0</v>
      </c>
    </row>
    <row r="35" spans="1:7" ht="15.75" x14ac:dyDescent="0.25">
      <c r="A35">
        <f t="shared" si="3"/>
        <v>33</v>
      </c>
      <c r="B35" s="24" t="s">
        <v>142</v>
      </c>
      <c r="D35" s="78"/>
      <c r="G35" s="78">
        <f t="shared" si="2"/>
        <v>0</v>
      </c>
    </row>
    <row r="36" spans="1:7" ht="15.75" x14ac:dyDescent="0.25">
      <c r="A36">
        <f t="shared" si="3"/>
        <v>34</v>
      </c>
      <c r="B36" s="24" t="s">
        <v>143</v>
      </c>
      <c r="D36" s="78"/>
      <c r="G36" s="78">
        <f t="shared" si="2"/>
        <v>0</v>
      </c>
    </row>
    <row r="37" spans="1:7" ht="15.75" x14ac:dyDescent="0.25">
      <c r="A37">
        <f t="shared" si="3"/>
        <v>35</v>
      </c>
      <c r="B37" s="24" t="s">
        <v>144</v>
      </c>
      <c r="D37" s="78"/>
      <c r="G37" s="78">
        <f t="shared" si="2"/>
        <v>0</v>
      </c>
    </row>
    <row r="38" spans="1:7" ht="15.75" x14ac:dyDescent="0.25">
      <c r="A38">
        <f t="shared" si="3"/>
        <v>36</v>
      </c>
      <c r="B38" s="24" t="s">
        <v>146</v>
      </c>
      <c r="D38" s="78"/>
      <c r="G38" s="78">
        <f t="shared" si="2"/>
        <v>0</v>
      </c>
    </row>
    <row r="39" spans="1:7" ht="15.75" x14ac:dyDescent="0.25">
      <c r="A39">
        <f t="shared" si="3"/>
        <v>37</v>
      </c>
      <c r="B39" s="24" t="s">
        <v>147</v>
      </c>
      <c r="D39" s="78"/>
      <c r="G39" s="78">
        <f t="shared" si="2"/>
        <v>0</v>
      </c>
    </row>
    <row r="40" spans="1:7" ht="15.75" x14ac:dyDescent="0.25">
      <c r="A40">
        <f t="shared" si="3"/>
        <v>38</v>
      </c>
      <c r="B40" s="24" t="s">
        <v>149</v>
      </c>
      <c r="D40" s="78"/>
      <c r="G40" s="78">
        <f t="shared" si="2"/>
        <v>0</v>
      </c>
    </row>
    <row r="41" spans="1:7" ht="15.75" x14ac:dyDescent="0.25">
      <c r="A41">
        <f t="shared" si="3"/>
        <v>39</v>
      </c>
      <c r="B41" s="24" t="s">
        <v>150</v>
      </c>
      <c r="D41" s="78"/>
      <c r="G41" s="78">
        <f t="shared" si="2"/>
        <v>0</v>
      </c>
    </row>
    <row r="42" spans="1:7" ht="15.75" x14ac:dyDescent="0.25">
      <c r="A42">
        <f t="shared" si="3"/>
        <v>40</v>
      </c>
      <c r="B42" s="24" t="s">
        <v>154</v>
      </c>
      <c r="D42" s="78"/>
      <c r="G42" s="78">
        <f t="shared" si="2"/>
        <v>0</v>
      </c>
    </row>
    <row r="43" spans="1:7" ht="15.75" x14ac:dyDescent="0.25">
      <c r="A43">
        <f t="shared" si="3"/>
        <v>41</v>
      </c>
      <c r="B43" s="24" t="s">
        <v>155</v>
      </c>
      <c r="D43" s="78"/>
      <c r="G43" s="78">
        <f t="shared" si="2"/>
        <v>0</v>
      </c>
    </row>
    <row r="44" spans="1:7" ht="15.75" x14ac:dyDescent="0.25">
      <c r="A44">
        <f t="shared" si="3"/>
        <v>42</v>
      </c>
      <c r="B44" s="24" t="s">
        <v>159</v>
      </c>
      <c r="D44" s="78"/>
      <c r="G44" s="78">
        <f t="shared" si="2"/>
        <v>0</v>
      </c>
    </row>
    <row r="45" spans="1:7" ht="15.75" x14ac:dyDescent="0.25">
      <c r="A45">
        <f t="shared" si="3"/>
        <v>43</v>
      </c>
      <c r="B45" s="24" t="s">
        <v>161</v>
      </c>
      <c r="D45" s="78"/>
      <c r="G45" s="78">
        <f t="shared" si="2"/>
        <v>0</v>
      </c>
    </row>
    <row r="46" spans="1:7" ht="15.75" x14ac:dyDescent="0.25">
      <c r="A46">
        <f t="shared" si="3"/>
        <v>44</v>
      </c>
      <c r="B46" s="24" t="s">
        <v>163</v>
      </c>
      <c r="D46" s="78"/>
      <c r="G46" s="78">
        <f t="shared" si="2"/>
        <v>0</v>
      </c>
    </row>
    <row r="47" spans="1:7" ht="15.75" x14ac:dyDescent="0.25">
      <c r="A47">
        <f t="shared" si="3"/>
        <v>45</v>
      </c>
      <c r="B47" s="24" t="s">
        <v>164</v>
      </c>
      <c r="D47" s="78"/>
      <c r="G47" s="78">
        <f t="shared" si="2"/>
        <v>0</v>
      </c>
    </row>
    <row r="48" spans="1:7" ht="15.75" x14ac:dyDescent="0.25">
      <c r="A48">
        <f t="shared" si="3"/>
        <v>46</v>
      </c>
      <c r="B48" s="24" t="s">
        <v>245</v>
      </c>
      <c r="D48" s="78"/>
      <c r="G48" s="78">
        <f t="shared" si="2"/>
        <v>0</v>
      </c>
    </row>
    <row r="49" spans="1:7" ht="15.75" x14ac:dyDescent="0.25">
      <c r="A49">
        <f t="shared" si="3"/>
        <v>47</v>
      </c>
      <c r="B49" s="24" t="s">
        <v>175</v>
      </c>
      <c r="D49" s="78"/>
      <c r="G49" s="78">
        <f t="shared" si="2"/>
        <v>0</v>
      </c>
    </row>
    <row r="50" spans="1:7" ht="15.75" x14ac:dyDescent="0.25">
      <c r="A50">
        <f t="shared" si="3"/>
        <v>48</v>
      </c>
      <c r="B50" s="24" t="s">
        <v>176</v>
      </c>
      <c r="D50" s="78"/>
      <c r="G50" s="78">
        <f t="shared" si="2"/>
        <v>0</v>
      </c>
    </row>
    <row r="51" spans="1:7" ht="15.75" x14ac:dyDescent="0.25">
      <c r="A51">
        <f t="shared" si="3"/>
        <v>49</v>
      </c>
      <c r="B51" s="24" t="s">
        <v>178</v>
      </c>
      <c r="D51" s="78"/>
      <c r="G51" s="78">
        <f t="shared" si="2"/>
        <v>0</v>
      </c>
    </row>
    <row r="52" spans="1:7" ht="15.75" x14ac:dyDescent="0.25">
      <c r="A52">
        <f t="shared" si="3"/>
        <v>50</v>
      </c>
      <c r="B52" s="24" t="s">
        <v>179</v>
      </c>
      <c r="D52" s="78"/>
      <c r="G52" s="78">
        <f t="shared" si="2"/>
        <v>0</v>
      </c>
    </row>
    <row r="53" spans="1:7" ht="15.75" x14ac:dyDescent="0.25">
      <c r="A53">
        <f t="shared" si="3"/>
        <v>51</v>
      </c>
      <c r="B53" s="24" t="s">
        <v>246</v>
      </c>
      <c r="D53" s="78"/>
      <c r="G53" s="78">
        <f t="shared" si="2"/>
        <v>0</v>
      </c>
    </row>
    <row r="54" spans="1:7" ht="15.75" x14ac:dyDescent="0.25">
      <c r="A54">
        <f t="shared" si="3"/>
        <v>52</v>
      </c>
      <c r="B54" s="24" t="s">
        <v>269</v>
      </c>
      <c r="D54" s="78"/>
      <c r="G54" s="78">
        <f t="shared" si="2"/>
        <v>0</v>
      </c>
    </row>
    <row r="55" spans="1:7" ht="15.75" x14ac:dyDescent="0.25">
      <c r="A55">
        <f t="shared" si="3"/>
        <v>53</v>
      </c>
      <c r="B55" s="24" t="s">
        <v>181</v>
      </c>
      <c r="D55" s="78"/>
      <c r="G55" s="78">
        <f t="shared" si="2"/>
        <v>0</v>
      </c>
    </row>
    <row r="56" spans="1:7" ht="15.75" x14ac:dyDescent="0.25">
      <c r="A56">
        <f t="shared" si="3"/>
        <v>54</v>
      </c>
      <c r="B56" s="24" t="s">
        <v>182</v>
      </c>
      <c r="D56" s="78"/>
      <c r="G56" s="78">
        <f t="shared" si="2"/>
        <v>0</v>
      </c>
    </row>
    <row r="57" spans="1:7" ht="15.75" x14ac:dyDescent="0.25">
      <c r="A57">
        <f t="shared" si="3"/>
        <v>55</v>
      </c>
      <c r="B57" s="24" t="s">
        <v>183</v>
      </c>
      <c r="D57" s="78"/>
      <c r="G57" s="78">
        <f t="shared" si="2"/>
        <v>0</v>
      </c>
    </row>
    <row r="58" spans="1:7" ht="15.75" x14ac:dyDescent="0.25">
      <c r="A58">
        <f t="shared" si="3"/>
        <v>56</v>
      </c>
      <c r="B58" s="24" t="s">
        <v>184</v>
      </c>
      <c r="D58" s="81"/>
      <c r="G58" s="81">
        <f t="shared" si="2"/>
        <v>0</v>
      </c>
    </row>
    <row r="59" spans="1:7" ht="15.75" x14ac:dyDescent="0.25">
      <c r="B59" s="24" t="s">
        <v>185</v>
      </c>
      <c r="D59" s="78">
        <f t="shared" ref="D59" si="4">SUM(D19:D58)</f>
        <v>38862.69</v>
      </c>
      <c r="G59" s="78">
        <f t="shared" si="2"/>
        <v>38862.69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A2" sqref="A2:K37"/>
    </sheetView>
  </sheetViews>
  <sheetFormatPr defaultRowHeight="15" x14ac:dyDescent="0.25"/>
  <cols>
    <col min="1" max="1" width="18.7109375" customWidth="1"/>
    <col min="2" max="2" width="14.85546875" customWidth="1"/>
    <col min="3" max="3" width="11.140625" customWidth="1"/>
    <col min="4" max="4" width="14.7109375" bestFit="1" customWidth="1"/>
    <col min="5" max="5" width="5.7109375" customWidth="1"/>
    <col min="6" max="6" width="38.7109375" customWidth="1"/>
  </cols>
  <sheetData>
    <row r="1" spans="1:8" ht="31.5" x14ac:dyDescent="0.25">
      <c r="A1" s="54" t="s">
        <v>271</v>
      </c>
      <c r="B1" s="59" t="s">
        <v>272</v>
      </c>
      <c r="C1" s="54" t="s">
        <v>273</v>
      </c>
      <c r="D1" s="54" t="s">
        <v>274</v>
      </c>
      <c r="E1" s="54" t="s">
        <v>275</v>
      </c>
      <c r="F1" s="54" t="s">
        <v>276</v>
      </c>
    </row>
    <row r="2" spans="1:8" ht="15.75" x14ac:dyDescent="0.25">
      <c r="A2" s="60" t="s">
        <v>334</v>
      </c>
      <c r="B2" s="60" t="s">
        <v>141</v>
      </c>
      <c r="C2" s="61">
        <v>42582</v>
      </c>
      <c r="D2" s="60" t="s">
        <v>335</v>
      </c>
      <c r="E2" s="60" t="s">
        <v>280</v>
      </c>
      <c r="F2" s="60" t="s">
        <v>336</v>
      </c>
      <c r="H2" s="200" t="s">
        <v>696</v>
      </c>
    </row>
    <row r="3" spans="1:8" ht="15.75" x14ac:dyDescent="0.25">
      <c r="A3" s="60" t="s">
        <v>334</v>
      </c>
      <c r="B3" s="60" t="s">
        <v>141</v>
      </c>
      <c r="C3" s="61"/>
      <c r="D3" s="60" t="s">
        <v>0</v>
      </c>
      <c r="E3" s="60" t="s">
        <v>0</v>
      </c>
      <c r="F3" s="60" t="s">
        <v>284</v>
      </c>
      <c r="H3" s="200" t="s">
        <v>697</v>
      </c>
    </row>
    <row r="4" spans="1:8" ht="15.75" x14ac:dyDescent="0.25">
      <c r="A4" s="60" t="s">
        <v>334</v>
      </c>
      <c r="B4" s="60" t="s">
        <v>141</v>
      </c>
      <c r="C4" s="61">
        <v>42583</v>
      </c>
      <c r="D4" s="60" t="s">
        <v>0</v>
      </c>
      <c r="E4" s="60" t="s">
        <v>0</v>
      </c>
      <c r="F4" s="60" t="s">
        <v>278</v>
      </c>
    </row>
    <row r="5" spans="1:8" ht="15.75" x14ac:dyDescent="0.25">
      <c r="A5" s="60" t="s">
        <v>334</v>
      </c>
      <c r="B5" s="60" t="s">
        <v>141</v>
      </c>
      <c r="C5" s="61">
        <v>42613</v>
      </c>
      <c r="D5" s="60" t="s">
        <v>337</v>
      </c>
      <c r="E5" s="60" t="s">
        <v>280</v>
      </c>
      <c r="F5" s="60" t="s">
        <v>336</v>
      </c>
    </row>
    <row r="6" spans="1:8" ht="15.75" x14ac:dyDescent="0.25">
      <c r="A6" s="60" t="s">
        <v>334</v>
      </c>
      <c r="B6" s="60" t="s">
        <v>141</v>
      </c>
      <c r="C6" s="61"/>
      <c r="D6" s="60" t="s">
        <v>0</v>
      </c>
      <c r="E6" s="60" t="s">
        <v>0</v>
      </c>
      <c r="F6" s="60" t="s">
        <v>284</v>
      </c>
    </row>
    <row r="7" spans="1:8" ht="15.75" x14ac:dyDescent="0.25">
      <c r="A7" s="60" t="s">
        <v>334</v>
      </c>
      <c r="B7" s="60" t="s">
        <v>141</v>
      </c>
      <c r="C7" s="61">
        <v>42614</v>
      </c>
      <c r="D7" s="60" t="s">
        <v>0</v>
      </c>
      <c r="E7" s="60" t="s">
        <v>0</v>
      </c>
      <c r="F7" s="60" t="s">
        <v>278</v>
      </c>
    </row>
    <row r="8" spans="1:8" ht="15.75" x14ac:dyDescent="0.25">
      <c r="A8" s="60" t="s">
        <v>334</v>
      </c>
      <c r="B8" s="60" t="s">
        <v>141</v>
      </c>
      <c r="C8" s="61">
        <v>42644</v>
      </c>
      <c r="D8" s="60" t="s">
        <v>0</v>
      </c>
      <c r="E8" s="60" t="s">
        <v>0</v>
      </c>
      <c r="F8" s="60" t="s">
        <v>278</v>
      </c>
    </row>
    <row r="9" spans="1:8" ht="15.75" x14ac:dyDescent="0.25">
      <c r="A9" s="60" t="s">
        <v>334</v>
      </c>
      <c r="B9" s="60" t="s">
        <v>141</v>
      </c>
      <c r="C9" s="61">
        <v>42675</v>
      </c>
      <c r="D9" s="60" t="s">
        <v>0</v>
      </c>
      <c r="E9" s="60" t="s">
        <v>0</v>
      </c>
      <c r="F9" s="60" t="s">
        <v>278</v>
      </c>
    </row>
    <row r="10" spans="1:8" ht="15.75" x14ac:dyDescent="0.25">
      <c r="A10" s="60" t="s">
        <v>334</v>
      </c>
      <c r="B10" s="60" t="s">
        <v>141</v>
      </c>
      <c r="C10" s="61">
        <v>42705</v>
      </c>
      <c r="D10" s="60" t="s">
        <v>0</v>
      </c>
      <c r="E10" s="60" t="s">
        <v>0</v>
      </c>
      <c r="F10" s="60" t="s">
        <v>278</v>
      </c>
    </row>
    <row r="11" spans="1:8" ht="15.75" x14ac:dyDescent="0.25">
      <c r="A11" s="60" t="s">
        <v>334</v>
      </c>
      <c r="B11" s="60" t="s">
        <v>141</v>
      </c>
      <c r="C11" s="61">
        <v>42723</v>
      </c>
      <c r="D11" s="60" t="s">
        <v>338</v>
      </c>
      <c r="E11" s="60" t="s">
        <v>309</v>
      </c>
      <c r="F11" s="60" t="s">
        <v>339</v>
      </c>
    </row>
    <row r="12" spans="1:8" ht="15.75" x14ac:dyDescent="0.25">
      <c r="A12" s="60" t="s">
        <v>334</v>
      </c>
      <c r="B12" s="60" t="s">
        <v>141</v>
      </c>
      <c r="C12" s="61">
        <v>42733</v>
      </c>
      <c r="D12" s="60" t="s">
        <v>340</v>
      </c>
      <c r="E12" s="60" t="s">
        <v>309</v>
      </c>
      <c r="F12" s="60" t="s">
        <v>339</v>
      </c>
    </row>
    <row r="13" spans="1:8" ht="15.75" x14ac:dyDescent="0.25">
      <c r="A13" s="60" t="s">
        <v>334</v>
      </c>
      <c r="B13" s="60" t="s">
        <v>141</v>
      </c>
      <c r="C13" s="61">
        <v>42735</v>
      </c>
      <c r="D13" s="60" t="s">
        <v>341</v>
      </c>
      <c r="E13" s="60" t="s">
        <v>280</v>
      </c>
      <c r="F13" s="60" t="s">
        <v>336</v>
      </c>
    </row>
    <row r="14" spans="1:8" ht="15.75" x14ac:dyDescent="0.25">
      <c r="A14" s="60" t="s">
        <v>334</v>
      </c>
      <c r="B14" s="60" t="s">
        <v>141</v>
      </c>
      <c r="C14" s="61"/>
      <c r="D14" s="60" t="s">
        <v>0</v>
      </c>
      <c r="E14" s="60" t="s">
        <v>0</v>
      </c>
      <c r="F14" s="60" t="s">
        <v>284</v>
      </c>
    </row>
    <row r="15" spans="1:8" ht="15.75" x14ac:dyDescent="0.25">
      <c r="A15" s="60" t="s">
        <v>334</v>
      </c>
      <c r="B15" s="60" t="s">
        <v>141</v>
      </c>
      <c r="C15" s="61">
        <v>42735</v>
      </c>
      <c r="D15" s="60" t="s">
        <v>0</v>
      </c>
      <c r="E15" s="60" t="s">
        <v>0</v>
      </c>
      <c r="F15" s="60" t="s">
        <v>307</v>
      </c>
    </row>
    <row r="16" spans="1:8" ht="15.75" x14ac:dyDescent="0.25">
      <c r="A16" s="60" t="s">
        <v>334</v>
      </c>
      <c r="B16" s="60" t="s">
        <v>141</v>
      </c>
      <c r="C16" s="61"/>
      <c r="D16" s="60" t="s">
        <v>0</v>
      </c>
      <c r="E16" s="60" t="s">
        <v>0</v>
      </c>
      <c r="F16" s="60" t="s">
        <v>0</v>
      </c>
    </row>
    <row r="17" spans="1:6" ht="15.75" x14ac:dyDescent="0.25">
      <c r="A17" s="60" t="s">
        <v>334</v>
      </c>
      <c r="B17" s="60" t="s">
        <v>141</v>
      </c>
      <c r="C17" s="61">
        <v>42736</v>
      </c>
      <c r="D17" s="60" t="s">
        <v>0</v>
      </c>
      <c r="E17" s="60" t="s">
        <v>0</v>
      </c>
      <c r="F17" s="60" t="s">
        <v>278</v>
      </c>
    </row>
    <row r="18" spans="1:6" ht="15.75" x14ac:dyDescent="0.25">
      <c r="A18" s="60" t="s">
        <v>334</v>
      </c>
      <c r="B18" s="60" t="s">
        <v>141</v>
      </c>
      <c r="C18" s="61">
        <v>42766</v>
      </c>
      <c r="D18" s="60" t="s">
        <v>342</v>
      </c>
      <c r="E18" s="60" t="s">
        <v>280</v>
      </c>
      <c r="F18" s="60" t="s">
        <v>336</v>
      </c>
    </row>
    <row r="19" spans="1:6" ht="15.75" x14ac:dyDescent="0.25">
      <c r="A19" s="60" t="s">
        <v>334</v>
      </c>
      <c r="B19" s="60" t="s">
        <v>141</v>
      </c>
      <c r="C19" s="61"/>
      <c r="D19" s="60" t="s">
        <v>0</v>
      </c>
      <c r="E19" s="60" t="s">
        <v>0</v>
      </c>
      <c r="F19" s="60" t="s">
        <v>284</v>
      </c>
    </row>
    <row r="20" spans="1:6" ht="15.75" x14ac:dyDescent="0.25">
      <c r="A20" s="60" t="s">
        <v>334</v>
      </c>
      <c r="B20" s="60" t="s">
        <v>141</v>
      </c>
      <c r="C20" s="61">
        <v>42767</v>
      </c>
      <c r="D20" s="60" t="s">
        <v>0</v>
      </c>
      <c r="E20" s="60" t="s">
        <v>0</v>
      </c>
      <c r="F20" s="60" t="s">
        <v>278</v>
      </c>
    </row>
    <row r="21" spans="1:6" ht="15.75" x14ac:dyDescent="0.25">
      <c r="A21" s="60" t="s">
        <v>334</v>
      </c>
      <c r="B21" s="60" t="s">
        <v>141</v>
      </c>
      <c r="C21" s="61">
        <v>42767</v>
      </c>
      <c r="D21" s="60" t="s">
        <v>343</v>
      </c>
      <c r="E21" s="60" t="s">
        <v>280</v>
      </c>
      <c r="F21" s="60" t="s">
        <v>336</v>
      </c>
    </row>
    <row r="22" spans="1:6" ht="15.75" x14ac:dyDescent="0.25">
      <c r="A22" s="60" t="s">
        <v>334</v>
      </c>
      <c r="B22" s="60" t="s">
        <v>141</v>
      </c>
      <c r="C22" s="61">
        <v>42794</v>
      </c>
      <c r="D22" s="60" t="s">
        <v>344</v>
      </c>
      <c r="E22" s="60" t="s">
        <v>280</v>
      </c>
      <c r="F22" s="60" t="s">
        <v>336</v>
      </c>
    </row>
    <row r="23" spans="1:6" ht="15.75" x14ac:dyDescent="0.25">
      <c r="A23" s="60" t="s">
        <v>334</v>
      </c>
      <c r="B23" s="60" t="s">
        <v>141</v>
      </c>
      <c r="C23" s="61"/>
      <c r="D23" s="60" t="s">
        <v>0</v>
      </c>
      <c r="E23" s="60" t="s">
        <v>0</v>
      </c>
      <c r="F23" s="60" t="s">
        <v>284</v>
      </c>
    </row>
    <row r="24" spans="1:6" ht="15.75" x14ac:dyDescent="0.25">
      <c r="A24" s="60" t="s">
        <v>334</v>
      </c>
      <c r="B24" s="60" t="s">
        <v>141</v>
      </c>
      <c r="C24" s="61">
        <v>42795</v>
      </c>
      <c r="D24" s="60" t="s">
        <v>0</v>
      </c>
      <c r="E24" s="60" t="s">
        <v>0</v>
      </c>
      <c r="F24" s="60" t="s">
        <v>278</v>
      </c>
    </row>
    <row r="25" spans="1:6" ht="15.75" x14ac:dyDescent="0.25">
      <c r="A25" s="60" t="s">
        <v>334</v>
      </c>
      <c r="B25" s="60" t="s">
        <v>141</v>
      </c>
      <c r="C25" s="61">
        <v>42817</v>
      </c>
      <c r="D25" s="60" t="s">
        <v>345</v>
      </c>
      <c r="E25" s="60" t="s">
        <v>280</v>
      </c>
      <c r="F25" s="60" t="s">
        <v>346</v>
      </c>
    </row>
    <row r="26" spans="1:6" ht="15.75" x14ac:dyDescent="0.25">
      <c r="A26" s="60" t="s">
        <v>334</v>
      </c>
      <c r="B26" s="60" t="s">
        <v>141</v>
      </c>
      <c r="C26" s="61"/>
      <c r="D26" s="60" t="s">
        <v>0</v>
      </c>
      <c r="E26" s="60" t="s">
        <v>0</v>
      </c>
      <c r="F26" s="60" t="s">
        <v>284</v>
      </c>
    </row>
    <row r="27" spans="1:6" ht="15.75" x14ac:dyDescent="0.25">
      <c r="A27" s="60" t="s">
        <v>334</v>
      </c>
      <c r="B27" s="60" t="s">
        <v>141</v>
      </c>
      <c r="C27" s="61">
        <v>42826</v>
      </c>
      <c r="D27" s="60" t="s">
        <v>0</v>
      </c>
      <c r="E27" s="60" t="s">
        <v>0</v>
      </c>
      <c r="F27" s="60" t="s">
        <v>278</v>
      </c>
    </row>
    <row r="28" spans="1:6" ht="15.75" x14ac:dyDescent="0.25">
      <c r="A28" s="60" t="s">
        <v>334</v>
      </c>
      <c r="B28" s="60" t="s">
        <v>141</v>
      </c>
      <c r="C28" s="61">
        <v>42851</v>
      </c>
      <c r="D28" s="60" t="s">
        <v>347</v>
      </c>
      <c r="E28" s="60" t="s">
        <v>280</v>
      </c>
      <c r="F28" s="60" t="s">
        <v>336</v>
      </c>
    </row>
    <row r="29" spans="1:6" ht="15.75" x14ac:dyDescent="0.25">
      <c r="A29" s="60" t="s">
        <v>334</v>
      </c>
      <c r="B29" s="60" t="s">
        <v>141</v>
      </c>
      <c r="C29" s="61">
        <v>42855</v>
      </c>
      <c r="D29" s="60" t="s">
        <v>348</v>
      </c>
      <c r="E29" s="60" t="s">
        <v>280</v>
      </c>
      <c r="F29" s="60" t="s">
        <v>336</v>
      </c>
    </row>
    <row r="30" spans="1:6" ht="15.75" x14ac:dyDescent="0.25">
      <c r="A30" s="60" t="s">
        <v>334</v>
      </c>
      <c r="B30" s="60" t="s">
        <v>141</v>
      </c>
      <c r="C30" s="61"/>
      <c r="D30" s="60" t="s">
        <v>0</v>
      </c>
      <c r="E30" s="60" t="s">
        <v>0</v>
      </c>
      <c r="F30" s="60" t="s">
        <v>284</v>
      </c>
    </row>
    <row r="31" spans="1:6" ht="15.75" x14ac:dyDescent="0.25">
      <c r="A31" s="60" t="s">
        <v>334</v>
      </c>
      <c r="B31" s="60" t="s">
        <v>141</v>
      </c>
      <c r="C31" s="61">
        <v>42856</v>
      </c>
      <c r="D31" s="60" t="s">
        <v>0</v>
      </c>
      <c r="E31" s="60" t="s">
        <v>0</v>
      </c>
      <c r="F31" s="60" t="s">
        <v>278</v>
      </c>
    </row>
    <row r="32" spans="1:6" ht="15.75" x14ac:dyDescent="0.25">
      <c r="A32" s="60" t="s">
        <v>334</v>
      </c>
      <c r="B32" s="60" t="s">
        <v>141</v>
      </c>
      <c r="C32" s="61">
        <v>42856</v>
      </c>
      <c r="D32" s="60" t="s">
        <v>349</v>
      </c>
      <c r="E32" s="60" t="s">
        <v>280</v>
      </c>
      <c r="F32" s="60" t="s">
        <v>350</v>
      </c>
    </row>
    <row r="33" spans="1:6" ht="15.75" x14ac:dyDescent="0.25">
      <c r="A33" s="60" t="s">
        <v>334</v>
      </c>
      <c r="B33" s="60" t="s">
        <v>141</v>
      </c>
      <c r="C33" s="61">
        <v>42856</v>
      </c>
      <c r="D33" s="60" t="s">
        <v>351</v>
      </c>
      <c r="E33" s="60" t="s">
        <v>280</v>
      </c>
      <c r="F33" s="60" t="s">
        <v>336</v>
      </c>
    </row>
    <row r="34" spans="1:6" ht="15.75" x14ac:dyDescent="0.25">
      <c r="A34" s="60" t="s">
        <v>334</v>
      </c>
      <c r="B34" s="60" t="s">
        <v>141</v>
      </c>
      <c r="C34" s="61"/>
      <c r="D34" s="60" t="s">
        <v>0</v>
      </c>
      <c r="E34" s="60" t="s">
        <v>0</v>
      </c>
      <c r="F34" s="60" t="s">
        <v>284</v>
      </c>
    </row>
    <row r="35" spans="1:6" ht="15.75" x14ac:dyDescent="0.25">
      <c r="A35" s="60" t="s">
        <v>334</v>
      </c>
      <c r="B35" s="60" t="s">
        <v>141</v>
      </c>
      <c r="C35" s="61">
        <v>42887</v>
      </c>
      <c r="D35" s="60" t="s">
        <v>0</v>
      </c>
      <c r="E35" s="60" t="s">
        <v>0</v>
      </c>
      <c r="F35" s="60" t="s">
        <v>278</v>
      </c>
    </row>
    <row r="36" spans="1:6" ht="15.75" x14ac:dyDescent="0.25">
      <c r="A36" s="60" t="s">
        <v>334</v>
      </c>
      <c r="B36" s="60" t="s">
        <v>141</v>
      </c>
      <c r="C36" s="61">
        <v>42887</v>
      </c>
      <c r="D36" s="60" t="s">
        <v>352</v>
      </c>
      <c r="E36" s="60" t="s">
        <v>280</v>
      </c>
      <c r="F36" s="60" t="s">
        <v>336</v>
      </c>
    </row>
    <row r="37" spans="1:6" ht="15.75" x14ac:dyDescent="0.25">
      <c r="A37" s="60" t="s">
        <v>334</v>
      </c>
      <c r="B37" s="60" t="s">
        <v>141</v>
      </c>
      <c r="C37" s="61">
        <v>42916</v>
      </c>
      <c r="D37" s="60" t="s">
        <v>332</v>
      </c>
      <c r="E37" s="60" t="s">
        <v>306</v>
      </c>
      <c r="F37" s="60" t="s">
        <v>0</v>
      </c>
    </row>
    <row r="38" spans="1:6" ht="15.75" x14ac:dyDescent="0.25">
      <c r="A38" s="8"/>
      <c r="B38" s="8"/>
      <c r="C38" s="56"/>
      <c r="D38" s="8"/>
      <c r="E38" s="8"/>
      <c r="F38" s="8"/>
    </row>
    <row r="39" spans="1:6" ht="15.75" x14ac:dyDescent="0.25">
      <c r="A39" s="8"/>
      <c r="B39" s="8"/>
      <c r="C39" s="56"/>
      <c r="D39" s="8"/>
      <c r="E39" s="8"/>
      <c r="F39" s="8"/>
    </row>
  </sheetData>
  <pageMargins left="0.25" right="0.25" top="0.75" bottom="0.5" header="0.3" footer="0.3"/>
  <pageSetup scale="89" fitToHeight="0" orientation="landscape" r:id="rId1"/>
  <headerFooter>
    <oddHeader>&amp;CArrow Launch Service, Inc.
Accounting 
Test Period ended 6/30/17</oddHeader>
    <oddFooter>&amp;L&amp;F &amp;A &amp;T&amp;RPage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A2" sqref="A2:K38"/>
    </sheetView>
  </sheetViews>
  <sheetFormatPr defaultRowHeight="15" x14ac:dyDescent="0.25"/>
  <cols>
    <col min="1" max="1" width="13.140625" customWidth="1"/>
    <col min="2" max="2" width="13.7109375" customWidth="1"/>
    <col min="3" max="3" width="8.7109375" customWidth="1"/>
    <col min="4" max="4" width="12.42578125" customWidth="1"/>
    <col min="5" max="5" width="7.28515625" customWidth="1"/>
    <col min="6" max="6" width="52.85546875" customWidth="1"/>
  </cols>
  <sheetData>
    <row r="1" spans="1:8" ht="31.5" x14ac:dyDescent="0.25">
      <c r="A1" s="54" t="s">
        <v>271</v>
      </c>
      <c r="B1" s="55" t="s">
        <v>272</v>
      </c>
      <c r="C1" s="54" t="s">
        <v>273</v>
      </c>
      <c r="D1" s="54" t="s">
        <v>274</v>
      </c>
      <c r="E1" s="54" t="s">
        <v>275</v>
      </c>
      <c r="F1" s="54" t="s">
        <v>276</v>
      </c>
    </row>
    <row r="2" spans="1:8" ht="15.75" x14ac:dyDescent="0.25">
      <c r="A2" s="8" t="s">
        <v>277</v>
      </c>
      <c r="B2" s="8" t="s">
        <v>142</v>
      </c>
      <c r="C2" s="56">
        <v>42552</v>
      </c>
      <c r="D2" s="8" t="s">
        <v>765</v>
      </c>
      <c r="E2" s="8" t="s">
        <v>280</v>
      </c>
      <c r="F2" s="8" t="s">
        <v>766</v>
      </c>
      <c r="H2" s="200" t="s">
        <v>696</v>
      </c>
    </row>
    <row r="3" spans="1:8" ht="15.75" x14ac:dyDescent="0.25">
      <c r="A3" s="8" t="s">
        <v>277</v>
      </c>
      <c r="B3" s="8" t="s">
        <v>142</v>
      </c>
      <c r="C3" s="56">
        <v>42552</v>
      </c>
      <c r="D3" s="8" t="s">
        <v>767</v>
      </c>
      <c r="E3" s="8" t="s">
        <v>280</v>
      </c>
      <c r="F3" s="8" t="s">
        <v>768</v>
      </c>
      <c r="H3" s="200" t="s">
        <v>697</v>
      </c>
    </row>
    <row r="4" spans="1:8" ht="15.75" x14ac:dyDescent="0.25">
      <c r="A4" s="8" t="s">
        <v>277</v>
      </c>
      <c r="B4" s="8" t="s">
        <v>142</v>
      </c>
      <c r="C4" s="56">
        <v>42582</v>
      </c>
      <c r="D4" s="8" t="s">
        <v>279</v>
      </c>
      <c r="E4" s="8" t="s">
        <v>280</v>
      </c>
      <c r="F4" s="8" t="s">
        <v>281</v>
      </c>
    </row>
    <row r="5" spans="1:8" ht="15.75" x14ac:dyDescent="0.25">
      <c r="A5" s="8" t="s">
        <v>277</v>
      </c>
      <c r="B5" s="8" t="s">
        <v>142</v>
      </c>
      <c r="C5" s="56">
        <v>42582</v>
      </c>
      <c r="D5" s="8" t="s">
        <v>282</v>
      </c>
      <c r="E5" s="8" t="s">
        <v>280</v>
      </c>
      <c r="F5" s="8" t="s">
        <v>283</v>
      </c>
    </row>
    <row r="6" spans="1:8" ht="15.75" x14ac:dyDescent="0.25">
      <c r="A6" s="8" t="s">
        <v>277</v>
      </c>
      <c r="B6" s="8" t="s">
        <v>142</v>
      </c>
      <c r="C6" s="56">
        <v>42583</v>
      </c>
      <c r="D6" s="8" t="s">
        <v>285</v>
      </c>
      <c r="E6" s="8" t="s">
        <v>280</v>
      </c>
      <c r="F6" s="8" t="s">
        <v>286</v>
      </c>
    </row>
    <row r="7" spans="1:8" ht="15.75" x14ac:dyDescent="0.25">
      <c r="A7" s="8" t="s">
        <v>277</v>
      </c>
      <c r="B7" s="8" t="s">
        <v>142</v>
      </c>
      <c r="C7" s="56">
        <v>42613</v>
      </c>
      <c r="D7" s="8" t="s">
        <v>287</v>
      </c>
      <c r="E7" s="8" t="s">
        <v>280</v>
      </c>
      <c r="F7" s="8" t="s">
        <v>288</v>
      </c>
    </row>
    <row r="8" spans="1:8" ht="15.75" x14ac:dyDescent="0.25">
      <c r="A8" s="8" t="s">
        <v>277</v>
      </c>
      <c r="B8" s="8" t="s">
        <v>142</v>
      </c>
      <c r="C8" s="56">
        <v>42613</v>
      </c>
      <c r="D8" s="8" t="s">
        <v>289</v>
      </c>
      <c r="E8" s="8" t="s">
        <v>280</v>
      </c>
      <c r="F8" s="8" t="s">
        <v>290</v>
      </c>
    </row>
    <row r="9" spans="1:8" ht="15.75" x14ac:dyDescent="0.25">
      <c r="A9" s="8" t="s">
        <v>277</v>
      </c>
      <c r="B9" s="8" t="s">
        <v>142</v>
      </c>
      <c r="C9" s="56">
        <v>42614</v>
      </c>
      <c r="D9" s="8" t="s">
        <v>291</v>
      </c>
      <c r="E9" s="8" t="s">
        <v>280</v>
      </c>
      <c r="F9" s="8" t="s">
        <v>292</v>
      </c>
    </row>
    <row r="10" spans="1:8" ht="15.75" x14ac:dyDescent="0.25">
      <c r="A10" s="8" t="s">
        <v>277</v>
      </c>
      <c r="B10" s="8" t="s">
        <v>142</v>
      </c>
      <c r="C10" s="56">
        <v>42643</v>
      </c>
      <c r="D10" s="8" t="s">
        <v>293</v>
      </c>
      <c r="E10" s="8" t="s">
        <v>280</v>
      </c>
      <c r="F10" s="8" t="s">
        <v>294</v>
      </c>
    </row>
    <row r="11" spans="1:8" ht="15.75" x14ac:dyDescent="0.25">
      <c r="A11" s="8" t="s">
        <v>277</v>
      </c>
      <c r="B11" s="8" t="s">
        <v>142</v>
      </c>
      <c r="C11" s="56">
        <v>42643</v>
      </c>
      <c r="D11" s="8" t="s">
        <v>295</v>
      </c>
      <c r="E11" s="8" t="s">
        <v>280</v>
      </c>
      <c r="F11" s="8" t="s">
        <v>296</v>
      </c>
    </row>
    <row r="12" spans="1:8" ht="15.75" x14ac:dyDescent="0.25">
      <c r="A12" s="8" t="s">
        <v>277</v>
      </c>
      <c r="B12" s="8" t="s">
        <v>142</v>
      </c>
      <c r="C12" s="56">
        <v>42644</v>
      </c>
      <c r="D12" s="8" t="s">
        <v>297</v>
      </c>
      <c r="E12" s="8" t="s">
        <v>280</v>
      </c>
      <c r="F12" s="8" t="s">
        <v>298</v>
      </c>
    </row>
    <row r="13" spans="1:8" ht="15.75" x14ac:dyDescent="0.25">
      <c r="A13" s="8" t="s">
        <v>277</v>
      </c>
      <c r="B13" s="8" t="s">
        <v>142</v>
      </c>
      <c r="C13" s="56">
        <v>42646</v>
      </c>
      <c r="D13" s="8" t="s">
        <v>299</v>
      </c>
      <c r="E13" s="8" t="s">
        <v>280</v>
      </c>
      <c r="F13" s="8" t="s">
        <v>286</v>
      </c>
    </row>
    <row r="14" spans="1:8" ht="15.75" x14ac:dyDescent="0.25">
      <c r="A14" s="8" t="s">
        <v>277</v>
      </c>
      <c r="B14" s="8" t="s">
        <v>142</v>
      </c>
      <c r="C14" s="56">
        <v>42674</v>
      </c>
      <c r="D14" s="8" t="s">
        <v>300</v>
      </c>
      <c r="E14" s="8" t="s">
        <v>280</v>
      </c>
      <c r="F14" s="8" t="s">
        <v>294</v>
      </c>
    </row>
    <row r="15" spans="1:8" ht="15.75" x14ac:dyDescent="0.25">
      <c r="A15" s="8" t="s">
        <v>277</v>
      </c>
      <c r="B15" s="8" t="s">
        <v>142</v>
      </c>
      <c r="C15" s="56">
        <v>42704</v>
      </c>
      <c r="D15" s="8" t="s">
        <v>301</v>
      </c>
      <c r="E15" s="8" t="s">
        <v>280</v>
      </c>
      <c r="F15" s="8" t="s">
        <v>296</v>
      </c>
    </row>
    <row r="16" spans="1:8" ht="15.75" x14ac:dyDescent="0.25">
      <c r="A16" s="8" t="s">
        <v>277</v>
      </c>
      <c r="B16" s="8" t="s">
        <v>142</v>
      </c>
      <c r="C16" s="56">
        <v>42712</v>
      </c>
      <c r="D16" s="8" t="s">
        <v>302</v>
      </c>
      <c r="E16" s="8" t="s">
        <v>280</v>
      </c>
      <c r="F16" s="8" t="s">
        <v>294</v>
      </c>
    </row>
    <row r="17" spans="1:6" ht="15.75" x14ac:dyDescent="0.25">
      <c r="A17" s="8" t="s">
        <v>277</v>
      </c>
      <c r="B17" s="8" t="s">
        <v>142</v>
      </c>
      <c r="C17" s="56">
        <v>42712</v>
      </c>
      <c r="D17" s="8" t="s">
        <v>303</v>
      </c>
      <c r="E17" s="8" t="s">
        <v>280</v>
      </c>
      <c r="F17" s="8" t="s">
        <v>296</v>
      </c>
    </row>
    <row r="18" spans="1:6" ht="15.75" x14ac:dyDescent="0.25">
      <c r="A18" s="8" t="s">
        <v>277</v>
      </c>
      <c r="B18" s="8" t="s">
        <v>142</v>
      </c>
      <c r="C18" s="56">
        <v>42734</v>
      </c>
      <c r="D18" s="8" t="s">
        <v>304</v>
      </c>
      <c r="E18" s="8" t="s">
        <v>280</v>
      </c>
      <c r="F18" s="8" t="s">
        <v>305</v>
      </c>
    </row>
    <row r="19" spans="1:6" ht="15.75" x14ac:dyDescent="0.25">
      <c r="A19" s="8" t="s">
        <v>277</v>
      </c>
      <c r="B19" s="8" t="s">
        <v>142</v>
      </c>
      <c r="C19" s="56">
        <v>42735</v>
      </c>
      <c r="D19" s="8" t="s">
        <v>0</v>
      </c>
      <c r="E19" s="8" t="s">
        <v>306</v>
      </c>
      <c r="F19" s="8" t="s">
        <v>0</v>
      </c>
    </row>
    <row r="20" spans="1:6" ht="15.75" x14ac:dyDescent="0.25">
      <c r="A20" s="8" t="s">
        <v>277</v>
      </c>
      <c r="B20" s="8" t="s">
        <v>142</v>
      </c>
      <c r="C20" s="56">
        <v>42752</v>
      </c>
      <c r="D20" s="8" t="s">
        <v>308</v>
      </c>
      <c r="E20" s="8" t="s">
        <v>309</v>
      </c>
      <c r="F20" s="8" t="s">
        <v>310</v>
      </c>
    </row>
    <row r="21" spans="1:6" ht="15.75" x14ac:dyDescent="0.25">
      <c r="A21" s="8" t="s">
        <v>277</v>
      </c>
      <c r="B21" s="8" t="s">
        <v>142</v>
      </c>
      <c r="C21" s="56">
        <v>42760</v>
      </c>
      <c r="D21" s="8" t="s">
        <v>311</v>
      </c>
      <c r="E21" s="8" t="s">
        <v>280</v>
      </c>
      <c r="F21" s="8" t="s">
        <v>312</v>
      </c>
    </row>
    <row r="22" spans="1:6" ht="15.75" x14ac:dyDescent="0.25">
      <c r="A22" s="8" t="s">
        <v>277</v>
      </c>
      <c r="B22" s="8" t="s">
        <v>142</v>
      </c>
      <c r="C22" s="56">
        <v>42766</v>
      </c>
      <c r="D22" s="8" t="s">
        <v>313</v>
      </c>
      <c r="E22" s="8" t="s">
        <v>280</v>
      </c>
      <c r="F22" s="8" t="s">
        <v>314</v>
      </c>
    </row>
    <row r="23" spans="1:6" ht="15.75" x14ac:dyDescent="0.25">
      <c r="A23" s="8" t="s">
        <v>277</v>
      </c>
      <c r="B23" s="8" t="s">
        <v>142</v>
      </c>
      <c r="C23" s="56">
        <v>42767</v>
      </c>
      <c r="D23" s="8" t="s">
        <v>315</v>
      </c>
      <c r="E23" s="8" t="s">
        <v>280</v>
      </c>
      <c r="F23" s="8" t="s">
        <v>286</v>
      </c>
    </row>
    <row r="24" spans="1:6" ht="15.75" x14ac:dyDescent="0.25">
      <c r="A24" s="8" t="s">
        <v>277</v>
      </c>
      <c r="B24" s="8" t="s">
        <v>142</v>
      </c>
      <c r="C24" s="56">
        <v>42767</v>
      </c>
      <c r="D24" s="8" t="s">
        <v>316</v>
      </c>
      <c r="E24" s="8" t="s">
        <v>280</v>
      </c>
      <c r="F24" s="8" t="s">
        <v>286</v>
      </c>
    </row>
    <row r="25" spans="1:6" ht="15.75" x14ac:dyDescent="0.25">
      <c r="A25" s="8" t="s">
        <v>277</v>
      </c>
      <c r="B25" s="8" t="s">
        <v>142</v>
      </c>
      <c r="C25" s="56">
        <v>42789</v>
      </c>
      <c r="D25" s="8" t="s">
        <v>317</v>
      </c>
      <c r="E25" s="8" t="s">
        <v>280</v>
      </c>
      <c r="F25" s="8" t="s">
        <v>305</v>
      </c>
    </row>
    <row r="26" spans="1:6" ht="15.75" x14ac:dyDescent="0.25">
      <c r="A26" s="8" t="s">
        <v>277</v>
      </c>
      <c r="B26" s="8" t="s">
        <v>142</v>
      </c>
      <c r="C26" s="56">
        <v>42794</v>
      </c>
      <c r="D26" s="8" t="s">
        <v>318</v>
      </c>
      <c r="E26" s="8" t="s">
        <v>280</v>
      </c>
      <c r="F26" s="8" t="s">
        <v>294</v>
      </c>
    </row>
    <row r="27" spans="1:6" ht="15.75" x14ac:dyDescent="0.25">
      <c r="A27" s="8" t="s">
        <v>277</v>
      </c>
      <c r="B27" s="8" t="s">
        <v>142</v>
      </c>
      <c r="C27" s="56">
        <v>42794</v>
      </c>
      <c r="D27" s="8" t="s">
        <v>319</v>
      </c>
      <c r="E27" s="8" t="s">
        <v>280</v>
      </c>
      <c r="F27" s="8" t="s">
        <v>296</v>
      </c>
    </row>
    <row r="28" spans="1:6" ht="15.75" x14ac:dyDescent="0.25">
      <c r="A28" s="8" t="s">
        <v>277</v>
      </c>
      <c r="B28" s="8" t="s">
        <v>142</v>
      </c>
      <c r="C28" s="56">
        <v>42828</v>
      </c>
      <c r="D28" s="8" t="s">
        <v>320</v>
      </c>
      <c r="E28" s="8" t="s">
        <v>280</v>
      </c>
      <c r="F28" s="8" t="s">
        <v>286</v>
      </c>
    </row>
    <row r="29" spans="1:6" ht="15.75" x14ac:dyDescent="0.25">
      <c r="A29" s="8" t="s">
        <v>277</v>
      </c>
      <c r="B29" s="8" t="s">
        <v>142</v>
      </c>
      <c r="C29" s="56">
        <v>42831</v>
      </c>
      <c r="D29" s="8" t="s">
        <v>321</v>
      </c>
      <c r="E29" s="8" t="s">
        <v>280</v>
      </c>
      <c r="F29" s="8" t="s">
        <v>305</v>
      </c>
    </row>
    <row r="30" spans="1:6" ht="15.75" x14ac:dyDescent="0.25">
      <c r="A30" s="8" t="s">
        <v>277</v>
      </c>
      <c r="B30" s="8" t="s">
        <v>142</v>
      </c>
      <c r="C30" s="56">
        <v>42831</v>
      </c>
      <c r="D30" s="8" t="s">
        <v>322</v>
      </c>
      <c r="E30" s="8" t="s">
        <v>280</v>
      </c>
      <c r="F30" s="8" t="s">
        <v>296</v>
      </c>
    </row>
    <row r="31" spans="1:6" ht="15.75" x14ac:dyDescent="0.25">
      <c r="A31" s="8" t="s">
        <v>277</v>
      </c>
      <c r="B31" s="8" t="s">
        <v>142</v>
      </c>
      <c r="C31" s="56">
        <v>42853</v>
      </c>
      <c r="D31" s="8" t="s">
        <v>0</v>
      </c>
      <c r="E31" s="8" t="s">
        <v>309</v>
      </c>
      <c r="F31" s="8" t="s">
        <v>305</v>
      </c>
    </row>
    <row r="32" spans="1:6" ht="15.75" x14ac:dyDescent="0.25">
      <c r="A32" s="8" t="s">
        <v>277</v>
      </c>
      <c r="B32" s="8" t="s">
        <v>142</v>
      </c>
      <c r="C32" s="56">
        <v>42856</v>
      </c>
      <c r="D32" s="8" t="s">
        <v>323</v>
      </c>
      <c r="E32" s="8" t="s">
        <v>280</v>
      </c>
      <c r="F32" s="8" t="s">
        <v>296</v>
      </c>
    </row>
    <row r="33" spans="1:6" ht="15.75" x14ac:dyDescent="0.25">
      <c r="A33" s="8" t="s">
        <v>277</v>
      </c>
      <c r="B33" s="8" t="s">
        <v>142</v>
      </c>
      <c r="C33" s="56">
        <v>42856</v>
      </c>
      <c r="D33" s="8" t="s">
        <v>324</v>
      </c>
      <c r="E33" s="8" t="s">
        <v>280</v>
      </c>
      <c r="F33" s="8" t="s">
        <v>294</v>
      </c>
    </row>
    <row r="34" spans="1:6" ht="15.75" x14ac:dyDescent="0.25">
      <c r="A34" s="8" t="s">
        <v>277</v>
      </c>
      <c r="B34" s="8" t="s">
        <v>142</v>
      </c>
      <c r="C34" s="56">
        <v>42856</v>
      </c>
      <c r="D34" s="8" t="s">
        <v>325</v>
      </c>
      <c r="E34" s="8" t="s">
        <v>280</v>
      </c>
      <c r="F34" s="8" t="s">
        <v>326</v>
      </c>
    </row>
    <row r="35" spans="1:6" ht="15.75" x14ac:dyDescent="0.25">
      <c r="A35" s="8" t="s">
        <v>277</v>
      </c>
      <c r="B35" s="8" t="s">
        <v>142</v>
      </c>
      <c r="C35" s="56">
        <v>42864</v>
      </c>
      <c r="D35" s="8" t="s">
        <v>327</v>
      </c>
      <c r="E35" s="8" t="s">
        <v>280</v>
      </c>
      <c r="F35" s="8" t="s">
        <v>328</v>
      </c>
    </row>
    <row r="36" spans="1:6" ht="15.75" x14ac:dyDescent="0.25">
      <c r="A36" s="8" t="s">
        <v>277</v>
      </c>
      <c r="B36" s="8" t="s">
        <v>142</v>
      </c>
      <c r="C36" s="56">
        <v>42886</v>
      </c>
      <c r="D36" s="8" t="s">
        <v>329</v>
      </c>
      <c r="E36" s="8" t="s">
        <v>280</v>
      </c>
      <c r="F36" s="8" t="s">
        <v>330</v>
      </c>
    </row>
    <row r="37" spans="1:6" ht="15.75" x14ac:dyDescent="0.25">
      <c r="A37" s="57" t="s">
        <v>277</v>
      </c>
      <c r="B37" s="57" t="s">
        <v>142</v>
      </c>
      <c r="C37" s="58">
        <v>42886</v>
      </c>
      <c r="D37" s="57" t="s">
        <v>331</v>
      </c>
      <c r="E37" s="57" t="s">
        <v>280</v>
      </c>
      <c r="F37" s="57" t="s">
        <v>333</v>
      </c>
    </row>
    <row r="38" spans="1:6" ht="15.75" x14ac:dyDescent="0.25">
      <c r="A38" s="8" t="s">
        <v>277</v>
      </c>
      <c r="B38" s="8" t="s">
        <v>142</v>
      </c>
      <c r="C38" s="56">
        <v>42916</v>
      </c>
      <c r="D38" s="8" t="s">
        <v>332</v>
      </c>
      <c r="E38" s="8" t="s">
        <v>306</v>
      </c>
      <c r="F38" s="8" t="s">
        <v>0</v>
      </c>
    </row>
  </sheetData>
  <pageMargins left="0.25" right="0.25" top="0.75" bottom="0.5" header="0.3" footer="0.3"/>
  <pageSetup scale="86" fitToHeight="0" orientation="landscape" r:id="rId1"/>
  <headerFooter>
    <oddHeader>&amp;CArrow Launch Service, Inc.
Legal
Test Period ended 6/30/17</oddHeader>
    <oddFooter>&amp;L&amp;F &amp;A &amp;T&amp;R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15" sqref="D15"/>
    </sheetView>
  </sheetViews>
  <sheetFormatPr defaultRowHeight="15" x14ac:dyDescent="0.25"/>
  <cols>
    <col min="1" max="1" width="18.5703125" bestFit="1" customWidth="1"/>
    <col min="5" max="5" width="10.140625" bestFit="1" customWidth="1"/>
    <col min="7" max="8" width="10.140625" bestFit="1" customWidth="1"/>
    <col min="9" max="10" width="12.85546875" customWidth="1"/>
  </cols>
  <sheetData>
    <row r="1" spans="1:12" ht="15.75" x14ac:dyDescent="0.25">
      <c r="A1" s="67" t="s">
        <v>233</v>
      </c>
      <c r="B1" s="67"/>
      <c r="C1" s="67"/>
      <c r="D1" s="67"/>
      <c r="E1" s="67"/>
      <c r="F1" s="67"/>
      <c r="G1" s="67"/>
      <c r="H1" s="67"/>
    </row>
    <row r="2" spans="1:12" ht="15.75" x14ac:dyDescent="0.25">
      <c r="A2" s="67" t="s">
        <v>368</v>
      </c>
      <c r="B2" s="67"/>
      <c r="C2" s="67"/>
      <c r="D2" s="67"/>
      <c r="E2" s="67"/>
      <c r="F2" s="67"/>
      <c r="G2" s="67"/>
      <c r="H2" s="67"/>
    </row>
    <row r="3" spans="1:12" ht="15.75" x14ac:dyDescent="0.25">
      <c r="A3" s="68">
        <v>42277</v>
      </c>
      <c r="B3" s="67"/>
      <c r="C3" s="67"/>
      <c r="D3" s="67"/>
      <c r="E3" s="67"/>
      <c r="F3" s="67"/>
      <c r="G3" s="67"/>
      <c r="H3" s="67"/>
    </row>
    <row r="4" spans="1:12" ht="15.75" x14ac:dyDescent="0.25">
      <c r="A4" s="69"/>
      <c r="B4" s="69"/>
      <c r="C4" s="69"/>
      <c r="D4" s="69"/>
      <c r="E4" s="69"/>
      <c r="F4" s="69"/>
      <c r="G4" s="69"/>
      <c r="H4" s="69"/>
    </row>
    <row r="5" spans="1:12" ht="15.75" x14ac:dyDescent="0.25">
      <c r="A5" s="69"/>
      <c r="B5" s="69"/>
      <c r="C5" s="69"/>
      <c r="D5" s="69"/>
      <c r="E5" s="69"/>
      <c r="F5" s="69"/>
      <c r="G5" s="207" t="s">
        <v>374</v>
      </c>
      <c r="H5" s="67"/>
      <c r="I5" s="34" t="s">
        <v>226</v>
      </c>
      <c r="J5" s="34" t="s">
        <v>375</v>
      </c>
    </row>
    <row r="6" spans="1:12" ht="15.75" x14ac:dyDescent="0.25">
      <c r="A6" s="71" t="s">
        <v>203</v>
      </c>
      <c r="B6" s="69"/>
      <c r="C6" s="69"/>
      <c r="D6" s="69"/>
      <c r="E6" s="69"/>
      <c r="F6" s="69"/>
      <c r="G6" s="75">
        <v>42277</v>
      </c>
      <c r="H6" s="76">
        <v>42643</v>
      </c>
      <c r="I6" s="34" t="s">
        <v>140</v>
      </c>
      <c r="J6" s="34" t="s">
        <v>376</v>
      </c>
    </row>
    <row r="7" spans="1:12" ht="15.75" x14ac:dyDescent="0.25">
      <c r="A7" s="69" t="s">
        <v>369</v>
      </c>
      <c r="B7" s="69"/>
      <c r="C7" s="69"/>
      <c r="D7" s="69"/>
      <c r="E7" s="70">
        <v>2406.25</v>
      </c>
      <c r="F7" s="70"/>
      <c r="G7" s="70"/>
      <c r="H7" s="70"/>
      <c r="I7" s="77"/>
      <c r="J7" s="77"/>
      <c r="K7" s="77"/>
      <c r="L7" s="77"/>
    </row>
    <row r="8" spans="1:12" ht="15.75" x14ac:dyDescent="0.25">
      <c r="A8" s="69" t="s">
        <v>370</v>
      </c>
      <c r="B8" s="69"/>
      <c r="C8" s="69"/>
      <c r="D8" s="69"/>
      <c r="E8" s="70">
        <v>11262.5</v>
      </c>
      <c r="F8" s="70"/>
      <c r="G8" s="70"/>
      <c r="H8" s="70"/>
      <c r="I8" s="77"/>
      <c r="J8" s="77"/>
      <c r="K8" s="77"/>
      <c r="L8" s="77"/>
    </row>
    <row r="9" spans="1:12" ht="15.75" x14ac:dyDescent="0.25">
      <c r="A9" s="69" t="s">
        <v>341</v>
      </c>
      <c r="B9" s="69"/>
      <c r="C9" s="69"/>
      <c r="D9" s="69"/>
      <c r="E9" s="70">
        <v>3981.25</v>
      </c>
      <c r="F9" s="70"/>
      <c r="G9" s="70"/>
      <c r="H9" s="70"/>
      <c r="I9" s="77"/>
      <c r="J9" s="77"/>
      <c r="K9" s="77"/>
      <c r="L9" s="77"/>
    </row>
    <row r="10" spans="1:12" ht="15.75" x14ac:dyDescent="0.25">
      <c r="A10" s="69" t="s">
        <v>371</v>
      </c>
      <c r="B10" s="69"/>
      <c r="C10" s="69"/>
      <c r="D10" s="69"/>
      <c r="E10" s="72">
        <f>1837.5+4900+5000</f>
        <v>11737.5</v>
      </c>
      <c r="F10" s="70"/>
      <c r="G10" s="70"/>
      <c r="H10" s="70"/>
      <c r="I10" s="77"/>
      <c r="J10" s="77"/>
      <c r="K10" s="77"/>
      <c r="L10" s="77"/>
    </row>
    <row r="11" spans="1:12" ht="15.75" x14ac:dyDescent="0.25">
      <c r="A11" s="69"/>
      <c r="B11" s="69"/>
      <c r="C11" s="69"/>
      <c r="D11" s="69"/>
      <c r="E11" s="70">
        <f>SUM(E7:E10)</f>
        <v>29387.5</v>
      </c>
      <c r="F11" s="70"/>
      <c r="G11" s="70">
        <f>+E11/4</f>
        <v>7346.875</v>
      </c>
      <c r="H11" s="70">
        <f>+E11/4</f>
        <v>7346.875</v>
      </c>
      <c r="I11" s="77">
        <f>SUM(G11:H11)</f>
        <v>14693.75</v>
      </c>
      <c r="J11" s="77">
        <f>+E11-I11</f>
        <v>14693.75</v>
      </c>
      <c r="K11" s="77"/>
      <c r="L11" s="77"/>
    </row>
    <row r="12" spans="1:12" ht="15.75" x14ac:dyDescent="0.25">
      <c r="A12" s="69"/>
      <c r="B12" s="69"/>
      <c r="C12" s="69"/>
      <c r="D12" s="69"/>
      <c r="E12" s="70"/>
      <c r="F12" s="70"/>
      <c r="G12" s="70"/>
      <c r="H12" s="70"/>
      <c r="I12" s="77"/>
      <c r="J12" s="77"/>
      <c r="K12" s="77"/>
      <c r="L12" s="77"/>
    </row>
    <row r="13" spans="1:12" ht="15.75" x14ac:dyDescent="0.25">
      <c r="A13" s="69"/>
      <c r="B13" s="69"/>
      <c r="C13" s="69"/>
      <c r="D13" s="69"/>
      <c r="E13" s="70"/>
      <c r="F13" s="70"/>
      <c r="G13" s="70"/>
      <c r="H13" s="70"/>
      <c r="I13" s="77"/>
      <c r="J13" s="77"/>
      <c r="K13" s="77"/>
      <c r="L13" s="77"/>
    </row>
    <row r="14" spans="1:12" ht="15.75" x14ac:dyDescent="0.25">
      <c r="A14" s="71" t="s">
        <v>372</v>
      </c>
      <c r="B14" s="69"/>
      <c r="C14" s="69"/>
      <c r="D14" s="69"/>
      <c r="E14" s="70"/>
      <c r="F14" s="70"/>
      <c r="G14" s="70"/>
      <c r="H14" s="70"/>
      <c r="I14" s="77"/>
      <c r="J14" s="77"/>
      <c r="K14" s="77"/>
      <c r="L14" s="77"/>
    </row>
    <row r="15" spans="1:12" ht="15.75" x14ac:dyDescent="0.25">
      <c r="A15" s="69" t="s">
        <v>373</v>
      </c>
      <c r="B15" s="69"/>
      <c r="C15" s="69"/>
      <c r="D15" s="69"/>
      <c r="E15" s="70">
        <f>9702.21</f>
        <v>9702.2099999999991</v>
      </c>
      <c r="F15" s="70"/>
      <c r="G15" s="70"/>
      <c r="H15" s="70"/>
      <c r="I15" s="77"/>
      <c r="J15" s="77"/>
      <c r="K15" s="77"/>
      <c r="L15" s="77"/>
    </row>
    <row r="16" spans="1:12" ht="15.75" x14ac:dyDescent="0.25">
      <c r="A16" s="73" t="s">
        <v>371</v>
      </c>
      <c r="B16" s="69"/>
      <c r="C16" s="69"/>
      <c r="D16" s="69"/>
      <c r="E16" s="72">
        <v>7849.78</v>
      </c>
      <c r="F16" s="70"/>
      <c r="G16" s="72"/>
      <c r="H16" s="72"/>
      <c r="I16" s="198"/>
      <c r="J16" s="198"/>
      <c r="K16" s="77"/>
      <c r="L16" s="77"/>
    </row>
    <row r="17" spans="1:12" ht="15.75" x14ac:dyDescent="0.25">
      <c r="A17" s="69"/>
      <c r="B17" s="69"/>
      <c r="C17" s="69"/>
      <c r="D17" s="69"/>
      <c r="E17" s="74">
        <f>SUM(E15:E16)</f>
        <v>17551.989999999998</v>
      </c>
      <c r="F17" s="70"/>
      <c r="G17" s="72">
        <f>+E17/4</f>
        <v>4387.9974999999995</v>
      </c>
      <c r="H17" s="72">
        <f>+E17/4</f>
        <v>4387.9974999999995</v>
      </c>
      <c r="I17" s="198">
        <f>SUM(G17:H17)</f>
        <v>8775.994999999999</v>
      </c>
      <c r="J17" s="198">
        <f>+E17-I17</f>
        <v>8775.994999999999</v>
      </c>
      <c r="K17" s="77"/>
      <c r="L17" s="77"/>
    </row>
    <row r="18" spans="1:12" ht="15.75" x14ac:dyDescent="0.25">
      <c r="A18" s="69"/>
      <c r="B18" s="69"/>
      <c r="C18" s="69"/>
      <c r="D18" s="69"/>
      <c r="E18" s="70"/>
      <c r="F18" s="70"/>
      <c r="G18" s="70"/>
      <c r="H18" s="70"/>
      <c r="I18" s="77"/>
      <c r="J18" s="77"/>
      <c r="K18" s="77"/>
      <c r="L18" s="77"/>
    </row>
    <row r="19" spans="1:12" ht="15.75" x14ac:dyDescent="0.25">
      <c r="A19" s="69"/>
      <c r="B19" s="69"/>
      <c r="C19" s="69"/>
      <c r="D19" s="69"/>
      <c r="E19" s="70">
        <f>+E11+E17</f>
        <v>46939.49</v>
      </c>
      <c r="F19" s="70"/>
      <c r="G19" s="70">
        <f t="shared" ref="G19:J19" si="0">+G11+G17</f>
        <v>11734.872499999999</v>
      </c>
      <c r="H19" s="70">
        <f t="shared" si="0"/>
        <v>11734.872499999999</v>
      </c>
      <c r="I19" s="70">
        <f t="shared" si="0"/>
        <v>23469.744999999999</v>
      </c>
      <c r="J19" s="70">
        <f t="shared" si="0"/>
        <v>23469.744999999999</v>
      </c>
      <c r="K19" s="77"/>
      <c r="L19" s="77"/>
    </row>
    <row r="20" spans="1:12" x14ac:dyDescent="0.25">
      <c r="G20" s="77"/>
      <c r="H20" s="77"/>
      <c r="I20" s="77"/>
      <c r="J20" s="77"/>
      <c r="K20" s="77"/>
      <c r="L20" s="77"/>
    </row>
    <row r="21" spans="1:12" x14ac:dyDescent="0.25">
      <c r="G21" s="77"/>
      <c r="H21" s="77"/>
      <c r="I21" s="77"/>
      <c r="J21" s="77"/>
      <c r="K21" s="77"/>
      <c r="L21" s="77"/>
    </row>
    <row r="22" spans="1:12" x14ac:dyDescent="0.25">
      <c r="G22" s="77"/>
      <c r="H22" s="77"/>
      <c r="I22" s="77"/>
      <c r="J22" s="77"/>
      <c r="K22" s="77"/>
      <c r="L22" s="77"/>
    </row>
  </sheetData>
  <pageMargins left="0.7" right="0.7" top="0.75" bottom="0.75" header="0.3" footer="0.3"/>
  <pageSetup orientation="landscape" r:id="rId1"/>
  <headerFooter>
    <oddFooter>&amp;L&amp;F  &amp;A  &amp;T&amp;RPage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86"/>
  <sheetViews>
    <sheetView topLeftCell="A7" workbookViewId="0">
      <pane ySplit="5" topLeftCell="A255" activePane="bottomLeft" state="frozen"/>
      <selection activeCell="A7" sqref="A7"/>
      <selection pane="bottomLeft" activeCell="I284" sqref="I284"/>
    </sheetView>
  </sheetViews>
  <sheetFormatPr defaultRowHeight="15" x14ac:dyDescent="0.25"/>
  <cols>
    <col min="1" max="1" width="10.42578125" customWidth="1"/>
    <col min="2" max="2" width="42.7109375" customWidth="1"/>
    <col min="3" max="3" width="4.140625" customWidth="1"/>
    <col min="4" max="4" width="7.5703125" customWidth="1"/>
    <col min="5" max="5" width="5.85546875" customWidth="1"/>
    <col min="6" max="6" width="10.42578125" customWidth="1"/>
    <col min="7" max="7" width="8" customWidth="1"/>
    <col min="8" max="8" width="6.5703125" customWidth="1"/>
    <col min="9" max="9" width="13.85546875" customWidth="1"/>
    <col min="10" max="11" width="10.28515625" hidden="1" customWidth="1"/>
    <col min="12" max="12" width="10.28515625" customWidth="1"/>
    <col min="13" max="14" width="11.28515625" customWidth="1"/>
    <col min="15" max="15" width="12.7109375" customWidth="1"/>
    <col min="16" max="16" width="12.5703125" bestFit="1" customWidth="1"/>
    <col min="17" max="17" width="10.28515625" hidden="1" customWidth="1"/>
    <col min="18" max="18" width="13.140625" customWidth="1"/>
    <col min="19" max="19" width="14.7109375" customWidth="1"/>
    <col min="20" max="20" width="16.140625" customWidth="1"/>
    <col min="21" max="25" width="10.28515625" hidden="1" customWidth="1"/>
    <col min="26" max="26" width="15.140625" customWidth="1"/>
    <col min="27" max="29" width="10.28515625" hidden="1" customWidth="1"/>
    <col min="30" max="30" width="15.7109375" customWidth="1"/>
    <col min="31" max="31" width="13.42578125" customWidth="1"/>
    <col min="32" max="35" width="10.5703125" bestFit="1" customWidth="1"/>
    <col min="36" max="36" width="10.42578125" bestFit="1" customWidth="1"/>
  </cols>
  <sheetData>
    <row r="1" spans="1:39" x14ac:dyDescent="0.25">
      <c r="A1" s="82"/>
      <c r="B1" s="83" t="s">
        <v>233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</row>
    <row r="2" spans="1:39" x14ac:dyDescent="0.25">
      <c r="A2" s="82"/>
      <c r="B2" s="83" t="s">
        <v>386</v>
      </c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  <c r="R2" s="85">
        <v>6</v>
      </c>
      <c r="S2" s="85"/>
      <c r="T2" s="86" t="s">
        <v>387</v>
      </c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39" x14ac:dyDescent="0.25">
      <c r="A3" s="82"/>
      <c r="B3" s="87">
        <v>42916</v>
      </c>
      <c r="C3" s="87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/>
      <c r="R3" s="85">
        <v>6</v>
      </c>
      <c r="S3" s="85"/>
      <c r="T3" s="86" t="s">
        <v>388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6" t="s">
        <v>389</v>
      </c>
      <c r="AK3" s="86" t="s">
        <v>390</v>
      </c>
      <c r="AL3" s="85"/>
      <c r="AM3" s="85"/>
    </row>
    <row r="4" spans="1:39" x14ac:dyDescent="0.25">
      <c r="A4" s="82"/>
      <c r="B4" s="85"/>
      <c r="C4" s="85"/>
      <c r="D4" s="88"/>
      <c r="E4" s="88"/>
      <c r="F4" s="85"/>
      <c r="G4" s="88"/>
      <c r="H4" s="85"/>
      <c r="I4" s="85"/>
      <c r="J4" s="85"/>
      <c r="K4" s="85"/>
      <c r="L4" s="85"/>
      <c r="M4" s="85"/>
      <c r="N4" s="85"/>
      <c r="O4" s="85"/>
      <c r="P4" s="85"/>
      <c r="Q4" s="85"/>
      <c r="R4" s="89">
        <v>2016</v>
      </c>
      <c r="S4" s="85"/>
      <c r="T4" s="86" t="s">
        <v>391</v>
      </c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 t="s">
        <v>392</v>
      </c>
      <c r="AK4" s="86" t="s">
        <v>393</v>
      </c>
      <c r="AL4" s="85"/>
      <c r="AM4" s="85"/>
    </row>
    <row r="5" spans="1:39" x14ac:dyDescent="0.25">
      <c r="A5" s="82"/>
      <c r="B5" s="85"/>
      <c r="C5" s="85"/>
      <c r="D5" s="88"/>
      <c r="E5" s="88"/>
      <c r="F5" s="85"/>
      <c r="G5" s="88"/>
      <c r="H5" s="85"/>
      <c r="I5" s="85"/>
      <c r="J5" s="85"/>
      <c r="K5" s="85"/>
      <c r="L5" s="85"/>
      <c r="M5" s="85"/>
      <c r="N5" s="85"/>
      <c r="O5" s="85"/>
      <c r="P5" s="85"/>
      <c r="Q5" s="85"/>
      <c r="R5" s="89">
        <v>2017</v>
      </c>
      <c r="S5" s="85"/>
      <c r="T5" s="86" t="s">
        <v>394</v>
      </c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6" t="s">
        <v>238</v>
      </c>
      <c r="AK5" s="86" t="s">
        <v>395</v>
      </c>
      <c r="AL5" s="85"/>
      <c r="AM5" s="85"/>
    </row>
    <row r="6" spans="1:39" x14ac:dyDescent="0.25">
      <c r="A6" s="82"/>
      <c r="B6" s="85"/>
      <c r="C6" s="85"/>
      <c r="D6" s="88"/>
      <c r="E6" s="88"/>
      <c r="F6" s="85"/>
      <c r="G6" s="88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6" t="s">
        <v>396</v>
      </c>
      <c r="AK6" s="86" t="s">
        <v>397</v>
      </c>
      <c r="AL6" s="85"/>
      <c r="AM6" s="85"/>
    </row>
    <row r="7" spans="1:39" x14ac:dyDescent="0.25">
      <c r="A7" s="82"/>
      <c r="B7" s="85"/>
      <c r="C7" s="85"/>
      <c r="D7" s="88"/>
      <c r="E7" s="88"/>
      <c r="F7" s="85"/>
      <c r="G7" s="88"/>
      <c r="H7" s="85"/>
      <c r="I7" s="85"/>
      <c r="J7" s="85"/>
      <c r="K7" s="85"/>
      <c r="L7" s="85"/>
      <c r="M7" s="90" t="s">
        <v>787</v>
      </c>
      <c r="N7" s="90" t="s">
        <v>790</v>
      </c>
      <c r="O7" s="85"/>
      <c r="P7" s="85"/>
      <c r="Q7" s="85"/>
      <c r="R7" s="85"/>
      <c r="S7" s="85"/>
      <c r="T7" s="85"/>
      <c r="U7" s="85"/>
      <c r="V7" s="85"/>
      <c r="W7" s="85"/>
      <c r="X7" s="88" t="s">
        <v>226</v>
      </c>
      <c r="Y7" s="85"/>
      <c r="Z7" s="90" t="s">
        <v>398</v>
      </c>
      <c r="AA7" s="90" t="s">
        <v>399</v>
      </c>
      <c r="AB7" s="91"/>
      <c r="AC7" s="90" t="s">
        <v>399</v>
      </c>
      <c r="AD7" s="90" t="s">
        <v>400</v>
      </c>
      <c r="AE7" s="85"/>
      <c r="AF7" s="85"/>
      <c r="AG7" s="85"/>
      <c r="AH7" s="85"/>
      <c r="AI7" s="85"/>
      <c r="AJ7" s="86" t="s">
        <v>401</v>
      </c>
      <c r="AK7" s="86" t="s">
        <v>402</v>
      </c>
      <c r="AL7" s="85"/>
      <c r="AM7" s="85"/>
    </row>
    <row r="8" spans="1:39" x14ac:dyDescent="0.25">
      <c r="A8" s="82"/>
      <c r="B8" s="91"/>
      <c r="C8" s="91"/>
      <c r="D8" s="83" t="s">
        <v>403</v>
      </c>
      <c r="E8" s="83"/>
      <c r="F8" s="90" t="s">
        <v>404</v>
      </c>
      <c r="G8" s="90"/>
      <c r="H8" s="91"/>
      <c r="I8" s="90" t="s">
        <v>405</v>
      </c>
      <c r="J8" s="91"/>
      <c r="K8" s="91"/>
      <c r="L8" s="90" t="s">
        <v>787</v>
      </c>
      <c r="M8" s="90" t="s">
        <v>405</v>
      </c>
      <c r="N8" s="90" t="s">
        <v>791</v>
      </c>
      <c r="O8" s="90" t="s">
        <v>407</v>
      </c>
      <c r="P8" s="91"/>
      <c r="Q8" s="91"/>
      <c r="R8" s="91"/>
      <c r="S8" s="91"/>
      <c r="T8" s="91"/>
      <c r="U8" s="90" t="s">
        <v>406</v>
      </c>
      <c r="V8" s="90" t="s">
        <v>226</v>
      </c>
      <c r="W8" s="91"/>
      <c r="X8" s="90" t="s">
        <v>399</v>
      </c>
      <c r="Y8" s="91"/>
      <c r="Z8" s="90" t="s">
        <v>407</v>
      </c>
      <c r="AA8" s="90" t="s">
        <v>407</v>
      </c>
      <c r="AB8" s="90" t="s">
        <v>408</v>
      </c>
      <c r="AC8" s="90" t="s">
        <v>409</v>
      </c>
      <c r="AD8" s="90" t="s">
        <v>407</v>
      </c>
      <c r="AE8" s="91"/>
      <c r="AF8" s="85"/>
      <c r="AG8" s="85"/>
      <c r="AH8" s="85"/>
      <c r="AI8" s="85"/>
      <c r="AJ8" s="85"/>
      <c r="AK8" s="85"/>
      <c r="AL8" s="85"/>
      <c r="AM8" s="85"/>
    </row>
    <row r="9" spans="1:39" x14ac:dyDescent="0.25">
      <c r="A9" s="82"/>
      <c r="B9" s="91"/>
      <c r="C9" s="91"/>
      <c r="D9" s="90"/>
      <c r="E9" s="90"/>
      <c r="F9" s="90" t="s">
        <v>410</v>
      </c>
      <c r="G9" s="90" t="s">
        <v>411</v>
      </c>
      <c r="H9" s="90" t="s">
        <v>412</v>
      </c>
      <c r="I9" s="90" t="s">
        <v>413</v>
      </c>
      <c r="J9" s="90" t="s">
        <v>406</v>
      </c>
      <c r="K9" s="91"/>
      <c r="L9" s="90" t="s">
        <v>147</v>
      </c>
      <c r="M9" s="90" t="s">
        <v>413</v>
      </c>
      <c r="N9" s="90" t="s">
        <v>792</v>
      </c>
      <c r="O9" s="90" t="s">
        <v>147</v>
      </c>
      <c r="P9" s="90" t="s">
        <v>414</v>
      </c>
      <c r="Q9" s="90" t="s">
        <v>414</v>
      </c>
      <c r="R9" s="90" t="s">
        <v>415</v>
      </c>
      <c r="S9" s="90" t="s">
        <v>416</v>
      </c>
      <c r="T9" s="90" t="s">
        <v>417</v>
      </c>
      <c r="U9" s="90" t="s">
        <v>405</v>
      </c>
      <c r="V9" s="90" t="s">
        <v>418</v>
      </c>
      <c r="W9" s="90" t="s">
        <v>419</v>
      </c>
      <c r="X9" s="90" t="s">
        <v>417</v>
      </c>
      <c r="Y9" s="91"/>
      <c r="Z9" s="90" t="s">
        <v>147</v>
      </c>
      <c r="AA9" s="90" t="s">
        <v>147</v>
      </c>
      <c r="AB9" s="90" t="s">
        <v>420</v>
      </c>
      <c r="AC9" s="90" t="s">
        <v>421</v>
      </c>
      <c r="AD9" s="90" t="s">
        <v>147</v>
      </c>
      <c r="AE9" s="90" t="s">
        <v>422</v>
      </c>
      <c r="AF9" s="88"/>
      <c r="AG9" s="88"/>
      <c r="AH9" s="88"/>
      <c r="AI9" s="85"/>
      <c r="AJ9" s="85"/>
      <c r="AK9" s="85"/>
      <c r="AL9" s="85"/>
      <c r="AM9" s="85"/>
    </row>
    <row r="10" spans="1:39" x14ac:dyDescent="0.25">
      <c r="A10" s="92" t="s">
        <v>147</v>
      </c>
      <c r="B10" s="90" t="s">
        <v>423</v>
      </c>
      <c r="C10" s="90"/>
      <c r="D10" s="93" t="s">
        <v>405</v>
      </c>
      <c r="E10" s="93" t="s">
        <v>424</v>
      </c>
      <c r="F10" s="93" t="s">
        <v>419</v>
      </c>
      <c r="G10" s="93"/>
      <c r="H10" s="93"/>
      <c r="I10" s="93" t="s">
        <v>425</v>
      </c>
      <c r="J10" s="93" t="s">
        <v>426</v>
      </c>
      <c r="K10" s="93" t="s">
        <v>427</v>
      </c>
      <c r="L10" s="93" t="s">
        <v>412</v>
      </c>
      <c r="M10" s="93" t="s">
        <v>425</v>
      </c>
      <c r="N10" s="93"/>
      <c r="O10" s="95">
        <v>42551</v>
      </c>
      <c r="P10" s="93" t="s">
        <v>428</v>
      </c>
      <c r="Q10" s="93" t="s">
        <v>406</v>
      </c>
      <c r="R10" s="93" t="s">
        <v>428</v>
      </c>
      <c r="S10" s="93" t="s">
        <v>147</v>
      </c>
      <c r="T10" s="93" t="s">
        <v>147</v>
      </c>
      <c r="U10" s="93" t="s">
        <v>421</v>
      </c>
      <c r="V10" s="93" t="s">
        <v>421</v>
      </c>
      <c r="W10" s="93" t="s">
        <v>420</v>
      </c>
      <c r="X10" s="93" t="s">
        <v>421</v>
      </c>
      <c r="Y10" s="94"/>
      <c r="Z10" s="95">
        <v>42551</v>
      </c>
      <c r="AA10" s="96">
        <v>42916</v>
      </c>
      <c r="AB10" s="93" t="s">
        <v>419</v>
      </c>
      <c r="AC10" s="96">
        <v>42916</v>
      </c>
      <c r="AD10" s="96">
        <v>42916</v>
      </c>
      <c r="AE10" s="93" t="s">
        <v>429</v>
      </c>
      <c r="AF10" s="88"/>
      <c r="AG10" s="88"/>
      <c r="AH10" s="88"/>
      <c r="AI10" s="88" t="s">
        <v>389</v>
      </c>
      <c r="AJ10" s="88" t="s">
        <v>237</v>
      </c>
      <c r="AK10" s="88" t="s">
        <v>430</v>
      </c>
      <c r="AL10" s="88" t="s">
        <v>396</v>
      </c>
      <c r="AM10" s="88" t="s">
        <v>401</v>
      </c>
    </row>
    <row r="11" spans="1:39" x14ac:dyDescent="0.25">
      <c r="A11" s="92" t="s">
        <v>431</v>
      </c>
      <c r="B11" s="97"/>
      <c r="C11" s="97"/>
      <c r="D11" s="98"/>
      <c r="E11" s="88"/>
      <c r="F11" s="85"/>
      <c r="G11" s="88"/>
      <c r="H11" s="85"/>
      <c r="I11" s="89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99"/>
      <c r="AJ11" s="99"/>
      <c r="AK11" s="99"/>
      <c r="AL11" s="99"/>
      <c r="AM11" s="99"/>
    </row>
    <row r="12" spans="1:39" x14ac:dyDescent="0.25">
      <c r="A12" s="100"/>
      <c r="B12" s="100"/>
      <c r="C12" s="100"/>
      <c r="D12" s="101"/>
      <c r="E12" s="102"/>
      <c r="F12" s="103"/>
      <c r="G12" s="104"/>
      <c r="H12" s="105"/>
      <c r="I12" s="106"/>
      <c r="J12" s="105"/>
      <c r="K12" s="105"/>
      <c r="L12" s="105"/>
      <c r="M12" s="105"/>
      <c r="N12" s="105"/>
      <c r="O12" s="105"/>
      <c r="P12" s="107"/>
      <c r="Q12" s="105"/>
      <c r="R12" s="107"/>
      <c r="S12" s="107"/>
      <c r="T12" s="107"/>
      <c r="U12" s="107"/>
      <c r="V12" s="107"/>
      <c r="W12" s="105"/>
      <c r="X12" s="107"/>
      <c r="Y12" s="105"/>
      <c r="Z12" s="107"/>
      <c r="AA12" s="107"/>
      <c r="AB12" s="105"/>
      <c r="AC12" s="107"/>
      <c r="AD12" s="107"/>
      <c r="AE12" s="107"/>
      <c r="AF12" s="107"/>
      <c r="AG12" s="107"/>
      <c r="AH12" s="107"/>
      <c r="AI12" s="108"/>
      <c r="AJ12" s="108"/>
      <c r="AK12" s="108"/>
      <c r="AL12" s="108"/>
      <c r="AM12" s="108"/>
    </row>
    <row r="13" spans="1:39" x14ac:dyDescent="0.25">
      <c r="A13">
        <v>1</v>
      </c>
      <c r="B13" t="s">
        <v>432</v>
      </c>
      <c r="D13" s="34">
        <v>1995</v>
      </c>
      <c r="E13" s="34">
        <v>7</v>
      </c>
      <c r="F13" s="109"/>
      <c r="G13" s="34" t="s">
        <v>433</v>
      </c>
      <c r="H13" s="34">
        <v>7</v>
      </c>
      <c r="I13">
        <f>+D13+H13</f>
        <v>2002</v>
      </c>
      <c r="L13" s="53" t="s">
        <v>788</v>
      </c>
      <c r="M13" s="53" t="s">
        <v>788</v>
      </c>
      <c r="N13" s="53"/>
      <c r="O13" s="53" t="s">
        <v>788</v>
      </c>
      <c r="P13" s="32">
        <v>4863</v>
      </c>
      <c r="Q13" s="32"/>
      <c r="R13" s="32">
        <f>+P13-P13*F13</f>
        <v>4863</v>
      </c>
      <c r="S13" s="107">
        <f t="shared" ref="S13:S21" si="0">R13/H13/12</f>
        <v>57.892857142857139</v>
      </c>
      <c r="T13" s="107">
        <f t="shared" ref="T13:T21" si="1">IF(Q13&gt;0,0,IF((OR((AF13&gt;AG13),(AH13&lt;AI13))),0,IF((AND((AH13&gt;=AI13),(AH13&lt;=AG13))),S13*((AH13-AI13)*12),IF((AND((AI13&lt;=AF13),(AG13&gt;=AF13))),((AG13-AF13)*12)*S13,IF(AH13&gt;AG13,12*S13,0)))))</f>
        <v>0</v>
      </c>
      <c r="U13" s="107">
        <f t="shared" ref="U13:U21" si="2">IF(Q13=0,0,IF((AND((AJ13&gt;=AI13),(AJ13&lt;=AH13))),((AJ13-AI13)*12)*S13,0))</f>
        <v>0</v>
      </c>
      <c r="V13" s="107">
        <f t="shared" ref="V13:V21" si="3">IF(U13&gt;0,U13,T13)</f>
        <v>0</v>
      </c>
      <c r="W13" s="105">
        <v>1</v>
      </c>
      <c r="X13" s="107">
        <f t="shared" ref="X13:X21" si="4">W13*SUM(T13:U13)</f>
        <v>0</v>
      </c>
      <c r="Y13" s="105"/>
      <c r="Z13" s="107">
        <f t="shared" ref="Z13:Z21" si="5">IF(AF13&gt;AG13,0,IF(AH13&lt;AI13,R13,IF((AND((AH13&gt;=AI13),(AH13&lt;=AG13))),(R13-V13),IF((AND((AI13&lt;=AF13),(AG13&gt;=AF13))),0,IF(AH13&gt;AG13,((AI13-AF13)*12)*S13,0)))))</f>
        <v>4863</v>
      </c>
      <c r="AA13" s="107">
        <f t="shared" ref="AA13:AA21" si="6">Z13*W13</f>
        <v>4863</v>
      </c>
      <c r="AB13" s="105">
        <v>1</v>
      </c>
      <c r="AC13" s="107">
        <f t="shared" ref="AC13:AC21" si="7">AA13*AB13</f>
        <v>4863</v>
      </c>
      <c r="AD13" s="107">
        <f t="shared" ref="AD13:AD21" si="8">IF(Q13&gt;0,0,AC13+X13*AB13)*AB13</f>
        <v>4863</v>
      </c>
      <c r="AE13" s="107">
        <f t="shared" ref="AE13:AE21" si="9">IF(Q13&gt;0,(P13-AC13)/2,IF(AF13&gt;=AI13,(((P13*W13)*AB13)-AD13)/2,((((P13*W13)*AB13)-AC13)+(((P13*W13)*AB13)-AD13))/2))</f>
        <v>0</v>
      </c>
      <c r="AF13" s="107">
        <f t="shared" ref="AF13:AF21" si="10">$D13+(($E13-1)/12)</f>
        <v>1995.5</v>
      </c>
      <c r="AG13" s="107">
        <f t="shared" ref="AG13:AG21" si="11">($R$5+1)-($R$2/12)</f>
        <v>2017.5</v>
      </c>
      <c r="AH13" s="107">
        <f t="shared" ref="AH13:AH21" si="12">$I13+(($E13-1)/12)</f>
        <v>2002.5</v>
      </c>
      <c r="AI13" s="108">
        <f t="shared" ref="AI13:AI21" si="13">$R$4+($R$3/12)</f>
        <v>2016.5</v>
      </c>
      <c r="AJ13" s="108">
        <f t="shared" ref="AJ13:AJ21" si="14">$J13+(($K13-1)/12)</f>
        <v>-8.3333333333333329E-2</v>
      </c>
      <c r="AK13" s="108">
        <f t="shared" ref="AK13:AK21" si="15">$I13+(($E13-1)/12)</f>
        <v>2002.5</v>
      </c>
      <c r="AL13" s="108">
        <f t="shared" ref="AL13:AL21" si="16">$R$4+($R$3/12)</f>
        <v>2016.5</v>
      </c>
      <c r="AM13" s="108">
        <f t="shared" ref="AM13:AM21" si="17">$J13+(($K13-1)/12)</f>
        <v>-8.3333333333333329E-2</v>
      </c>
    </row>
    <row r="14" spans="1:39" x14ac:dyDescent="0.25">
      <c r="A14">
        <v>2</v>
      </c>
      <c r="B14" t="s">
        <v>434</v>
      </c>
      <c r="D14" s="34">
        <v>2000</v>
      </c>
      <c r="E14" s="34">
        <v>11</v>
      </c>
      <c r="F14" s="75"/>
      <c r="G14" s="34" t="s">
        <v>433</v>
      </c>
      <c r="H14" s="34">
        <v>7</v>
      </c>
      <c r="I14">
        <f t="shared" ref="I14:I21" si="18">+D14+H14</f>
        <v>2007</v>
      </c>
      <c r="L14" s="53" t="s">
        <v>788</v>
      </c>
      <c r="M14" s="53" t="s">
        <v>788</v>
      </c>
      <c r="N14" s="53"/>
      <c r="O14" s="53" t="s">
        <v>788</v>
      </c>
      <c r="P14" s="32">
        <v>3883</v>
      </c>
      <c r="Q14" s="32"/>
      <c r="R14" s="32">
        <f t="shared" ref="R14:R21" si="19">+P14-P14*F14</f>
        <v>3883</v>
      </c>
      <c r="S14" s="107">
        <f t="shared" si="0"/>
        <v>46.226190476190474</v>
      </c>
      <c r="T14" s="107">
        <f t="shared" si="1"/>
        <v>0</v>
      </c>
      <c r="U14" s="107">
        <f t="shared" si="2"/>
        <v>0</v>
      </c>
      <c r="V14" s="107">
        <f t="shared" si="3"/>
        <v>0</v>
      </c>
      <c r="W14" s="105">
        <v>1</v>
      </c>
      <c r="X14" s="107">
        <f t="shared" si="4"/>
        <v>0</v>
      </c>
      <c r="Y14" s="105"/>
      <c r="Z14" s="107">
        <f t="shared" si="5"/>
        <v>3883</v>
      </c>
      <c r="AA14" s="107">
        <f t="shared" si="6"/>
        <v>3883</v>
      </c>
      <c r="AB14" s="105">
        <v>1</v>
      </c>
      <c r="AC14" s="107">
        <f t="shared" si="7"/>
        <v>3883</v>
      </c>
      <c r="AD14" s="107">
        <f t="shared" si="8"/>
        <v>3883</v>
      </c>
      <c r="AE14" s="107">
        <f t="shared" si="9"/>
        <v>0</v>
      </c>
      <c r="AF14" s="107">
        <f t="shared" si="10"/>
        <v>2000.8333333333333</v>
      </c>
      <c r="AG14" s="107">
        <f t="shared" si="11"/>
        <v>2017.5</v>
      </c>
      <c r="AH14" s="107">
        <f t="shared" si="12"/>
        <v>2007.8333333333333</v>
      </c>
      <c r="AI14" s="108">
        <f t="shared" si="13"/>
        <v>2016.5</v>
      </c>
      <c r="AJ14" s="108">
        <f t="shared" si="14"/>
        <v>-8.3333333333333329E-2</v>
      </c>
      <c r="AK14" s="108">
        <f t="shared" si="15"/>
        <v>2007.8333333333333</v>
      </c>
      <c r="AL14" s="108">
        <f t="shared" si="16"/>
        <v>2016.5</v>
      </c>
      <c r="AM14" s="108">
        <f t="shared" si="17"/>
        <v>-8.3333333333333329E-2</v>
      </c>
    </row>
    <row r="15" spans="1:39" x14ac:dyDescent="0.25">
      <c r="A15">
        <v>3</v>
      </c>
      <c r="B15" t="s">
        <v>435</v>
      </c>
      <c r="D15" s="34">
        <v>2001</v>
      </c>
      <c r="E15" s="34">
        <v>2</v>
      </c>
      <c r="F15" s="75"/>
      <c r="G15" s="34" t="s">
        <v>433</v>
      </c>
      <c r="H15" s="34">
        <v>7</v>
      </c>
      <c r="I15">
        <f t="shared" si="18"/>
        <v>2008</v>
      </c>
      <c r="L15" s="53" t="s">
        <v>788</v>
      </c>
      <c r="M15" s="53" t="s">
        <v>788</v>
      </c>
      <c r="N15" s="53"/>
      <c r="O15" s="53" t="s">
        <v>788</v>
      </c>
      <c r="P15" s="32">
        <v>3122</v>
      </c>
      <c r="Q15" s="32"/>
      <c r="R15" s="32">
        <f t="shared" si="19"/>
        <v>3122</v>
      </c>
      <c r="S15" s="107">
        <f t="shared" si="0"/>
        <v>37.166666666666664</v>
      </c>
      <c r="T15" s="107">
        <f t="shared" si="1"/>
        <v>0</v>
      </c>
      <c r="U15" s="107">
        <f t="shared" si="2"/>
        <v>0</v>
      </c>
      <c r="V15" s="107">
        <f t="shared" si="3"/>
        <v>0</v>
      </c>
      <c r="W15" s="105">
        <v>1</v>
      </c>
      <c r="X15" s="107">
        <f t="shared" si="4"/>
        <v>0</v>
      </c>
      <c r="Y15" s="105"/>
      <c r="Z15" s="107">
        <f t="shared" si="5"/>
        <v>3122</v>
      </c>
      <c r="AA15" s="107">
        <f t="shared" si="6"/>
        <v>3122</v>
      </c>
      <c r="AB15" s="105">
        <v>1</v>
      </c>
      <c r="AC15" s="107">
        <f t="shared" si="7"/>
        <v>3122</v>
      </c>
      <c r="AD15" s="107">
        <f t="shared" si="8"/>
        <v>3122</v>
      </c>
      <c r="AE15" s="107">
        <f t="shared" si="9"/>
        <v>0</v>
      </c>
      <c r="AF15" s="107">
        <f t="shared" si="10"/>
        <v>2001.0833333333333</v>
      </c>
      <c r="AG15" s="107">
        <f t="shared" si="11"/>
        <v>2017.5</v>
      </c>
      <c r="AH15" s="107">
        <f t="shared" si="12"/>
        <v>2008.0833333333333</v>
      </c>
      <c r="AI15" s="108">
        <f t="shared" si="13"/>
        <v>2016.5</v>
      </c>
      <c r="AJ15" s="108">
        <f t="shared" si="14"/>
        <v>-8.3333333333333329E-2</v>
      </c>
      <c r="AK15" s="108">
        <f t="shared" si="15"/>
        <v>2008.0833333333333</v>
      </c>
      <c r="AL15" s="108">
        <f t="shared" si="16"/>
        <v>2016.5</v>
      </c>
      <c r="AM15" s="108">
        <f t="shared" si="17"/>
        <v>-8.3333333333333329E-2</v>
      </c>
    </row>
    <row r="16" spans="1:39" x14ac:dyDescent="0.25">
      <c r="A16">
        <v>4</v>
      </c>
      <c r="B16" t="s">
        <v>436</v>
      </c>
      <c r="D16" s="34">
        <v>2002</v>
      </c>
      <c r="E16" s="34">
        <v>3</v>
      </c>
      <c r="F16" s="75"/>
      <c r="G16" s="34" t="s">
        <v>433</v>
      </c>
      <c r="H16" s="34">
        <v>5</v>
      </c>
      <c r="I16">
        <f t="shared" si="18"/>
        <v>2007</v>
      </c>
      <c r="L16" s="53" t="s">
        <v>788</v>
      </c>
      <c r="M16" s="53" t="s">
        <v>788</v>
      </c>
      <c r="N16" s="53"/>
      <c r="O16" s="53" t="s">
        <v>788</v>
      </c>
      <c r="P16" s="32">
        <v>1188</v>
      </c>
      <c r="Q16" s="32"/>
      <c r="R16" s="32">
        <f t="shared" si="19"/>
        <v>1188</v>
      </c>
      <c r="S16" s="107">
        <f t="shared" si="0"/>
        <v>19.8</v>
      </c>
      <c r="T16" s="107">
        <f t="shared" si="1"/>
        <v>0</v>
      </c>
      <c r="U16" s="107">
        <f t="shared" si="2"/>
        <v>0</v>
      </c>
      <c r="V16" s="107">
        <f t="shared" si="3"/>
        <v>0</v>
      </c>
      <c r="W16" s="105">
        <v>1</v>
      </c>
      <c r="X16" s="107">
        <f t="shared" si="4"/>
        <v>0</v>
      </c>
      <c r="Y16" s="105"/>
      <c r="Z16" s="107">
        <f t="shared" si="5"/>
        <v>1188</v>
      </c>
      <c r="AA16" s="107">
        <f t="shared" si="6"/>
        <v>1188</v>
      </c>
      <c r="AB16" s="105">
        <v>1</v>
      </c>
      <c r="AC16" s="107">
        <f t="shared" si="7"/>
        <v>1188</v>
      </c>
      <c r="AD16" s="107">
        <f t="shared" si="8"/>
        <v>1188</v>
      </c>
      <c r="AE16" s="107">
        <f t="shared" si="9"/>
        <v>0</v>
      </c>
      <c r="AF16" s="107">
        <f t="shared" si="10"/>
        <v>2002.1666666666667</v>
      </c>
      <c r="AG16" s="107">
        <f t="shared" si="11"/>
        <v>2017.5</v>
      </c>
      <c r="AH16" s="107">
        <f t="shared" si="12"/>
        <v>2007.1666666666667</v>
      </c>
      <c r="AI16" s="108">
        <f t="shared" si="13"/>
        <v>2016.5</v>
      </c>
      <c r="AJ16" s="108">
        <f t="shared" si="14"/>
        <v>-8.3333333333333329E-2</v>
      </c>
      <c r="AK16" s="108">
        <f t="shared" si="15"/>
        <v>2007.1666666666667</v>
      </c>
      <c r="AL16" s="108">
        <f t="shared" si="16"/>
        <v>2016.5</v>
      </c>
      <c r="AM16" s="108">
        <f t="shared" si="17"/>
        <v>-8.3333333333333329E-2</v>
      </c>
    </row>
    <row r="17" spans="1:39" x14ac:dyDescent="0.25">
      <c r="A17">
        <v>5</v>
      </c>
      <c r="B17" t="s">
        <v>432</v>
      </c>
      <c r="D17" s="34">
        <v>2004</v>
      </c>
      <c r="E17" s="34">
        <v>6</v>
      </c>
      <c r="F17" s="75"/>
      <c r="G17" s="34" t="s">
        <v>433</v>
      </c>
      <c r="H17" s="34">
        <v>7</v>
      </c>
      <c r="I17">
        <f t="shared" si="18"/>
        <v>2011</v>
      </c>
      <c r="L17" s="53" t="s">
        <v>788</v>
      </c>
      <c r="M17" s="53" t="s">
        <v>788</v>
      </c>
      <c r="N17" s="53"/>
      <c r="O17" s="53" t="s">
        <v>788</v>
      </c>
      <c r="P17" s="32">
        <v>2651</v>
      </c>
      <c r="Q17" s="32"/>
      <c r="R17" s="32">
        <f t="shared" si="19"/>
        <v>2651</v>
      </c>
      <c r="S17" s="107">
        <f t="shared" si="0"/>
        <v>31.55952380952381</v>
      </c>
      <c r="T17" s="107">
        <f t="shared" si="1"/>
        <v>0</v>
      </c>
      <c r="U17" s="107">
        <f t="shared" si="2"/>
        <v>0</v>
      </c>
      <c r="V17" s="107">
        <f t="shared" si="3"/>
        <v>0</v>
      </c>
      <c r="W17" s="105">
        <v>1</v>
      </c>
      <c r="X17" s="107">
        <f t="shared" si="4"/>
        <v>0</v>
      </c>
      <c r="Y17" s="105"/>
      <c r="Z17" s="107">
        <f t="shared" si="5"/>
        <v>2651</v>
      </c>
      <c r="AA17" s="107">
        <f t="shared" si="6"/>
        <v>2651</v>
      </c>
      <c r="AB17" s="105">
        <v>1</v>
      </c>
      <c r="AC17" s="107">
        <f t="shared" si="7"/>
        <v>2651</v>
      </c>
      <c r="AD17" s="107">
        <f t="shared" si="8"/>
        <v>2651</v>
      </c>
      <c r="AE17" s="107">
        <f t="shared" si="9"/>
        <v>0</v>
      </c>
      <c r="AF17" s="107">
        <f t="shared" si="10"/>
        <v>2004.4166666666667</v>
      </c>
      <c r="AG17" s="107">
        <f t="shared" si="11"/>
        <v>2017.5</v>
      </c>
      <c r="AH17" s="107">
        <f t="shared" si="12"/>
        <v>2011.4166666666667</v>
      </c>
      <c r="AI17" s="108">
        <f t="shared" si="13"/>
        <v>2016.5</v>
      </c>
      <c r="AJ17" s="108">
        <f t="shared" si="14"/>
        <v>-8.3333333333333329E-2</v>
      </c>
      <c r="AK17" s="108">
        <f t="shared" si="15"/>
        <v>2011.4166666666667</v>
      </c>
      <c r="AL17" s="108">
        <f t="shared" si="16"/>
        <v>2016.5</v>
      </c>
      <c r="AM17" s="108">
        <f t="shared" si="17"/>
        <v>-8.3333333333333329E-2</v>
      </c>
    </row>
    <row r="18" spans="1:39" x14ac:dyDescent="0.25">
      <c r="A18">
        <v>6</v>
      </c>
      <c r="B18" t="s">
        <v>437</v>
      </c>
      <c r="D18" s="34">
        <v>2007</v>
      </c>
      <c r="E18" s="34">
        <v>3</v>
      </c>
      <c r="F18" s="75"/>
      <c r="G18" s="34" t="s">
        <v>433</v>
      </c>
      <c r="H18" s="34">
        <v>7</v>
      </c>
      <c r="I18">
        <f t="shared" si="18"/>
        <v>2014</v>
      </c>
      <c r="L18" s="53" t="s">
        <v>788</v>
      </c>
      <c r="M18" s="53" t="s">
        <v>788</v>
      </c>
      <c r="N18" s="53"/>
      <c r="O18" s="53" t="s">
        <v>788</v>
      </c>
      <c r="P18" s="32">
        <v>24165</v>
      </c>
      <c r="Q18" s="32"/>
      <c r="R18" s="32">
        <f t="shared" si="19"/>
        <v>24165</v>
      </c>
      <c r="S18" s="107">
        <f t="shared" si="0"/>
        <v>287.67857142857144</v>
      </c>
      <c r="T18" s="107">
        <f t="shared" si="1"/>
        <v>0</v>
      </c>
      <c r="U18" s="107">
        <f t="shared" si="2"/>
        <v>0</v>
      </c>
      <c r="V18" s="107">
        <f t="shared" si="3"/>
        <v>0</v>
      </c>
      <c r="W18" s="105">
        <v>1</v>
      </c>
      <c r="X18" s="107">
        <f t="shared" si="4"/>
        <v>0</v>
      </c>
      <c r="Y18" s="105"/>
      <c r="Z18" s="107">
        <f t="shared" si="5"/>
        <v>24165</v>
      </c>
      <c r="AA18" s="107">
        <f t="shared" si="6"/>
        <v>24165</v>
      </c>
      <c r="AB18" s="105">
        <v>1</v>
      </c>
      <c r="AC18" s="107">
        <f t="shared" si="7"/>
        <v>24165</v>
      </c>
      <c r="AD18" s="107">
        <f t="shared" si="8"/>
        <v>24165</v>
      </c>
      <c r="AE18" s="107">
        <f t="shared" si="9"/>
        <v>0</v>
      </c>
      <c r="AF18" s="107">
        <f t="shared" si="10"/>
        <v>2007.1666666666667</v>
      </c>
      <c r="AG18" s="107">
        <f t="shared" si="11"/>
        <v>2017.5</v>
      </c>
      <c r="AH18" s="107">
        <f t="shared" si="12"/>
        <v>2014.1666666666667</v>
      </c>
      <c r="AI18" s="108">
        <f t="shared" si="13"/>
        <v>2016.5</v>
      </c>
      <c r="AJ18" s="108">
        <f t="shared" si="14"/>
        <v>-8.3333333333333329E-2</v>
      </c>
      <c r="AK18" s="108">
        <f t="shared" si="15"/>
        <v>2014.1666666666667</v>
      </c>
      <c r="AL18" s="108">
        <f t="shared" si="16"/>
        <v>2016.5</v>
      </c>
      <c r="AM18" s="108">
        <f t="shared" si="17"/>
        <v>-8.3333333333333329E-2</v>
      </c>
    </row>
    <row r="19" spans="1:39" x14ac:dyDescent="0.25">
      <c r="A19">
        <v>7</v>
      </c>
      <c r="B19" t="s">
        <v>437</v>
      </c>
      <c r="D19" s="34">
        <v>2006</v>
      </c>
      <c r="E19" s="34">
        <v>6</v>
      </c>
      <c r="F19" s="75"/>
      <c r="G19" s="34" t="s">
        <v>433</v>
      </c>
      <c r="H19" s="34">
        <v>3</v>
      </c>
      <c r="I19">
        <f t="shared" si="18"/>
        <v>2009</v>
      </c>
      <c r="L19" s="53" t="s">
        <v>788</v>
      </c>
      <c r="M19" s="53" t="s">
        <v>788</v>
      </c>
      <c r="N19" s="53"/>
      <c r="O19" s="53" t="s">
        <v>788</v>
      </c>
      <c r="P19" s="32">
        <v>46600</v>
      </c>
      <c r="Q19" s="32"/>
      <c r="R19" s="32">
        <f t="shared" si="19"/>
        <v>46600</v>
      </c>
      <c r="S19" s="107">
        <f t="shared" si="0"/>
        <v>1294.4444444444446</v>
      </c>
      <c r="T19" s="107">
        <f t="shared" si="1"/>
        <v>0</v>
      </c>
      <c r="U19" s="107">
        <f t="shared" si="2"/>
        <v>0</v>
      </c>
      <c r="V19" s="107">
        <f t="shared" si="3"/>
        <v>0</v>
      </c>
      <c r="W19" s="105">
        <v>1</v>
      </c>
      <c r="X19" s="107">
        <f t="shared" si="4"/>
        <v>0</v>
      </c>
      <c r="Y19" s="105"/>
      <c r="Z19" s="107">
        <f t="shared" si="5"/>
        <v>46600</v>
      </c>
      <c r="AA19" s="107">
        <f t="shared" si="6"/>
        <v>46600</v>
      </c>
      <c r="AB19" s="105">
        <v>1</v>
      </c>
      <c r="AC19" s="107">
        <f t="shared" si="7"/>
        <v>46600</v>
      </c>
      <c r="AD19" s="107">
        <f t="shared" si="8"/>
        <v>46600</v>
      </c>
      <c r="AE19" s="107">
        <f t="shared" si="9"/>
        <v>0</v>
      </c>
      <c r="AF19" s="107">
        <f t="shared" si="10"/>
        <v>2006.4166666666667</v>
      </c>
      <c r="AG19" s="107">
        <f t="shared" si="11"/>
        <v>2017.5</v>
      </c>
      <c r="AH19" s="107">
        <f t="shared" si="12"/>
        <v>2009.4166666666667</v>
      </c>
      <c r="AI19" s="108">
        <f t="shared" si="13"/>
        <v>2016.5</v>
      </c>
      <c r="AJ19" s="108">
        <f t="shared" si="14"/>
        <v>-8.3333333333333329E-2</v>
      </c>
      <c r="AK19" s="108">
        <f t="shared" si="15"/>
        <v>2009.4166666666667</v>
      </c>
      <c r="AL19" s="108">
        <f t="shared" si="16"/>
        <v>2016.5</v>
      </c>
      <c r="AM19" s="108">
        <f t="shared" si="17"/>
        <v>-8.3333333333333329E-2</v>
      </c>
    </row>
    <row r="20" spans="1:39" x14ac:dyDescent="0.25">
      <c r="A20">
        <v>8</v>
      </c>
      <c r="B20" t="s">
        <v>438</v>
      </c>
      <c r="D20" s="34">
        <v>2007</v>
      </c>
      <c r="E20" s="34">
        <v>6</v>
      </c>
      <c r="F20" s="75"/>
      <c r="G20" s="34" t="s">
        <v>433</v>
      </c>
      <c r="H20" s="34">
        <v>5</v>
      </c>
      <c r="I20">
        <f t="shared" si="18"/>
        <v>2012</v>
      </c>
      <c r="L20" s="53" t="s">
        <v>788</v>
      </c>
      <c r="M20" s="53" t="s">
        <v>788</v>
      </c>
      <c r="N20" s="53"/>
      <c r="O20" s="53" t="s">
        <v>788</v>
      </c>
      <c r="P20" s="32">
        <v>2900</v>
      </c>
      <c r="Q20" s="32"/>
      <c r="R20" s="32">
        <f t="shared" si="19"/>
        <v>2900</v>
      </c>
      <c r="S20" s="107">
        <f t="shared" si="0"/>
        <v>48.333333333333336</v>
      </c>
      <c r="T20" s="107">
        <f t="shared" si="1"/>
        <v>0</v>
      </c>
      <c r="U20" s="107">
        <f t="shared" si="2"/>
        <v>0</v>
      </c>
      <c r="V20" s="107">
        <f t="shared" si="3"/>
        <v>0</v>
      </c>
      <c r="W20" s="105">
        <v>1</v>
      </c>
      <c r="X20" s="107">
        <f t="shared" si="4"/>
        <v>0</v>
      </c>
      <c r="Y20" s="105"/>
      <c r="Z20" s="107">
        <f t="shared" si="5"/>
        <v>2900</v>
      </c>
      <c r="AA20" s="107">
        <f t="shared" si="6"/>
        <v>2900</v>
      </c>
      <c r="AB20" s="105">
        <v>1</v>
      </c>
      <c r="AC20" s="107">
        <f t="shared" si="7"/>
        <v>2900</v>
      </c>
      <c r="AD20" s="107">
        <f t="shared" si="8"/>
        <v>2900</v>
      </c>
      <c r="AE20" s="107">
        <f t="shared" si="9"/>
        <v>0</v>
      </c>
      <c r="AF20" s="107">
        <f t="shared" si="10"/>
        <v>2007.4166666666667</v>
      </c>
      <c r="AG20" s="107">
        <f t="shared" si="11"/>
        <v>2017.5</v>
      </c>
      <c r="AH20" s="107">
        <f t="shared" si="12"/>
        <v>2012.4166666666667</v>
      </c>
      <c r="AI20" s="108">
        <f t="shared" si="13"/>
        <v>2016.5</v>
      </c>
      <c r="AJ20" s="108">
        <f t="shared" si="14"/>
        <v>-8.3333333333333329E-2</v>
      </c>
      <c r="AK20" s="108">
        <f t="shared" si="15"/>
        <v>2012.4166666666667</v>
      </c>
      <c r="AL20" s="108">
        <f t="shared" si="16"/>
        <v>2016.5</v>
      </c>
      <c r="AM20" s="108">
        <f t="shared" si="17"/>
        <v>-8.3333333333333329E-2</v>
      </c>
    </row>
    <row r="21" spans="1:39" x14ac:dyDescent="0.25">
      <c r="A21">
        <v>9</v>
      </c>
      <c r="B21" t="s">
        <v>439</v>
      </c>
      <c r="D21" s="34">
        <v>2007</v>
      </c>
      <c r="E21" s="34">
        <v>6</v>
      </c>
      <c r="F21" s="75"/>
      <c r="G21" s="34" t="s">
        <v>433</v>
      </c>
      <c r="H21" s="34">
        <v>5</v>
      </c>
      <c r="I21">
        <f t="shared" si="18"/>
        <v>2012</v>
      </c>
      <c r="L21" s="53" t="s">
        <v>788</v>
      </c>
      <c r="M21" s="53" t="s">
        <v>788</v>
      </c>
      <c r="N21" s="53"/>
      <c r="O21" s="53" t="s">
        <v>788</v>
      </c>
      <c r="P21" s="32">
        <v>3000</v>
      </c>
      <c r="Q21" s="32"/>
      <c r="R21" s="32">
        <f t="shared" si="19"/>
        <v>3000</v>
      </c>
      <c r="S21" s="107">
        <f t="shared" si="0"/>
        <v>50</v>
      </c>
      <c r="T21" s="107">
        <f t="shared" si="1"/>
        <v>0</v>
      </c>
      <c r="U21" s="107">
        <f t="shared" si="2"/>
        <v>0</v>
      </c>
      <c r="V21" s="107">
        <f t="shared" si="3"/>
        <v>0</v>
      </c>
      <c r="W21" s="105">
        <v>1</v>
      </c>
      <c r="X21" s="107">
        <f t="shared" si="4"/>
        <v>0</v>
      </c>
      <c r="Y21" s="105"/>
      <c r="Z21" s="107">
        <f t="shared" si="5"/>
        <v>3000</v>
      </c>
      <c r="AA21" s="107">
        <f t="shared" si="6"/>
        <v>3000</v>
      </c>
      <c r="AB21" s="105">
        <v>1</v>
      </c>
      <c r="AC21" s="107">
        <f t="shared" si="7"/>
        <v>3000</v>
      </c>
      <c r="AD21" s="107">
        <f t="shared" si="8"/>
        <v>3000</v>
      </c>
      <c r="AE21" s="107">
        <f t="shared" si="9"/>
        <v>0</v>
      </c>
      <c r="AF21" s="107">
        <f t="shared" si="10"/>
        <v>2007.4166666666667</v>
      </c>
      <c r="AG21" s="107">
        <f t="shared" si="11"/>
        <v>2017.5</v>
      </c>
      <c r="AH21" s="107">
        <f t="shared" si="12"/>
        <v>2012.4166666666667</v>
      </c>
      <c r="AI21" s="108">
        <f t="shared" si="13"/>
        <v>2016.5</v>
      </c>
      <c r="AJ21" s="108">
        <f t="shared" si="14"/>
        <v>-8.3333333333333329E-2</v>
      </c>
      <c r="AK21" s="108">
        <f t="shared" si="15"/>
        <v>2012.4166666666667</v>
      </c>
      <c r="AL21" s="108">
        <f t="shared" si="16"/>
        <v>2016.5</v>
      </c>
      <c r="AM21" s="108">
        <f t="shared" si="17"/>
        <v>-8.3333333333333329E-2</v>
      </c>
    </row>
    <row r="22" spans="1:39" x14ac:dyDescent="0.25">
      <c r="A22">
        <v>100</v>
      </c>
      <c r="B22" t="s">
        <v>440</v>
      </c>
      <c r="D22" s="34">
        <v>2009</v>
      </c>
      <c r="E22" s="34">
        <v>8</v>
      </c>
      <c r="F22" s="75"/>
      <c r="G22" s="34" t="s">
        <v>433</v>
      </c>
      <c r="H22" s="34">
        <v>3</v>
      </c>
      <c r="I22">
        <f>+D22+H22</f>
        <v>2012</v>
      </c>
      <c r="L22" s="53" t="s">
        <v>788</v>
      </c>
      <c r="M22" s="53" t="s">
        <v>788</v>
      </c>
      <c r="N22" s="53"/>
      <c r="O22" s="53" t="s">
        <v>788</v>
      </c>
      <c r="P22" s="32">
        <v>2363</v>
      </c>
      <c r="Q22" s="32"/>
      <c r="R22" s="32">
        <f>+P22-P22*F22</f>
        <v>2363</v>
      </c>
      <c r="S22" s="107">
        <f>R22/H22/12</f>
        <v>65.638888888888886</v>
      </c>
      <c r="T22" s="107">
        <f>IF(Q22&gt;0,0,IF((OR((AF22&gt;AG22),(AH22&lt;AI22))),0,IF((AND((AH22&gt;=AI22),(AH22&lt;=AG22))),S22*((AH22-AI22)*12),IF((AND((AI22&lt;=AF22),(AG22&gt;=AF22))),((AG22-AF22)*12)*S22,IF(AH22&gt;AG22,12*S22,0)))))</f>
        <v>0</v>
      </c>
      <c r="U22" s="107">
        <f>IF(Q22=0,0,IF((AND((AJ22&gt;=AI22),(AJ22&lt;=AH22))),((AJ22-AI22)*12)*S22,0))</f>
        <v>0</v>
      </c>
      <c r="V22" s="107">
        <f>IF(U22&gt;0,U22,T22)</f>
        <v>0</v>
      </c>
      <c r="W22" s="105">
        <v>1</v>
      </c>
      <c r="X22" s="107">
        <f>W22*SUM(T22:U22)</f>
        <v>0</v>
      </c>
      <c r="Y22" s="105"/>
      <c r="Z22" s="107">
        <f>IF(AF22&gt;AG22,0,IF(AH22&lt;AI22,R22,IF((AND((AH22&gt;=AI22),(AH22&lt;=AG22))),(R22-V22),IF((AND((AI22&lt;=AF22),(AG22&gt;=AF22))),0,IF(AH22&gt;AG22,((AI22-AF22)*12)*S22,0)))))</f>
        <v>2363</v>
      </c>
      <c r="AA22" s="107">
        <f>Z22*W22</f>
        <v>2363</v>
      </c>
      <c r="AB22" s="105">
        <v>1</v>
      </c>
      <c r="AC22" s="107">
        <f>AA22*AB22</f>
        <v>2363</v>
      </c>
      <c r="AD22" s="107">
        <f>IF(Q22&gt;0,0,AC22+X22*AB22)*AB22</f>
        <v>2363</v>
      </c>
      <c r="AE22" s="107">
        <f>IF(Q22&gt;0,(P22-AC22)/2,IF(AF22&gt;=AI22,(((P22*W22)*AB22)-AD22)/2,((((P22*W22)*AB22)-AC22)+(((P22*W22)*AB22)-AD22))/2))</f>
        <v>0</v>
      </c>
      <c r="AF22" s="107">
        <f>$D22+(($E22-1)/12)</f>
        <v>2009.5833333333333</v>
      </c>
      <c r="AG22" s="107">
        <f>($R$5+1)-($R$2/12)</f>
        <v>2017.5</v>
      </c>
      <c r="AH22" s="107">
        <f>$I22+(($E22-1)/12)</f>
        <v>2012.5833333333333</v>
      </c>
      <c r="AI22" s="108">
        <f>$R$4+($R$3/12)</f>
        <v>2016.5</v>
      </c>
      <c r="AJ22" s="108">
        <f>$J22+(($K22-1)/12)</f>
        <v>-8.3333333333333329E-2</v>
      </c>
      <c r="AK22" s="108">
        <f>$I22+(($E22-1)/12)</f>
        <v>2012.5833333333333</v>
      </c>
      <c r="AL22" s="108">
        <f>$R$4+($R$3/12)</f>
        <v>2016.5</v>
      </c>
      <c r="AM22" s="108">
        <f>$J22+(($K22-1)/12)</f>
        <v>-8.3333333333333329E-2</v>
      </c>
    </row>
    <row r="23" spans="1:39" x14ac:dyDescent="0.25">
      <c r="A23">
        <v>101</v>
      </c>
      <c r="B23" t="s">
        <v>441</v>
      </c>
      <c r="D23" s="34">
        <v>2009</v>
      </c>
      <c r="E23" s="34">
        <v>11</v>
      </c>
      <c r="F23" s="75"/>
      <c r="G23" s="34" t="s">
        <v>433</v>
      </c>
      <c r="H23" s="34">
        <v>3</v>
      </c>
      <c r="I23">
        <f>+D23+H23</f>
        <v>2012</v>
      </c>
      <c r="L23" s="53" t="s">
        <v>788</v>
      </c>
      <c r="M23" s="53" t="s">
        <v>788</v>
      </c>
      <c r="N23" s="53"/>
      <c r="O23" s="53" t="s">
        <v>788</v>
      </c>
      <c r="P23" s="32">
        <v>1422</v>
      </c>
      <c r="Q23" s="32"/>
      <c r="R23" s="32">
        <f>+P23-P23*F23</f>
        <v>1422</v>
      </c>
      <c r="S23" s="107">
        <f>R23/H23/12</f>
        <v>39.5</v>
      </c>
      <c r="T23" s="107">
        <f>IF(Q23&gt;0,0,IF((OR((AF23&gt;AG23),(AH23&lt;AI23))),0,IF((AND((AH23&gt;=AI23),(AH23&lt;=AG23))),S23*((AH23-AI23)*12),IF((AND((AI23&lt;=AF23),(AG23&gt;=AF23))),((AG23-AF23)*12)*S23,IF(AH23&gt;AG23,12*S23,0)))))</f>
        <v>0</v>
      </c>
      <c r="U23" s="107">
        <f>IF(Q23=0,0,IF((AND((AJ23&gt;=AI23),(AJ23&lt;=AH23))),((AJ23-AI23)*12)*S23,0))</f>
        <v>0</v>
      </c>
      <c r="V23" s="107">
        <f>IF(U23&gt;0,U23,T23)</f>
        <v>0</v>
      </c>
      <c r="W23" s="105">
        <v>1</v>
      </c>
      <c r="X23" s="107">
        <f>W23*SUM(T23:U23)</f>
        <v>0</v>
      </c>
      <c r="Y23" s="105"/>
      <c r="Z23" s="107">
        <f>IF(AF23&gt;AG23,0,IF(AH23&lt;AI23,R23,IF((AND((AH23&gt;=AI23),(AH23&lt;=AG23))),(R23-V23),IF((AND((AI23&lt;=AF23),(AG23&gt;=AF23))),0,IF(AH23&gt;AG23,((AI23-AF23)*12)*S23,0)))))</f>
        <v>1422</v>
      </c>
      <c r="AA23" s="107">
        <f>Z23*W23</f>
        <v>1422</v>
      </c>
      <c r="AB23" s="105">
        <v>1</v>
      </c>
      <c r="AC23" s="107">
        <f>AA23*AB23</f>
        <v>1422</v>
      </c>
      <c r="AD23" s="107">
        <f>IF(Q23&gt;0,0,AC23+X23*AB23)*AB23</f>
        <v>1422</v>
      </c>
      <c r="AE23" s="107">
        <f>IF(Q23&gt;0,(P23-AC23)/2,IF(AF23&gt;=AI23,(((P23*W23)*AB23)-AD23)/2,((((P23*W23)*AB23)-AC23)+(((P23*W23)*AB23)-AD23))/2))</f>
        <v>0</v>
      </c>
      <c r="AF23" s="107">
        <f>$D23+(($E23-1)/12)</f>
        <v>2009.8333333333333</v>
      </c>
      <c r="AG23" s="107">
        <f>($R$5+1)-($R$2/12)</f>
        <v>2017.5</v>
      </c>
      <c r="AH23" s="107">
        <f>$I23+(($E23-1)/12)</f>
        <v>2012.8333333333333</v>
      </c>
      <c r="AI23" s="108">
        <f>$R$4+($R$3/12)</f>
        <v>2016.5</v>
      </c>
      <c r="AJ23" s="108">
        <f>$J23+(($K23-1)/12)</f>
        <v>-8.3333333333333329E-2</v>
      </c>
      <c r="AK23" s="108">
        <f>$I23+(($E23-1)/12)</f>
        <v>2012.8333333333333</v>
      </c>
      <c r="AL23" s="108">
        <f>$R$4+($R$3/12)</f>
        <v>2016.5</v>
      </c>
      <c r="AM23" s="108">
        <f>$J23+(($K23-1)/12)</f>
        <v>-8.3333333333333329E-2</v>
      </c>
    </row>
    <row r="24" spans="1:39" x14ac:dyDescent="0.25">
      <c r="A24">
        <v>170</v>
      </c>
      <c r="B24" t="s">
        <v>442</v>
      </c>
      <c r="D24" s="34">
        <v>2012</v>
      </c>
      <c r="E24" s="34">
        <v>7</v>
      </c>
      <c r="F24" s="75"/>
      <c r="G24" s="34" t="s">
        <v>433</v>
      </c>
      <c r="H24" s="34">
        <v>3</v>
      </c>
      <c r="I24">
        <f>+D24+H24</f>
        <v>2015</v>
      </c>
      <c r="L24" s="53" t="s">
        <v>788</v>
      </c>
      <c r="M24" s="53" t="s">
        <v>788</v>
      </c>
      <c r="N24" s="53"/>
      <c r="O24" s="53" t="s">
        <v>788</v>
      </c>
      <c r="P24" s="32">
        <v>1111</v>
      </c>
      <c r="Q24" s="32"/>
      <c r="R24" s="32">
        <f>+P24-P24*F24</f>
        <v>1111</v>
      </c>
      <c r="S24" s="107">
        <f>R24/H24/12</f>
        <v>30.861111111111111</v>
      </c>
      <c r="T24" s="107">
        <f>IF(Q24&gt;0,0,IF((OR((AF24&gt;AG24),(AH24&lt;AI24))),0,IF((AND((AH24&gt;=AI24),(AH24&lt;=AG24))),S24*((AH24-AI24)*12),IF((AND((AI24&lt;=AF24),(AG24&gt;=AF24))),((AG24-AF24)*12)*S24,IF(AH24&gt;AG24,12*S24,0)))))</f>
        <v>0</v>
      </c>
      <c r="U24" s="107">
        <f>IF(Q24=0,0,IF((AND((AJ24&gt;=AI24),(AJ24&lt;=AH24))),((AJ24-AI24)*12)*S24,0))</f>
        <v>0</v>
      </c>
      <c r="V24" s="107">
        <f>IF(U24&gt;0,U24,T24)</f>
        <v>0</v>
      </c>
      <c r="W24" s="105">
        <v>1</v>
      </c>
      <c r="X24" s="107">
        <f>W24*SUM(T24:U24)</f>
        <v>0</v>
      </c>
      <c r="Y24" s="105"/>
      <c r="Z24" s="107">
        <f>IF(AF24&gt;AG24,0,IF(AH24&lt;AI24,R24,IF((AND((AH24&gt;=AI24),(AH24&lt;=AG24))),(R24-V24),IF((AND((AI24&lt;=AF24),(AG24&gt;=AF24))),0,IF(AH24&gt;AG24,((AI24-AF24)*12)*S24,0)))))</f>
        <v>1111</v>
      </c>
      <c r="AA24" s="107">
        <f>Z24*W24</f>
        <v>1111</v>
      </c>
      <c r="AB24" s="105">
        <v>1</v>
      </c>
      <c r="AC24" s="107">
        <f>AA24*AB24</f>
        <v>1111</v>
      </c>
      <c r="AD24" s="107">
        <f>IF(Q24&gt;0,0,AC24+X24*AB24)*AB24</f>
        <v>1111</v>
      </c>
      <c r="AE24" s="107">
        <f>IF(Q24&gt;0,(P24-AC24)/2,IF(AF24&gt;=AI24,(((P24*W24)*AB24)-AD24)/2,((((P24*W24)*AB24)-AC24)+(((P24*W24)*AB24)-AD24))/2))</f>
        <v>0</v>
      </c>
      <c r="AF24" s="107">
        <f>$D24+(($E24-1)/12)</f>
        <v>2012.5</v>
      </c>
      <c r="AG24" s="107">
        <f>($R$5+1)-($R$2/12)</f>
        <v>2017.5</v>
      </c>
      <c r="AH24" s="107">
        <f>$I24+(($E24-1)/12)</f>
        <v>2015.5</v>
      </c>
      <c r="AI24" s="108">
        <f>$R$4+($R$3/12)</f>
        <v>2016.5</v>
      </c>
      <c r="AJ24" s="108">
        <f>$J24+(($K24-1)/12)</f>
        <v>-8.3333333333333329E-2</v>
      </c>
      <c r="AK24" s="108">
        <f>$I24+(($E24-1)/12)</f>
        <v>2015.5</v>
      </c>
      <c r="AL24" s="108">
        <f>$R$4+($R$3/12)</f>
        <v>2016.5</v>
      </c>
      <c r="AM24" s="108">
        <f>$J24+(($K24-1)/12)</f>
        <v>-8.3333333333333329E-2</v>
      </c>
    </row>
    <row r="25" spans="1:39" x14ac:dyDescent="0.25">
      <c r="A25">
        <v>221</v>
      </c>
      <c r="B25" t="s">
        <v>443</v>
      </c>
      <c r="D25" s="34">
        <v>2014</v>
      </c>
      <c r="E25" s="34">
        <v>12</v>
      </c>
      <c r="F25" s="75"/>
      <c r="G25" s="34" t="s">
        <v>433</v>
      </c>
      <c r="H25" s="34">
        <v>7</v>
      </c>
      <c r="I25">
        <f>+D25+H25</f>
        <v>2021</v>
      </c>
      <c r="L25" s="53" t="s">
        <v>788</v>
      </c>
      <c r="M25" s="53" t="s">
        <v>788</v>
      </c>
      <c r="N25" s="53"/>
      <c r="O25" s="53" t="s">
        <v>788</v>
      </c>
      <c r="P25" s="110">
        <v>3000</v>
      </c>
      <c r="Q25" s="110"/>
      <c r="R25" s="110">
        <f>+P25-P25*F25</f>
        <v>3000</v>
      </c>
      <c r="S25" s="111">
        <f>R25/H25/12</f>
        <v>35.714285714285715</v>
      </c>
      <c r="T25" s="111">
        <f>IF(Q25&gt;0,0,IF((OR((AF25&gt;AG25),(AH25&lt;AI25))),0,IF((AND((AH25&gt;=AI25),(AH25&lt;=AG25))),S25*((AH25-AI25)*12),IF((AND((AI25&lt;=AF25),(AG25&gt;=AF25))),((AG25-AF25)*12)*S25,IF(AH25&gt;AG25,12*S25,0)))))</f>
        <v>428.57142857142856</v>
      </c>
      <c r="U25" s="111">
        <f>IF(Q25=0,0,IF((AND((AJ25&gt;=AI25),(AJ25&lt;=AH25))),((AJ25-AI25)*12)*S25,0))</f>
        <v>0</v>
      </c>
      <c r="V25" s="111">
        <f>IF(U25&gt;0,U25,T25)</f>
        <v>428.57142857142856</v>
      </c>
      <c r="W25" s="112">
        <v>1</v>
      </c>
      <c r="X25" s="111">
        <f>W25*SUM(T25:U25)</f>
        <v>428.57142857142856</v>
      </c>
      <c r="Y25" s="112"/>
      <c r="Z25" s="111">
        <f>IF(AF25&gt;AG25,0,IF(AH25&lt;AI25,R25,IF((AND((AH25&gt;=AI25),(AH25&lt;=AG25))),(R25-V25),IF((AND((AI25&lt;=AF25),(AG25&gt;=AF25))),0,IF(AH25&gt;AG25,((AI25-AF25)*12)*S25,0)))))</f>
        <v>678.57142857139615</v>
      </c>
      <c r="AA25" s="111">
        <f>Z25*W25</f>
        <v>678.57142857139615</v>
      </c>
      <c r="AB25" s="112">
        <v>1</v>
      </c>
      <c r="AC25" s="111">
        <f>AA25*AB25</f>
        <v>678.57142857139615</v>
      </c>
      <c r="AD25" s="111">
        <f>IF(Q25&gt;0,0,AC25+X25*AB25)*AB25</f>
        <v>1107.1428571428246</v>
      </c>
      <c r="AE25" s="111">
        <f>IF(Q25&gt;0,(P25-AC25)/2,IF(AF25&gt;=AI25,(((P25*W25)*AB25)-AD25)/2,((((P25*W25)*AB25)-AC25)+(((P25*W25)*AB25)-AD25))/2))</f>
        <v>2107.1428571428896</v>
      </c>
      <c r="AF25" s="111">
        <f>$D25+(($E25-1)/12)</f>
        <v>2014.9166666666667</v>
      </c>
      <c r="AG25" s="111">
        <f>($R$5+1)-($R$2/12)</f>
        <v>2017.5</v>
      </c>
      <c r="AH25" s="111">
        <f>$I25+(($E25-1)/12)</f>
        <v>2021.9166666666667</v>
      </c>
      <c r="AI25" s="113">
        <f>$R$4+($R$3/12)</f>
        <v>2016.5</v>
      </c>
      <c r="AJ25" s="113">
        <f>$J25+(($K25-1)/12)</f>
        <v>-8.3333333333333329E-2</v>
      </c>
      <c r="AK25" s="113">
        <f>$I25+(($E25-1)/12)</f>
        <v>2021.9166666666667</v>
      </c>
      <c r="AL25" s="113">
        <f>$R$4+($R$3/12)</f>
        <v>2016.5</v>
      </c>
      <c r="AM25" s="113">
        <f>$J25+(($K25-1)/12)</f>
        <v>-8.3333333333333329E-2</v>
      </c>
    </row>
    <row r="26" spans="1:39" x14ac:dyDescent="0.25">
      <c r="A26">
        <v>242</v>
      </c>
      <c r="B26" t="s">
        <v>444</v>
      </c>
      <c r="D26" s="34">
        <v>2016</v>
      </c>
      <c r="E26" s="34">
        <v>4</v>
      </c>
      <c r="F26" s="75"/>
      <c r="G26" s="34" t="s">
        <v>433</v>
      </c>
      <c r="H26" s="34">
        <v>5</v>
      </c>
      <c r="I26">
        <f>+D26+H26</f>
        <v>2021</v>
      </c>
      <c r="L26" s="53" t="s">
        <v>788</v>
      </c>
      <c r="M26" s="53" t="s">
        <v>788</v>
      </c>
      <c r="N26" s="53"/>
      <c r="O26" s="53" t="s">
        <v>788</v>
      </c>
      <c r="P26" s="110">
        <v>1358</v>
      </c>
      <c r="Q26" s="110"/>
      <c r="R26" s="110">
        <f>+P26-P26*F26</f>
        <v>1358</v>
      </c>
      <c r="S26" s="111">
        <f>R26/H26/12</f>
        <v>22.633333333333336</v>
      </c>
      <c r="T26" s="111">
        <f>IF(Q26&gt;0,0,IF((OR((AF26&gt;AG26),(AH26&lt;AI26))),0,IF((AND((AH26&gt;=AI26),(AH26&lt;=AG26))),S26*((AH26-AI26)*12),IF((AND((AI26&lt;=AF26),(AG26&gt;=AF26))),((AG26-AF26)*12)*S26,IF(AH26&gt;AG26,12*S26,0)))))</f>
        <v>271.60000000000002</v>
      </c>
      <c r="U26" s="111">
        <f>IF(Q26=0,0,IF((AND((AJ26&gt;=AI26),(AJ26&lt;=AH26))),((AJ26-AI26)*12)*S26,0))</f>
        <v>0</v>
      </c>
      <c r="V26" s="111">
        <f>IF(U26&gt;0,U26,T26)</f>
        <v>271.60000000000002</v>
      </c>
      <c r="W26" s="112">
        <v>1</v>
      </c>
      <c r="X26" s="111">
        <f>W26*SUM(T26:U26)</f>
        <v>271.60000000000002</v>
      </c>
      <c r="Y26" s="112"/>
      <c r="Z26" s="111">
        <f>IF(AF26&gt;AG26,0,IF(AH26&lt;AI26,R26,IF((AND((AH26&gt;=AI26),(AH26&lt;=AG26))),(R26-V26),IF((AND((AI26&lt;=AF26),(AG26&gt;=AF26))),0,IF(AH26&gt;AG26,((AI26-AF26)*12)*S26,0)))))</f>
        <v>67.900000000000006</v>
      </c>
      <c r="AA26" s="111">
        <f>Z26*W26</f>
        <v>67.900000000000006</v>
      </c>
      <c r="AB26" s="112">
        <v>1</v>
      </c>
      <c r="AC26" s="111">
        <f>AA26*AB26</f>
        <v>67.900000000000006</v>
      </c>
      <c r="AD26" s="111">
        <f>IF(Q26&gt;0,0,AC26+X26*AB26)*AB26</f>
        <v>339.5</v>
      </c>
      <c r="AE26" s="111">
        <f>IF(Q26&gt;0,(P26-AC26)/2,IF(AF26&gt;=AI26,(((P26*W26)*AB26)-AD26)/2,((((P26*W26)*AB26)-AC26)+(((P26*W26)*AB26)-AD26))/2))</f>
        <v>1154.3</v>
      </c>
      <c r="AF26" s="111">
        <f>$D26+(($E26-1)/12)</f>
        <v>2016.25</v>
      </c>
      <c r="AG26" s="111">
        <f>($R$5+1)-($R$2/12)</f>
        <v>2017.5</v>
      </c>
      <c r="AH26" s="111">
        <f>$I26+(($E26-1)/12)</f>
        <v>2021.25</v>
      </c>
      <c r="AI26" s="113">
        <f>$R$4+($R$3/12)</f>
        <v>2016.5</v>
      </c>
      <c r="AJ26" s="113">
        <f>$J26+(($K26-1)/12)</f>
        <v>-8.3333333333333329E-2</v>
      </c>
      <c r="AK26" s="113">
        <f>$I26+(($E26-1)/12)</f>
        <v>2021.25</v>
      </c>
      <c r="AL26" s="113">
        <f>$R$4+($R$3/12)</f>
        <v>2016.5</v>
      </c>
      <c r="AM26" s="113">
        <f>$J26+(($K26-1)/12)</f>
        <v>-8.3333333333333329E-2</v>
      </c>
    </row>
    <row r="27" spans="1:39" x14ac:dyDescent="0.25">
      <c r="A27">
        <v>244</v>
      </c>
      <c r="B27" t="s">
        <v>445</v>
      </c>
      <c r="D27" s="34">
        <v>2016</v>
      </c>
      <c r="E27" s="34">
        <v>4</v>
      </c>
      <c r="F27" s="75"/>
      <c r="G27" s="34" t="s">
        <v>433</v>
      </c>
      <c r="H27" s="34">
        <v>5</v>
      </c>
      <c r="I27">
        <f t="shared" ref="I27:I29" si="20">+D27+H27</f>
        <v>2021</v>
      </c>
      <c r="L27" s="53" t="s">
        <v>788</v>
      </c>
      <c r="M27" s="53" t="s">
        <v>788</v>
      </c>
      <c r="N27" s="53"/>
      <c r="O27" s="53" t="s">
        <v>788</v>
      </c>
      <c r="P27" s="110">
        <v>11914</v>
      </c>
      <c r="Q27" s="110"/>
      <c r="R27" s="110">
        <f t="shared" ref="R27:R29" si="21">+P27-P27*F27</f>
        <v>11914</v>
      </c>
      <c r="S27" s="111">
        <f t="shared" ref="S27:S29" si="22">R27/H27/12</f>
        <v>198.56666666666669</v>
      </c>
      <c r="T27" s="111">
        <f t="shared" ref="T27:T29" si="23">IF(Q27&gt;0,0,IF((OR((AF27&gt;AG27),(AH27&lt;AI27))),0,IF((AND((AH27&gt;=AI27),(AH27&lt;=AG27))),S27*((AH27-AI27)*12),IF((AND((AI27&lt;=AF27),(AG27&gt;=AF27))),((AG27-AF27)*12)*S27,IF(AH27&gt;AG27,12*S27,0)))))</f>
        <v>2382.8000000000002</v>
      </c>
      <c r="U27" s="111">
        <f t="shared" ref="U27:U29" si="24">IF(Q27=0,0,IF((AND((AJ27&gt;=AI27),(AJ27&lt;=AH27))),((AJ27-AI27)*12)*S27,0))</f>
        <v>0</v>
      </c>
      <c r="V27" s="111">
        <f t="shared" ref="V27:V29" si="25">IF(U27&gt;0,U27,T27)</f>
        <v>2382.8000000000002</v>
      </c>
      <c r="W27" s="112">
        <v>1</v>
      </c>
      <c r="X27" s="111">
        <f t="shared" ref="X27:X29" si="26">W27*SUM(T27:U27)</f>
        <v>2382.8000000000002</v>
      </c>
      <c r="Y27" s="112"/>
      <c r="Z27" s="111">
        <f t="shared" ref="Z27:Z29" si="27">IF(AF27&gt;AG27,0,IF(AH27&lt;AI27,R27,IF((AND((AH27&gt;=AI27),(AH27&lt;=AG27))),(R27-V27),IF((AND((AI27&lt;=AF27),(AG27&gt;=AF27))),0,IF(AH27&gt;AG27,((AI27-AF27)*12)*S27,0)))))</f>
        <v>595.70000000000005</v>
      </c>
      <c r="AA27" s="111">
        <f t="shared" ref="AA27:AA29" si="28">Z27*W27</f>
        <v>595.70000000000005</v>
      </c>
      <c r="AB27" s="112">
        <v>1</v>
      </c>
      <c r="AC27" s="111">
        <f t="shared" ref="AC27:AC29" si="29">AA27*AB27</f>
        <v>595.70000000000005</v>
      </c>
      <c r="AD27" s="111">
        <f t="shared" ref="AD27:AD29" si="30">IF(Q27&gt;0,0,AC27+X27*AB27)*AB27</f>
        <v>2978.5</v>
      </c>
      <c r="AE27" s="111">
        <f t="shared" ref="AE27:AE29" si="31">IF(Q27&gt;0,(P27-AC27)/2,IF(AF27&gt;=AI27,(((P27*W27)*AB27)-AD27)/2,((((P27*W27)*AB27)-AC27)+(((P27*W27)*AB27)-AD27))/2))</f>
        <v>10126.9</v>
      </c>
      <c r="AF27" s="111">
        <f t="shared" ref="AF27:AF29" si="32">$D27+(($E27-1)/12)</f>
        <v>2016.25</v>
      </c>
      <c r="AG27" s="111">
        <f t="shared" ref="AG27:AG29" si="33">($R$5+1)-($R$2/12)</f>
        <v>2017.5</v>
      </c>
      <c r="AH27" s="111">
        <f t="shared" ref="AH27:AH29" si="34">$I27+(($E27-1)/12)</f>
        <v>2021.25</v>
      </c>
      <c r="AI27" s="113">
        <f t="shared" ref="AI27:AI29" si="35">$R$4+($R$3/12)</f>
        <v>2016.5</v>
      </c>
      <c r="AJ27" s="113">
        <f t="shared" ref="AJ27:AJ29" si="36">$J27+(($K27-1)/12)</f>
        <v>-8.3333333333333329E-2</v>
      </c>
      <c r="AK27" s="113">
        <f t="shared" ref="AK27:AK29" si="37">$I27+(($E27-1)/12)</f>
        <v>2021.25</v>
      </c>
      <c r="AL27" s="113">
        <f t="shared" ref="AL27:AL29" si="38">$R$4+($R$3/12)</f>
        <v>2016.5</v>
      </c>
      <c r="AM27" s="113">
        <f t="shared" ref="AM27:AM29" si="39">$J27+(($K27-1)/12)</f>
        <v>-8.3333333333333329E-2</v>
      </c>
    </row>
    <row r="28" spans="1:39" x14ac:dyDescent="0.25">
      <c r="A28">
        <v>243</v>
      </c>
      <c r="B28" t="s">
        <v>444</v>
      </c>
      <c r="D28" s="34">
        <v>2016</v>
      </c>
      <c r="E28" s="34">
        <v>6</v>
      </c>
      <c r="F28" s="75"/>
      <c r="G28" s="34" t="s">
        <v>433</v>
      </c>
      <c r="H28" s="34">
        <v>5</v>
      </c>
      <c r="I28">
        <f t="shared" si="20"/>
        <v>2021</v>
      </c>
      <c r="L28" s="53" t="s">
        <v>788</v>
      </c>
      <c r="M28" s="53" t="s">
        <v>788</v>
      </c>
      <c r="N28" s="53"/>
      <c r="O28" s="53" t="s">
        <v>788</v>
      </c>
      <c r="P28" s="110">
        <v>1990</v>
      </c>
      <c r="Q28" s="110"/>
      <c r="R28" s="110">
        <f t="shared" si="21"/>
        <v>1990</v>
      </c>
      <c r="S28" s="111">
        <f t="shared" si="22"/>
        <v>33.166666666666664</v>
      </c>
      <c r="T28" s="111">
        <f t="shared" si="23"/>
        <v>398</v>
      </c>
      <c r="U28" s="111">
        <f t="shared" si="24"/>
        <v>0</v>
      </c>
      <c r="V28" s="111">
        <f t="shared" si="25"/>
        <v>398</v>
      </c>
      <c r="W28" s="112">
        <v>1</v>
      </c>
      <c r="X28" s="111">
        <f t="shared" si="26"/>
        <v>398</v>
      </c>
      <c r="Y28" s="112"/>
      <c r="Z28" s="111">
        <f t="shared" si="27"/>
        <v>33.166666666636502</v>
      </c>
      <c r="AA28" s="111">
        <f t="shared" si="28"/>
        <v>33.166666666636502</v>
      </c>
      <c r="AB28" s="112">
        <v>1</v>
      </c>
      <c r="AC28" s="111">
        <f t="shared" si="29"/>
        <v>33.166666666636502</v>
      </c>
      <c r="AD28" s="111">
        <f t="shared" si="30"/>
        <v>431.1666666666365</v>
      </c>
      <c r="AE28" s="111">
        <f t="shared" si="31"/>
        <v>1757.8333333333635</v>
      </c>
      <c r="AF28" s="111">
        <f t="shared" si="32"/>
        <v>2016.4166666666667</v>
      </c>
      <c r="AG28" s="111">
        <f t="shared" si="33"/>
        <v>2017.5</v>
      </c>
      <c r="AH28" s="111">
        <f t="shared" si="34"/>
        <v>2021.4166666666667</v>
      </c>
      <c r="AI28" s="113">
        <f t="shared" si="35"/>
        <v>2016.5</v>
      </c>
      <c r="AJ28" s="113">
        <f t="shared" si="36"/>
        <v>-8.3333333333333329E-2</v>
      </c>
      <c r="AK28" s="113">
        <f t="shared" si="37"/>
        <v>2021.4166666666667</v>
      </c>
      <c r="AL28" s="113">
        <f t="shared" si="38"/>
        <v>2016.5</v>
      </c>
      <c r="AM28" s="113">
        <f t="shared" si="39"/>
        <v>-8.3333333333333329E-2</v>
      </c>
    </row>
    <row r="29" spans="1:39" x14ac:dyDescent="0.25">
      <c r="A29">
        <v>247</v>
      </c>
      <c r="B29" t="s">
        <v>446</v>
      </c>
      <c r="D29" s="34">
        <v>2016</v>
      </c>
      <c r="E29" s="34">
        <v>6</v>
      </c>
      <c r="F29" s="75"/>
      <c r="G29" s="34" t="s">
        <v>433</v>
      </c>
      <c r="H29" s="34">
        <v>7</v>
      </c>
      <c r="I29">
        <f t="shared" si="20"/>
        <v>2023</v>
      </c>
      <c r="L29" s="53" t="s">
        <v>788</v>
      </c>
      <c r="M29" s="53" t="s">
        <v>788</v>
      </c>
      <c r="N29" s="53"/>
      <c r="O29" s="53" t="s">
        <v>788</v>
      </c>
      <c r="P29" s="110">
        <v>5732</v>
      </c>
      <c r="Q29" s="110"/>
      <c r="R29" s="110">
        <f t="shared" si="21"/>
        <v>5732</v>
      </c>
      <c r="S29" s="111">
        <f t="shared" si="22"/>
        <v>68.238095238095241</v>
      </c>
      <c r="T29" s="111">
        <f t="shared" si="23"/>
        <v>818.85714285714289</v>
      </c>
      <c r="U29" s="111">
        <f t="shared" si="24"/>
        <v>0</v>
      </c>
      <c r="V29" s="111">
        <f t="shared" si="25"/>
        <v>818.85714285714289</v>
      </c>
      <c r="W29" s="112">
        <v>1</v>
      </c>
      <c r="X29" s="111">
        <f t="shared" si="26"/>
        <v>818.85714285714289</v>
      </c>
      <c r="Y29" s="112"/>
      <c r="Z29" s="111">
        <f t="shared" si="27"/>
        <v>68.238095238033182</v>
      </c>
      <c r="AA29" s="111">
        <f t="shared" si="28"/>
        <v>68.238095238033182</v>
      </c>
      <c r="AB29" s="112">
        <v>1</v>
      </c>
      <c r="AC29" s="111">
        <f t="shared" si="29"/>
        <v>68.238095238033182</v>
      </c>
      <c r="AD29" s="111">
        <f t="shared" si="30"/>
        <v>887.09523809517611</v>
      </c>
      <c r="AE29" s="111">
        <f t="shared" si="31"/>
        <v>5254.3333333333958</v>
      </c>
      <c r="AF29" s="111">
        <f t="shared" si="32"/>
        <v>2016.4166666666667</v>
      </c>
      <c r="AG29" s="111">
        <f t="shared" si="33"/>
        <v>2017.5</v>
      </c>
      <c r="AH29" s="111">
        <f t="shared" si="34"/>
        <v>2023.4166666666667</v>
      </c>
      <c r="AI29" s="113">
        <f t="shared" si="35"/>
        <v>2016.5</v>
      </c>
      <c r="AJ29" s="113">
        <f t="shared" si="36"/>
        <v>-8.3333333333333329E-2</v>
      </c>
      <c r="AK29" s="113">
        <f t="shared" si="37"/>
        <v>2023.4166666666667</v>
      </c>
      <c r="AL29" s="113">
        <f t="shared" si="38"/>
        <v>2016.5</v>
      </c>
      <c r="AM29" s="113">
        <f t="shared" si="39"/>
        <v>-8.3333333333333329E-2</v>
      </c>
    </row>
    <row r="30" spans="1:39" x14ac:dyDescent="0.25">
      <c r="B30" t="s">
        <v>447</v>
      </c>
      <c r="D30" s="34">
        <v>2017</v>
      </c>
      <c r="E30" s="34">
        <v>4</v>
      </c>
      <c r="F30" s="75"/>
      <c r="G30" s="34" t="s">
        <v>433</v>
      </c>
      <c r="H30" s="34">
        <v>3</v>
      </c>
      <c r="I30">
        <f>+D30+H30</f>
        <v>2020</v>
      </c>
      <c r="L30" s="53" t="s">
        <v>788</v>
      </c>
      <c r="M30" s="53" t="s">
        <v>788</v>
      </c>
      <c r="N30" s="53"/>
      <c r="O30" s="53" t="s">
        <v>788</v>
      </c>
      <c r="P30" s="114">
        <v>3061</v>
      </c>
      <c r="Q30" s="114"/>
      <c r="R30" s="114">
        <f>+P30-P30*F30</f>
        <v>3061</v>
      </c>
      <c r="S30" s="115">
        <f>R30/H30/12</f>
        <v>85.027777777777786</v>
      </c>
      <c r="T30" s="115">
        <f>IF(Q30&gt;0,0,IF((OR((AF30&gt;AG30),(AH30&lt;AI30))),0,IF((AND((AH30&gt;=AI30),(AH30&lt;=AG30))),S30*((AH30-AI30)*12),IF((AND((AI30&lt;=AF30),(AG30&gt;=AF30))),((AG30-AF30)*12)*S30,IF(AH30&gt;AG30,12*S30,0)))))</f>
        <v>255.08333333333337</v>
      </c>
      <c r="U30" s="115">
        <f>IF(Q30=0,0,IF((AND((AJ30&gt;=AI30),(AJ30&lt;=AH30))),((AJ30-AI30)*12)*S30,0))</f>
        <v>0</v>
      </c>
      <c r="V30" s="115">
        <f>IF(U30&gt;0,U30,T30)</f>
        <v>255.08333333333337</v>
      </c>
      <c r="W30" s="116">
        <v>1</v>
      </c>
      <c r="X30" s="115">
        <f>W30*SUM(T30:U30)</f>
        <v>255.08333333333337</v>
      </c>
      <c r="Y30" s="116"/>
      <c r="Z30" s="115">
        <f>IF(AF30&gt;AG30,0,IF(AH30&lt;AI30,R30,IF((AND((AH30&gt;=AI30),(AH30&lt;=AG30))),(R30-V30),IF((AND((AI30&lt;=AF30),(AG30&gt;=AF30))),0,IF(AH30&gt;AG30,((AI30-AF30)*12)*S30,0)))))</f>
        <v>0</v>
      </c>
      <c r="AA30" s="115">
        <f>Z30*W30</f>
        <v>0</v>
      </c>
      <c r="AB30" s="116">
        <v>1</v>
      </c>
      <c r="AC30" s="115">
        <f>AA30*AB30</f>
        <v>0</v>
      </c>
      <c r="AD30" s="115">
        <f>IF(Q30&gt;0,0,AC30+X30*AB30)*AB30</f>
        <v>255.08333333333337</v>
      </c>
      <c r="AE30" s="115">
        <f>IF(Q30&gt;0,(P30-AC30)/2,IF(AF30&gt;=AI30,(((P30*W30)*AB30)-AD30)/2,((((P30*W30)*AB30)-AC30)+(((P30*W30)*AB30)-AD30))/2))</f>
        <v>1402.9583333333333</v>
      </c>
      <c r="AF30" s="107">
        <f>$D30+(($E30-1)/12)</f>
        <v>2017.25</v>
      </c>
      <c r="AG30" s="107">
        <f>($R$5+1)-($R$2/12)</f>
        <v>2017.5</v>
      </c>
      <c r="AH30" s="107">
        <f>$I30+(($E30-1)/12)</f>
        <v>2020.25</v>
      </c>
      <c r="AI30" s="108">
        <f>$R$4+($R$3/12)</f>
        <v>2016.5</v>
      </c>
      <c r="AJ30" s="108">
        <f>$J30+(($K30-1)/12)</f>
        <v>-8.3333333333333329E-2</v>
      </c>
      <c r="AK30" s="108">
        <f>$I30+(($E30-1)/12)</f>
        <v>2020.25</v>
      </c>
      <c r="AL30" s="108">
        <f>$R$4+($R$3/12)</f>
        <v>2016.5</v>
      </c>
      <c r="AM30" s="108">
        <f>$J30+(($K30-1)/12)</f>
        <v>-8.3333333333333329E-2</v>
      </c>
    </row>
    <row r="31" spans="1:39" x14ac:dyDescent="0.25">
      <c r="D31" s="34"/>
      <c r="E31" s="34"/>
      <c r="F31" s="75"/>
      <c r="H31" s="34"/>
      <c r="P31" s="32">
        <f>SUM(P13:P30)</f>
        <v>124323</v>
      </c>
      <c r="Q31" s="32">
        <f t="shared" ref="Q31:AE31" si="40">SUM(Q13:Q30)</f>
        <v>0</v>
      </c>
      <c r="R31" s="32">
        <f t="shared" si="40"/>
        <v>124323</v>
      </c>
      <c r="S31" s="32">
        <f t="shared" si="40"/>
        <v>2452.448412698413</v>
      </c>
      <c r="T31" s="32">
        <f t="shared" si="40"/>
        <v>4554.9119047619051</v>
      </c>
      <c r="U31" s="32">
        <f t="shared" si="40"/>
        <v>0</v>
      </c>
      <c r="V31" s="32">
        <f t="shared" si="40"/>
        <v>4554.9119047619051</v>
      </c>
      <c r="W31" s="32">
        <f t="shared" si="40"/>
        <v>18</v>
      </c>
      <c r="X31" s="32">
        <f t="shared" si="40"/>
        <v>4554.9119047619051</v>
      </c>
      <c r="Y31" s="32">
        <f t="shared" si="40"/>
        <v>0</v>
      </c>
      <c r="Z31" s="32">
        <f t="shared" si="40"/>
        <v>98711.576190476058</v>
      </c>
      <c r="AA31" s="32">
        <f t="shared" si="40"/>
        <v>98711.576190476058</v>
      </c>
      <c r="AB31" s="32">
        <f t="shared" si="40"/>
        <v>18</v>
      </c>
      <c r="AC31" s="32">
        <f t="shared" si="40"/>
        <v>98711.576190476058</v>
      </c>
      <c r="AD31" s="32">
        <f t="shared" si="40"/>
        <v>103266.48809523798</v>
      </c>
      <c r="AE31" s="32">
        <f t="shared" si="40"/>
        <v>21803.467857142979</v>
      </c>
      <c r="AF31" s="107"/>
      <c r="AG31" s="107"/>
      <c r="AH31" s="107"/>
      <c r="AI31" s="108"/>
      <c r="AJ31" s="108"/>
      <c r="AK31" s="108"/>
      <c r="AL31" s="108"/>
      <c r="AM31" s="108"/>
    </row>
    <row r="32" spans="1:39" x14ac:dyDescent="0.25">
      <c r="D32" s="34"/>
      <c r="E32" s="34"/>
      <c r="F32" s="75"/>
      <c r="H32" s="34"/>
      <c r="P32" s="32"/>
      <c r="Q32" s="32"/>
      <c r="R32" s="32"/>
      <c r="S32" s="107"/>
      <c r="T32" s="107"/>
      <c r="U32" s="107"/>
      <c r="V32" s="107"/>
      <c r="W32" s="105"/>
      <c r="X32" s="107"/>
      <c r="Y32" s="105"/>
      <c r="Z32" s="107"/>
      <c r="AA32" s="107"/>
      <c r="AB32" s="105"/>
      <c r="AC32" s="107"/>
      <c r="AD32" s="107"/>
      <c r="AE32" s="107"/>
      <c r="AF32" s="107"/>
      <c r="AG32" s="107"/>
      <c r="AH32" s="107"/>
      <c r="AI32" s="108"/>
      <c r="AJ32" s="108"/>
      <c r="AK32" s="108"/>
      <c r="AL32" s="108"/>
      <c r="AM32" s="108"/>
    </row>
    <row r="33" spans="1:39" x14ac:dyDescent="0.25">
      <c r="A33">
        <v>18</v>
      </c>
      <c r="B33" t="s">
        <v>455</v>
      </c>
      <c r="C33" t="s">
        <v>785</v>
      </c>
      <c r="D33" s="34">
        <v>1994</v>
      </c>
      <c r="E33" s="34">
        <v>11</v>
      </c>
      <c r="F33" s="75"/>
      <c r="G33" s="34" t="s">
        <v>433</v>
      </c>
      <c r="H33" s="34">
        <v>10</v>
      </c>
      <c r="I33">
        <f>+D33+H33</f>
        <v>2004</v>
      </c>
      <c r="L33" s="53" t="s">
        <v>788</v>
      </c>
      <c r="M33" s="53" t="s">
        <v>788</v>
      </c>
      <c r="N33" s="53" t="s">
        <v>788</v>
      </c>
      <c r="O33" s="53" t="s">
        <v>788</v>
      </c>
      <c r="P33" s="32">
        <v>6783</v>
      </c>
      <c r="Q33" s="32"/>
      <c r="R33" s="32">
        <f>+P33-P33*F33</f>
        <v>6783</v>
      </c>
      <c r="S33" s="107">
        <f>R33/H33/12</f>
        <v>56.524999999999999</v>
      </c>
      <c r="T33" s="107">
        <f>IF(Q33&gt;0,0,IF((OR((AF33&gt;AG33),(AH33&lt;AI33))),0,IF((AND((AH33&gt;=AI33),(AH33&lt;=AG33))),S33*((AH33-AI33)*12),IF((AND((AI33&lt;=AF33),(AG33&gt;=AF33))),((AG33-AF33)*12)*S33,IF(AH33&gt;AG33,12*S33,0)))))</f>
        <v>0</v>
      </c>
      <c r="U33" s="107">
        <f>IF(Q33=0,0,IF((AND((AJ33&gt;=AI33),(AJ33&lt;=AH33))),((AJ33-AI33)*12)*S33,0))</f>
        <v>0</v>
      </c>
      <c r="V33" s="107">
        <f>IF(U33&gt;0,U33,T33)</f>
        <v>0</v>
      </c>
      <c r="W33" s="105">
        <v>1</v>
      </c>
      <c r="X33" s="107">
        <f>W33*SUM(T33:U33)</f>
        <v>0</v>
      </c>
      <c r="Y33" s="105"/>
      <c r="Z33" s="107">
        <f>IF(AF33&gt;AG33,0,IF(AH33&lt;AI33,R33,IF((AND((AH33&gt;=AI33),(AH33&lt;=AG33))),(R33-V33),IF((AND((AI33&lt;=AF33),(AG33&gt;=AF33))),0,IF(AH33&gt;AG33,((AI33-AF33)*12)*S33,0)))))</f>
        <v>6783</v>
      </c>
      <c r="AA33" s="107">
        <f>Z33*W33</f>
        <v>6783</v>
      </c>
      <c r="AB33" s="105">
        <v>1</v>
      </c>
      <c r="AC33" s="107">
        <f>AA33*AB33</f>
        <v>6783</v>
      </c>
      <c r="AD33" s="107">
        <f>IF(Q33&gt;0,0,AC33+X33*AB33)*AB33</f>
        <v>6783</v>
      </c>
      <c r="AE33" s="107">
        <f>IF(Q33&gt;0,(P33-AC33)/2,IF(AF33&gt;=AI33,(((P33*W33)*AB33)-AD33)/2,((((P33*W33)*AB33)-AC33)+(((P33*W33)*AB33)-AD33))/2))</f>
        <v>0</v>
      </c>
      <c r="AF33" s="107">
        <f>$D33+(($E33-1)/12)</f>
        <v>1994.8333333333333</v>
      </c>
      <c r="AG33" s="107">
        <f>($R$5+1)-($R$2/12)</f>
        <v>2017.5</v>
      </c>
      <c r="AH33" s="107">
        <f>$I33+(($E33-1)/12)</f>
        <v>2004.8333333333333</v>
      </c>
      <c r="AI33" s="108">
        <f>$R$4+($R$3/12)</f>
        <v>2016.5</v>
      </c>
      <c r="AJ33" s="108">
        <f>$J33+(($K33-1)/12)</f>
        <v>-8.3333333333333329E-2</v>
      </c>
      <c r="AK33" s="108">
        <f>$I33+(($E33-1)/12)</f>
        <v>2004.8333333333333</v>
      </c>
      <c r="AL33" s="108">
        <f>$R$4+($R$3/12)</f>
        <v>2016.5</v>
      </c>
      <c r="AM33" s="108">
        <f>$J33+(($K33-1)/12)</f>
        <v>-8.3333333333333329E-2</v>
      </c>
    </row>
    <row r="34" spans="1:39" x14ac:dyDescent="0.25">
      <c r="A34">
        <v>22</v>
      </c>
      <c r="B34" t="s">
        <v>459</v>
      </c>
      <c r="C34" t="s">
        <v>785</v>
      </c>
      <c r="D34" s="34">
        <v>1996</v>
      </c>
      <c r="E34" s="34">
        <v>10</v>
      </c>
      <c r="F34" s="75"/>
      <c r="G34" s="34" t="s">
        <v>433</v>
      </c>
      <c r="H34" s="34">
        <v>7</v>
      </c>
      <c r="I34">
        <f>+D34+H34</f>
        <v>2003</v>
      </c>
      <c r="L34" s="53" t="s">
        <v>788</v>
      </c>
      <c r="M34" s="53" t="s">
        <v>788</v>
      </c>
      <c r="N34" s="53" t="s">
        <v>788</v>
      </c>
      <c r="O34" s="53" t="s">
        <v>788</v>
      </c>
      <c r="P34" s="32">
        <v>5140</v>
      </c>
      <c r="Q34" s="32"/>
      <c r="R34" s="32">
        <f>+P34-P34*F34</f>
        <v>5140</v>
      </c>
      <c r="S34" s="107">
        <f>R34/H34/12</f>
        <v>61.190476190476197</v>
      </c>
      <c r="T34" s="107">
        <f>IF(Q34&gt;0,0,IF((OR((AF34&gt;AG34),(AH34&lt;AI34))),0,IF((AND((AH34&gt;=AI34),(AH34&lt;=AG34))),S34*((AH34-AI34)*12),IF((AND((AI34&lt;=AF34),(AG34&gt;=AF34))),((AG34-AF34)*12)*S34,IF(AH34&gt;AG34,12*S34,0)))))</f>
        <v>0</v>
      </c>
      <c r="U34" s="107">
        <f>IF(Q34=0,0,IF((AND((AJ34&gt;=AI34),(AJ34&lt;=AH34))),((AJ34-AI34)*12)*S34,0))</f>
        <v>0</v>
      </c>
      <c r="V34" s="107">
        <f>IF(U34&gt;0,U34,T34)</f>
        <v>0</v>
      </c>
      <c r="W34" s="105">
        <v>1</v>
      </c>
      <c r="X34" s="107">
        <f>W34*SUM(T34:U34)</f>
        <v>0</v>
      </c>
      <c r="Y34" s="105"/>
      <c r="Z34" s="107">
        <f>IF(AF34&gt;AG34,0,IF(AH34&lt;AI34,R34,IF((AND((AH34&gt;=AI34),(AH34&lt;=AG34))),(R34-V34),IF((AND((AI34&lt;=AF34),(AG34&gt;=AF34))),0,IF(AH34&gt;AG34,((AI34-AF34)*12)*S34,0)))))</f>
        <v>5140</v>
      </c>
      <c r="AA34" s="107">
        <f>Z34*W34</f>
        <v>5140</v>
      </c>
      <c r="AB34" s="105">
        <v>1</v>
      </c>
      <c r="AC34" s="107">
        <f>AA34*AB34</f>
        <v>5140</v>
      </c>
      <c r="AD34" s="107">
        <f>IF(Q34&gt;0,0,AC34+X34*AB34)*AB34</f>
        <v>5140</v>
      </c>
      <c r="AE34" s="107">
        <f>IF(Q34&gt;0,(P34-AC34)/2,IF(AF34&gt;=AI34,(((P34*W34)*AB34)-AD34)/2,((((P34*W34)*AB34)-AC34)+(((P34*W34)*AB34)-AD34))/2))</f>
        <v>0</v>
      </c>
      <c r="AF34" s="107">
        <f>$D34+(($E34-1)/12)</f>
        <v>1996.75</v>
      </c>
      <c r="AG34" s="107">
        <f>($R$5+1)-($R$2/12)</f>
        <v>2017.5</v>
      </c>
      <c r="AH34" s="107">
        <f>$I34+(($E34-1)/12)</f>
        <v>2003.75</v>
      </c>
      <c r="AI34" s="108">
        <f>$R$4+($R$3/12)</f>
        <v>2016.5</v>
      </c>
      <c r="AJ34" s="108">
        <f>$J34+(($K34-1)/12)</f>
        <v>-8.3333333333333329E-2</v>
      </c>
      <c r="AK34" s="108">
        <f>$I34+(($E34-1)/12)</f>
        <v>2003.75</v>
      </c>
      <c r="AL34" s="108">
        <f>$R$4+($R$3/12)</f>
        <v>2016.5</v>
      </c>
      <c r="AM34" s="108">
        <f>$J34+(($K34-1)/12)</f>
        <v>-8.3333333333333329E-2</v>
      </c>
    </row>
    <row r="35" spans="1:39" x14ac:dyDescent="0.25">
      <c r="A35">
        <v>28</v>
      </c>
      <c r="B35" t="s">
        <v>463</v>
      </c>
      <c r="C35" t="s">
        <v>785</v>
      </c>
      <c r="D35" s="34">
        <v>1999</v>
      </c>
      <c r="E35" s="34">
        <v>1</v>
      </c>
      <c r="F35" s="75"/>
      <c r="G35" s="34" t="s">
        <v>433</v>
      </c>
      <c r="H35" s="34">
        <v>10</v>
      </c>
      <c r="I35">
        <f>+D35+H35</f>
        <v>2009</v>
      </c>
      <c r="L35" s="53" t="s">
        <v>788</v>
      </c>
      <c r="M35" s="53" t="s">
        <v>788</v>
      </c>
      <c r="N35" s="53" t="s">
        <v>788</v>
      </c>
      <c r="O35" s="53" t="s">
        <v>788</v>
      </c>
      <c r="P35" s="32">
        <v>1518</v>
      </c>
      <c r="Q35" s="32"/>
      <c r="R35" s="32">
        <f>+P35-P35*F35</f>
        <v>1518</v>
      </c>
      <c r="S35" s="107">
        <f>R35/H35/12</f>
        <v>12.65</v>
      </c>
      <c r="T35" s="107">
        <f>IF(Q35&gt;0,0,IF((OR((AF35&gt;AG35),(AH35&lt;AI35))),0,IF((AND((AH35&gt;=AI35),(AH35&lt;=AG35))),S35*((AH35-AI35)*12),IF((AND((AI35&lt;=AF35),(AG35&gt;=AF35))),((AG35-AF35)*12)*S35,IF(AH35&gt;AG35,12*S35,0)))))</f>
        <v>0</v>
      </c>
      <c r="U35" s="107">
        <f>IF(Q35=0,0,IF((AND((AJ35&gt;=AI35),(AJ35&lt;=AH35))),((AJ35-AI35)*12)*S35,0))</f>
        <v>0</v>
      </c>
      <c r="V35" s="107">
        <f>IF(U35&gt;0,U35,T35)</f>
        <v>0</v>
      </c>
      <c r="W35" s="105">
        <v>1</v>
      </c>
      <c r="X35" s="107">
        <f>W35*SUM(T35:U35)</f>
        <v>0</v>
      </c>
      <c r="Y35" s="105"/>
      <c r="Z35" s="107">
        <f>IF(AF35&gt;AG35,0,IF(AH35&lt;AI35,R35,IF((AND((AH35&gt;=AI35),(AH35&lt;=AG35))),(R35-V35),IF((AND((AI35&lt;=AF35),(AG35&gt;=AF35))),0,IF(AH35&gt;AG35,((AI35-AF35)*12)*S35,0)))))</f>
        <v>1518</v>
      </c>
      <c r="AA35" s="107">
        <f>Z35*W35</f>
        <v>1518</v>
      </c>
      <c r="AB35" s="105">
        <v>1</v>
      </c>
      <c r="AC35" s="107">
        <f>AA35*AB35</f>
        <v>1518</v>
      </c>
      <c r="AD35" s="107">
        <f>IF(Q35&gt;0,0,AC35+X35*AB35)*AB35</f>
        <v>1518</v>
      </c>
      <c r="AE35" s="107">
        <f>IF(Q35&gt;0,(P35-AC35)/2,IF(AF35&gt;=AI35,(((P35*W35)*AB35)-AD35)/2,((((P35*W35)*AB35)-AC35)+(((P35*W35)*AB35)-AD35))/2))</f>
        <v>0</v>
      </c>
      <c r="AF35" s="107">
        <f>$D35+(($E35-1)/12)</f>
        <v>1999</v>
      </c>
      <c r="AG35" s="107">
        <f>($R$5+1)-($R$2/12)</f>
        <v>2017.5</v>
      </c>
      <c r="AH35" s="107">
        <f>$I35+(($E35-1)/12)</f>
        <v>2009</v>
      </c>
      <c r="AI35" s="108">
        <f>$R$4+($R$3/12)</f>
        <v>2016.5</v>
      </c>
      <c r="AJ35" s="108">
        <f>$J35+(($K35-1)/12)</f>
        <v>-8.3333333333333329E-2</v>
      </c>
      <c r="AK35" s="108">
        <f>$I35+(($E35-1)/12)</f>
        <v>2009</v>
      </c>
      <c r="AL35" s="108">
        <f>$R$4+($R$3/12)</f>
        <v>2016.5</v>
      </c>
      <c r="AM35" s="108">
        <f>$J35+(($K35-1)/12)</f>
        <v>-8.3333333333333329E-2</v>
      </c>
    </row>
    <row r="36" spans="1:39" x14ac:dyDescent="0.25">
      <c r="A36">
        <v>29</v>
      </c>
      <c r="B36" t="s">
        <v>464</v>
      </c>
      <c r="C36" t="s">
        <v>785</v>
      </c>
      <c r="D36" s="34">
        <v>1999</v>
      </c>
      <c r="E36" s="34">
        <v>5</v>
      </c>
      <c r="F36" s="75"/>
      <c r="G36" s="34" t="s">
        <v>433</v>
      </c>
      <c r="H36" s="34">
        <v>10</v>
      </c>
      <c r="I36">
        <f>+D36+H36</f>
        <v>2009</v>
      </c>
      <c r="L36" s="53" t="s">
        <v>788</v>
      </c>
      <c r="M36" s="53" t="s">
        <v>788</v>
      </c>
      <c r="N36" s="53" t="s">
        <v>788</v>
      </c>
      <c r="O36" s="53" t="s">
        <v>788</v>
      </c>
      <c r="P36" s="32">
        <v>2288</v>
      </c>
      <c r="Q36" s="32"/>
      <c r="R36" s="32">
        <f>+P36-P36*F36</f>
        <v>2288</v>
      </c>
      <c r="S36" s="107">
        <f>R36/H36/12</f>
        <v>19.066666666666666</v>
      </c>
      <c r="T36" s="107">
        <f>IF(Q36&gt;0,0,IF((OR((AF36&gt;AG36),(AH36&lt;AI36))),0,IF((AND((AH36&gt;=AI36),(AH36&lt;=AG36))),S36*((AH36-AI36)*12),IF((AND((AI36&lt;=AF36),(AG36&gt;=AF36))),((AG36-AF36)*12)*S36,IF(AH36&gt;AG36,12*S36,0)))))</f>
        <v>0</v>
      </c>
      <c r="U36" s="107">
        <f>IF(Q36=0,0,IF((AND((AJ36&gt;=AI36),(AJ36&lt;=AH36))),((AJ36-AI36)*12)*S36,0))</f>
        <v>0</v>
      </c>
      <c r="V36" s="107">
        <f>IF(U36&gt;0,U36,T36)</f>
        <v>0</v>
      </c>
      <c r="W36" s="105">
        <v>1</v>
      </c>
      <c r="X36" s="107">
        <f>W36*SUM(T36:U36)</f>
        <v>0</v>
      </c>
      <c r="Y36" s="105"/>
      <c r="Z36" s="107">
        <f>IF(AF36&gt;AG36,0,IF(AH36&lt;AI36,R36,IF((AND((AH36&gt;=AI36),(AH36&lt;=AG36))),(R36-V36),IF((AND((AI36&lt;=AF36),(AG36&gt;=AF36))),0,IF(AH36&gt;AG36,((AI36-AF36)*12)*S36,0)))))</f>
        <v>2288</v>
      </c>
      <c r="AA36" s="107">
        <f>Z36*W36</f>
        <v>2288</v>
      </c>
      <c r="AB36" s="105">
        <v>1</v>
      </c>
      <c r="AC36" s="107">
        <f>AA36*AB36</f>
        <v>2288</v>
      </c>
      <c r="AD36" s="107">
        <f>IF(Q36&gt;0,0,AC36+X36*AB36)*AB36</f>
        <v>2288</v>
      </c>
      <c r="AE36" s="107">
        <f>IF(Q36&gt;0,(P36-AC36)/2,IF(AF36&gt;=AI36,(((P36*W36)*AB36)-AD36)/2,((((P36*W36)*AB36)-AC36)+(((P36*W36)*AB36)-AD36))/2))</f>
        <v>0</v>
      </c>
      <c r="AF36" s="107">
        <f>$D36+(($E36-1)/12)</f>
        <v>1999.3333333333333</v>
      </c>
      <c r="AG36" s="107">
        <f>($R$5+1)-($R$2/12)</f>
        <v>2017.5</v>
      </c>
      <c r="AH36" s="107">
        <f>$I36+(($E36-1)/12)</f>
        <v>2009.3333333333333</v>
      </c>
      <c r="AI36" s="108">
        <f>$R$4+($R$3/12)</f>
        <v>2016.5</v>
      </c>
      <c r="AJ36" s="108">
        <f>$J36+(($K36-1)/12)</f>
        <v>-8.3333333333333329E-2</v>
      </c>
      <c r="AK36" s="108">
        <f>$I36+(($E36-1)/12)</f>
        <v>2009.3333333333333</v>
      </c>
      <c r="AL36" s="108">
        <f>$R$4+($R$3/12)</f>
        <v>2016.5</v>
      </c>
      <c r="AM36" s="108">
        <f>$J36+(($K36-1)/12)</f>
        <v>-8.3333333333333329E-2</v>
      </c>
    </row>
    <row r="37" spans="1:39" ht="15.75" x14ac:dyDescent="0.25">
      <c r="A37">
        <v>31</v>
      </c>
      <c r="B37" t="s">
        <v>466</v>
      </c>
      <c r="C37" t="s">
        <v>785</v>
      </c>
      <c r="D37" s="34">
        <v>1999</v>
      </c>
      <c r="E37" s="34">
        <v>11</v>
      </c>
      <c r="F37" s="75"/>
      <c r="G37" s="34" t="s">
        <v>433</v>
      </c>
      <c r="H37" s="34">
        <v>10</v>
      </c>
      <c r="I37">
        <f>+D37+H37</f>
        <v>2009</v>
      </c>
      <c r="L37" s="53" t="s">
        <v>788</v>
      </c>
      <c r="M37" s="53" t="s">
        <v>788</v>
      </c>
      <c r="N37" s="53" t="s">
        <v>788</v>
      </c>
      <c r="O37" s="53" t="s">
        <v>788</v>
      </c>
      <c r="P37" s="32">
        <v>2252</v>
      </c>
      <c r="Q37" s="32"/>
      <c r="R37" s="32">
        <f>+P37-P37*F37</f>
        <v>2252</v>
      </c>
      <c r="S37" s="107">
        <f>R37/H37/12</f>
        <v>18.766666666666666</v>
      </c>
      <c r="T37" s="107">
        <f>IF(Q37&gt;0,0,IF((OR((AF37&gt;AG37),(AH37&lt;AI37))),0,IF((AND((AH37&gt;=AI37),(AH37&lt;=AG37))),S37*((AH37-AI37)*12),IF((AND((AI37&lt;=AF37),(AG37&gt;=AF37))),((AG37-AF37)*12)*S37,IF(AH37&gt;AG37,12*S37,0)))))</f>
        <v>0</v>
      </c>
      <c r="U37" s="107">
        <f>IF(Q37=0,0,IF((AND((AJ37&gt;=AI37),(AJ37&lt;=AH37))),((AJ37-AI37)*12)*S37,0))</f>
        <v>0</v>
      </c>
      <c r="V37" s="107">
        <f>IF(U37&gt;0,U37,T37)</f>
        <v>0</v>
      </c>
      <c r="W37" s="105">
        <v>1</v>
      </c>
      <c r="X37" s="107">
        <f>W37*SUM(T37:U37)</f>
        <v>0</v>
      </c>
      <c r="Y37" s="105"/>
      <c r="Z37" s="107">
        <f>IF(AF37&gt;AG37,0,IF(AH37&lt;AI37,R37,IF((AND((AH37&gt;=AI37),(AH37&lt;=AG37))),(R37-V37),IF((AND((AI37&lt;=AF37),(AG37&gt;=AF37))),0,IF(AH37&gt;AG37,((AI37-AF37)*12)*S37,0)))))</f>
        <v>2252</v>
      </c>
      <c r="AA37" s="107">
        <f>Z37*W37</f>
        <v>2252</v>
      </c>
      <c r="AB37" s="105">
        <v>1</v>
      </c>
      <c r="AC37" s="107">
        <f>AA37*AB37</f>
        <v>2252</v>
      </c>
      <c r="AD37" s="107">
        <f>IF(Q37&gt;0,0,AC37+X37*AB37)*AB37</f>
        <v>2252</v>
      </c>
      <c r="AE37" s="107">
        <f>IF(Q37&gt;0,(P37-AC37)/2,IF(AF37&gt;=AI37,(((P37*W37)*AB37)-AD37)/2,((((P37*W37)*AB37)-AC37)+(((P37*W37)*AB37)-AD37))/2))</f>
        <v>0</v>
      </c>
      <c r="AF37" s="107">
        <f>$D37+(($E37-1)/12)</f>
        <v>1999.8333333333333</v>
      </c>
      <c r="AG37" s="107">
        <f>($R$5+1)-($R$2/12)</f>
        <v>2017.5</v>
      </c>
      <c r="AH37" s="107">
        <f>$I37+(($E37-1)/12)</f>
        <v>2009.8333333333333</v>
      </c>
      <c r="AI37" s="108">
        <f>$R$4+($R$3/12)</f>
        <v>2016.5</v>
      </c>
      <c r="AJ37" s="108">
        <f>$J37+(($K37-1)/12)</f>
        <v>-8.3333333333333329E-2</v>
      </c>
      <c r="AK37" s="108">
        <f>$I37+(($E37-1)/12)</f>
        <v>2009.8333333333333</v>
      </c>
      <c r="AL37" s="108">
        <f>$R$4+($R$3/12)</f>
        <v>2016.5</v>
      </c>
      <c r="AM37" s="108">
        <f>$J37+(($K37-1)/12)</f>
        <v>-8.3333333333333329E-2</v>
      </c>
    </row>
    <row r="38" spans="1:39" x14ac:dyDescent="0.25">
      <c r="A38">
        <v>32</v>
      </c>
      <c r="B38" t="s">
        <v>466</v>
      </c>
      <c r="C38" t="s">
        <v>785</v>
      </c>
      <c r="D38" s="34">
        <v>1999</v>
      </c>
      <c r="E38" s="34">
        <v>11</v>
      </c>
      <c r="F38" s="75"/>
      <c r="G38" s="34" t="s">
        <v>433</v>
      </c>
      <c r="H38" s="34">
        <v>10</v>
      </c>
      <c r="I38">
        <f>+D38+H38</f>
        <v>2009</v>
      </c>
      <c r="L38" s="53" t="s">
        <v>788</v>
      </c>
      <c r="M38" s="53" t="s">
        <v>788</v>
      </c>
      <c r="N38" s="53" t="s">
        <v>788</v>
      </c>
      <c r="O38" s="53" t="s">
        <v>788</v>
      </c>
      <c r="P38" s="32">
        <v>2254</v>
      </c>
      <c r="Q38" s="32"/>
      <c r="R38" s="32">
        <f>+P38-P38*F38</f>
        <v>2254</v>
      </c>
      <c r="S38" s="107">
        <f>R38/H38/12</f>
        <v>18.783333333333335</v>
      </c>
      <c r="T38" s="107">
        <f>IF(Q38&gt;0,0,IF((OR((AF38&gt;AG38),(AH38&lt;AI38))),0,IF((AND((AH38&gt;=AI38),(AH38&lt;=AG38))),S38*((AH38-AI38)*12),IF((AND((AI38&lt;=AF38),(AG38&gt;=AF38))),((AG38-AF38)*12)*S38,IF(AH38&gt;AG38,12*S38,0)))))</f>
        <v>0</v>
      </c>
      <c r="U38" s="107">
        <f>IF(Q38=0,0,IF((AND((AJ38&gt;=AI38),(AJ38&lt;=AH38))),((AJ38-AI38)*12)*S38,0))</f>
        <v>0</v>
      </c>
      <c r="V38" s="107">
        <f>IF(U38&gt;0,U38,T38)</f>
        <v>0</v>
      </c>
      <c r="W38" s="105">
        <v>1</v>
      </c>
      <c r="X38" s="107">
        <f>W38*SUM(T38:U38)</f>
        <v>0</v>
      </c>
      <c r="Y38" s="105"/>
      <c r="Z38" s="107">
        <f>IF(AF38&gt;AG38,0,IF(AH38&lt;AI38,R38,IF((AND((AH38&gt;=AI38),(AH38&lt;=AG38))),(R38-V38),IF((AND((AI38&lt;=AF38),(AG38&gt;=AF38))),0,IF(AH38&gt;AG38,((AI38-AF38)*12)*S38,0)))))</f>
        <v>2254</v>
      </c>
      <c r="AA38" s="107">
        <f>Z38*W38</f>
        <v>2254</v>
      </c>
      <c r="AB38" s="105">
        <v>1</v>
      </c>
      <c r="AC38" s="107">
        <f>AA38*AB38</f>
        <v>2254</v>
      </c>
      <c r="AD38" s="107">
        <f>IF(Q38&gt;0,0,AC38+X38*AB38)*AB38</f>
        <v>2254</v>
      </c>
      <c r="AE38" s="107">
        <f>IF(Q38&gt;0,(P38-AC38)/2,IF(AF38&gt;=AI38,(((P38*W38)*AB38)-AD38)/2,((((P38*W38)*AB38)-AC38)+(((P38*W38)*AB38)-AD38))/2))</f>
        <v>0</v>
      </c>
      <c r="AF38" s="107">
        <f>$D38+(($E38-1)/12)</f>
        <v>1999.8333333333333</v>
      </c>
      <c r="AG38" s="107">
        <f>($R$5+1)-($R$2/12)</f>
        <v>2017.5</v>
      </c>
      <c r="AH38" s="107">
        <f>$I38+(($E38-1)/12)</f>
        <v>2009.8333333333333</v>
      </c>
      <c r="AI38" s="108">
        <f>$R$4+($R$3/12)</f>
        <v>2016.5</v>
      </c>
      <c r="AJ38" s="108">
        <f>$J38+(($K38-1)/12)</f>
        <v>-8.3333333333333329E-2</v>
      </c>
      <c r="AK38" s="108">
        <f>$I38+(($E38-1)/12)</f>
        <v>2009.8333333333333</v>
      </c>
      <c r="AL38" s="108">
        <f>$R$4+($R$3/12)</f>
        <v>2016.5</v>
      </c>
      <c r="AM38" s="108">
        <f>$J38+(($K38-1)/12)</f>
        <v>-8.3333333333333329E-2</v>
      </c>
    </row>
    <row r="39" spans="1:39" x14ac:dyDescent="0.25">
      <c r="A39">
        <v>33</v>
      </c>
      <c r="B39" t="s">
        <v>467</v>
      </c>
      <c r="C39" t="s">
        <v>785</v>
      </c>
      <c r="D39" s="34">
        <v>2000</v>
      </c>
      <c r="E39" s="34">
        <v>3</v>
      </c>
      <c r="F39" s="75"/>
      <c r="G39" s="34" t="s">
        <v>433</v>
      </c>
      <c r="H39" s="34">
        <v>7</v>
      </c>
      <c r="I39">
        <f>+D39+H39</f>
        <v>2007</v>
      </c>
      <c r="L39" s="53" t="s">
        <v>788</v>
      </c>
      <c r="M39" s="53" t="s">
        <v>788</v>
      </c>
      <c r="N39" s="53" t="s">
        <v>788</v>
      </c>
      <c r="O39" s="53" t="s">
        <v>788</v>
      </c>
      <c r="P39" s="32">
        <v>6000</v>
      </c>
      <c r="Q39" s="32"/>
      <c r="R39" s="32">
        <f>+P39-P39*F39</f>
        <v>6000</v>
      </c>
      <c r="S39" s="107">
        <f>R39/H39/12</f>
        <v>71.428571428571431</v>
      </c>
      <c r="T39" s="107">
        <f>IF(Q39&gt;0,0,IF((OR((AF39&gt;AG39),(AH39&lt;AI39))),0,IF((AND((AH39&gt;=AI39),(AH39&lt;=AG39))),S39*((AH39-AI39)*12),IF((AND((AI39&lt;=AF39),(AG39&gt;=AF39))),((AG39-AF39)*12)*S39,IF(AH39&gt;AG39,12*S39,0)))))</f>
        <v>0</v>
      </c>
      <c r="U39" s="107">
        <f>IF(Q39=0,0,IF((AND((AJ39&gt;=AI39),(AJ39&lt;=AH39))),((AJ39-AI39)*12)*S39,0))</f>
        <v>0</v>
      </c>
      <c r="V39" s="107">
        <f>IF(U39&gt;0,U39,T39)</f>
        <v>0</v>
      </c>
      <c r="W39" s="105">
        <v>1</v>
      </c>
      <c r="X39" s="107">
        <f>W39*SUM(T39:U39)</f>
        <v>0</v>
      </c>
      <c r="Y39" s="105"/>
      <c r="Z39" s="107">
        <f>IF(AF39&gt;AG39,0,IF(AH39&lt;AI39,R39,IF((AND((AH39&gt;=AI39),(AH39&lt;=AG39))),(R39-V39),IF((AND((AI39&lt;=AF39),(AG39&gt;=AF39))),0,IF(AH39&gt;AG39,((AI39-AF39)*12)*S39,0)))))</f>
        <v>6000</v>
      </c>
      <c r="AA39" s="107">
        <f>Z39*W39</f>
        <v>6000</v>
      </c>
      <c r="AB39" s="105">
        <v>1</v>
      </c>
      <c r="AC39" s="107">
        <f>AA39*AB39</f>
        <v>6000</v>
      </c>
      <c r="AD39" s="107">
        <f>IF(Q39&gt;0,0,AC39+X39*AB39)*AB39</f>
        <v>6000</v>
      </c>
      <c r="AE39" s="107">
        <f>IF(Q39&gt;0,(P39-AC39)/2,IF(AF39&gt;=AI39,(((P39*W39)*AB39)-AD39)/2,((((P39*W39)*AB39)-AC39)+(((P39*W39)*AB39)-AD39))/2))</f>
        <v>0</v>
      </c>
      <c r="AF39" s="107">
        <f>$D39+(($E39-1)/12)</f>
        <v>2000.1666666666667</v>
      </c>
      <c r="AG39" s="107">
        <f>($R$5+1)-($R$2/12)</f>
        <v>2017.5</v>
      </c>
      <c r="AH39" s="107">
        <f>$I39+(($E39-1)/12)</f>
        <v>2007.1666666666667</v>
      </c>
      <c r="AI39" s="108">
        <f>$R$4+($R$3/12)</f>
        <v>2016.5</v>
      </c>
      <c r="AJ39" s="108">
        <f>$J39+(($K39-1)/12)</f>
        <v>-8.3333333333333329E-2</v>
      </c>
      <c r="AK39" s="108">
        <f>$I39+(($E39-1)/12)</f>
        <v>2007.1666666666667</v>
      </c>
      <c r="AL39" s="108">
        <f>$R$4+($R$3/12)</f>
        <v>2016.5</v>
      </c>
      <c r="AM39" s="108">
        <f>$J39+(($K39-1)/12)</f>
        <v>-8.3333333333333329E-2</v>
      </c>
    </row>
    <row r="40" spans="1:39" ht="15.75" x14ac:dyDescent="0.25">
      <c r="A40">
        <v>38</v>
      </c>
      <c r="B40" t="s">
        <v>472</v>
      </c>
      <c r="C40" t="s">
        <v>785</v>
      </c>
      <c r="D40" s="34">
        <v>2000</v>
      </c>
      <c r="E40" s="34">
        <v>8</v>
      </c>
      <c r="F40" s="75"/>
      <c r="G40" s="34" t="s">
        <v>433</v>
      </c>
      <c r="H40" s="34">
        <v>7</v>
      </c>
      <c r="I40">
        <f>+D40+H40</f>
        <v>2007</v>
      </c>
      <c r="L40" s="53" t="s">
        <v>788</v>
      </c>
      <c r="M40" s="53" t="s">
        <v>788</v>
      </c>
      <c r="N40" s="53" t="s">
        <v>788</v>
      </c>
      <c r="O40" s="53" t="s">
        <v>788</v>
      </c>
      <c r="P40" s="32">
        <v>2136</v>
      </c>
      <c r="Q40" s="32"/>
      <c r="R40" s="32">
        <f>+P40-P40*F40</f>
        <v>2136</v>
      </c>
      <c r="S40" s="107">
        <f>R40/H40/12</f>
        <v>25.428571428571431</v>
      </c>
      <c r="T40" s="107">
        <f>IF(Q40&gt;0,0,IF((OR((AF40&gt;AG40),(AH40&lt;AI40))),0,IF((AND((AH40&gt;=AI40),(AH40&lt;=AG40))),S40*((AH40-AI40)*12),IF((AND((AI40&lt;=AF40),(AG40&gt;=AF40))),((AG40-AF40)*12)*S40,IF(AH40&gt;AG40,12*S40,0)))))</f>
        <v>0</v>
      </c>
      <c r="U40" s="107">
        <f>IF(Q40=0,0,IF((AND((AJ40&gt;=AI40),(AJ40&lt;=AH40))),((AJ40-AI40)*12)*S40,0))</f>
        <v>0</v>
      </c>
      <c r="V40" s="107">
        <f>IF(U40&gt;0,U40,T40)</f>
        <v>0</v>
      </c>
      <c r="W40" s="105">
        <v>1</v>
      </c>
      <c r="X40" s="107">
        <f>W40*SUM(T40:U40)</f>
        <v>0</v>
      </c>
      <c r="Y40" s="105"/>
      <c r="Z40" s="107">
        <f>IF(AF40&gt;AG40,0,IF(AH40&lt;AI40,R40,IF((AND((AH40&gt;=AI40),(AH40&lt;=AG40))),(R40-V40),IF((AND((AI40&lt;=AF40),(AG40&gt;=AF40))),0,IF(AH40&gt;AG40,((AI40-AF40)*12)*S40,0)))))</f>
        <v>2136</v>
      </c>
      <c r="AA40" s="107">
        <f>Z40*W40</f>
        <v>2136</v>
      </c>
      <c r="AB40" s="105">
        <v>1</v>
      </c>
      <c r="AC40" s="107">
        <f>AA40*AB40</f>
        <v>2136</v>
      </c>
      <c r="AD40" s="107">
        <f>IF(Q40&gt;0,0,AC40+X40*AB40)*AB40</f>
        <v>2136</v>
      </c>
      <c r="AE40" s="107">
        <f>IF(Q40&gt;0,(P40-AC40)/2,IF(AF40&gt;=AI40,(((P40*W40)*AB40)-AD40)/2,((((P40*W40)*AB40)-AC40)+(((P40*W40)*AB40)-AD40))/2))</f>
        <v>0</v>
      </c>
      <c r="AF40" s="107">
        <f>$D40+(($E40-1)/12)</f>
        <v>2000.5833333333333</v>
      </c>
      <c r="AG40" s="107">
        <f>($R$5+1)-($R$2/12)</f>
        <v>2017.5</v>
      </c>
      <c r="AH40" s="107">
        <f>$I40+(($E40-1)/12)</f>
        <v>2007.5833333333333</v>
      </c>
      <c r="AI40" s="108">
        <f>$R$4+($R$3/12)</f>
        <v>2016.5</v>
      </c>
      <c r="AJ40" s="108">
        <f>$J40+(($K40-1)/12)</f>
        <v>-8.3333333333333329E-2</v>
      </c>
      <c r="AK40" s="108">
        <f>$I40+(($E40-1)/12)</f>
        <v>2007.5833333333333</v>
      </c>
      <c r="AL40" s="108">
        <f>$R$4+($R$3/12)</f>
        <v>2016.5</v>
      </c>
      <c r="AM40" s="108">
        <f>$J40+(($K40-1)/12)</f>
        <v>-8.3333333333333329E-2</v>
      </c>
    </row>
    <row r="41" spans="1:39" x14ac:dyDescent="0.25">
      <c r="A41">
        <v>39</v>
      </c>
      <c r="B41" t="s">
        <v>473</v>
      </c>
      <c r="C41" t="s">
        <v>785</v>
      </c>
      <c r="D41" s="34">
        <v>2000</v>
      </c>
      <c r="E41" s="34">
        <v>9</v>
      </c>
      <c r="F41" s="75"/>
      <c r="G41" s="34" t="s">
        <v>433</v>
      </c>
      <c r="H41" s="34">
        <v>7</v>
      </c>
      <c r="I41">
        <f>+D41+H41</f>
        <v>2007</v>
      </c>
      <c r="L41" s="53" t="s">
        <v>788</v>
      </c>
      <c r="M41" s="53" t="s">
        <v>788</v>
      </c>
      <c r="N41" s="53" t="s">
        <v>788</v>
      </c>
      <c r="O41" s="53" t="s">
        <v>788</v>
      </c>
      <c r="P41" s="32">
        <v>2948</v>
      </c>
      <c r="Q41" s="32"/>
      <c r="R41" s="32">
        <f>+P41-P41*F41</f>
        <v>2948</v>
      </c>
      <c r="S41" s="107">
        <f>R41/H41/12</f>
        <v>35.095238095238095</v>
      </c>
      <c r="T41" s="107">
        <f>IF(Q41&gt;0,0,IF((OR((AF41&gt;AG41),(AH41&lt;AI41))),0,IF((AND((AH41&gt;=AI41),(AH41&lt;=AG41))),S41*((AH41-AI41)*12),IF((AND((AI41&lt;=AF41),(AG41&gt;=AF41))),((AG41-AF41)*12)*S41,IF(AH41&gt;AG41,12*S41,0)))))</f>
        <v>0</v>
      </c>
      <c r="U41" s="107">
        <f>IF(Q41=0,0,IF((AND((AJ41&gt;=AI41),(AJ41&lt;=AH41))),((AJ41-AI41)*12)*S41,0))</f>
        <v>0</v>
      </c>
      <c r="V41" s="107">
        <f>IF(U41&gt;0,U41,T41)</f>
        <v>0</v>
      </c>
      <c r="W41" s="105">
        <v>1</v>
      </c>
      <c r="X41" s="107">
        <f>W41*SUM(T41:U41)</f>
        <v>0</v>
      </c>
      <c r="Y41" s="105"/>
      <c r="Z41" s="107">
        <f>IF(AF41&gt;AG41,0,IF(AH41&lt;AI41,R41,IF((AND((AH41&gt;=AI41),(AH41&lt;=AG41))),(R41-V41),IF((AND((AI41&lt;=AF41),(AG41&gt;=AF41))),0,IF(AH41&gt;AG41,((AI41-AF41)*12)*S41,0)))))</f>
        <v>2948</v>
      </c>
      <c r="AA41" s="107">
        <f>Z41*W41</f>
        <v>2948</v>
      </c>
      <c r="AB41" s="105">
        <v>1</v>
      </c>
      <c r="AC41" s="107">
        <f>AA41*AB41</f>
        <v>2948</v>
      </c>
      <c r="AD41" s="107">
        <f>IF(Q41&gt;0,0,AC41+X41*AB41)*AB41</f>
        <v>2948</v>
      </c>
      <c r="AE41" s="107">
        <f>IF(Q41&gt;0,(P41-AC41)/2,IF(AF41&gt;=AI41,(((P41*W41)*AB41)-AD41)/2,((((P41*W41)*AB41)-AC41)+(((P41*W41)*AB41)-AD41))/2))</f>
        <v>0</v>
      </c>
      <c r="AF41" s="107">
        <f>$D41+(($E41-1)/12)</f>
        <v>2000.6666666666667</v>
      </c>
      <c r="AG41" s="107">
        <f>($R$5+1)-($R$2/12)</f>
        <v>2017.5</v>
      </c>
      <c r="AH41" s="107">
        <f>$I41+(($E41-1)/12)</f>
        <v>2007.6666666666667</v>
      </c>
      <c r="AI41" s="108">
        <f>$R$4+($R$3/12)</f>
        <v>2016.5</v>
      </c>
      <c r="AJ41" s="108">
        <f>$J41+(($K41-1)/12)</f>
        <v>-8.3333333333333329E-2</v>
      </c>
      <c r="AK41" s="108">
        <f>$I41+(($E41-1)/12)</f>
        <v>2007.6666666666667</v>
      </c>
      <c r="AL41" s="108">
        <f>$R$4+($R$3/12)</f>
        <v>2016.5</v>
      </c>
      <c r="AM41" s="108">
        <f>$J41+(($K41-1)/12)</f>
        <v>-8.3333333333333329E-2</v>
      </c>
    </row>
    <row r="42" spans="1:39" x14ac:dyDescent="0.25">
      <c r="A42">
        <v>40</v>
      </c>
      <c r="B42" t="s">
        <v>474</v>
      </c>
      <c r="C42" t="s">
        <v>785</v>
      </c>
      <c r="D42" s="34">
        <v>2000</v>
      </c>
      <c r="E42" s="34">
        <v>9</v>
      </c>
      <c r="F42" s="75"/>
      <c r="G42" s="34" t="s">
        <v>433</v>
      </c>
      <c r="H42" s="34">
        <v>7</v>
      </c>
      <c r="I42">
        <f>+D42+H42</f>
        <v>2007</v>
      </c>
      <c r="L42" s="53" t="s">
        <v>788</v>
      </c>
      <c r="M42" s="53" t="s">
        <v>788</v>
      </c>
      <c r="N42" s="53" t="s">
        <v>788</v>
      </c>
      <c r="O42" s="53" t="s">
        <v>788</v>
      </c>
      <c r="P42" s="32">
        <v>3500</v>
      </c>
      <c r="Q42" s="32"/>
      <c r="R42" s="32">
        <f>+P42-P42*F42</f>
        <v>3500</v>
      </c>
      <c r="S42" s="107">
        <f>R42/H42/12</f>
        <v>41.666666666666664</v>
      </c>
      <c r="T42" s="107">
        <f>IF(Q42&gt;0,0,IF((OR((AF42&gt;AG42),(AH42&lt;AI42))),0,IF((AND((AH42&gt;=AI42),(AH42&lt;=AG42))),S42*((AH42-AI42)*12),IF((AND((AI42&lt;=AF42),(AG42&gt;=AF42))),((AG42-AF42)*12)*S42,IF(AH42&gt;AG42,12*S42,0)))))</f>
        <v>0</v>
      </c>
      <c r="U42" s="107">
        <f>IF(Q42=0,0,IF((AND((AJ42&gt;=AI42),(AJ42&lt;=AH42))),((AJ42-AI42)*12)*S42,0))</f>
        <v>0</v>
      </c>
      <c r="V42" s="107">
        <f>IF(U42&gt;0,U42,T42)</f>
        <v>0</v>
      </c>
      <c r="W42" s="105">
        <v>1</v>
      </c>
      <c r="X42" s="107">
        <f>W42*SUM(T42:U42)</f>
        <v>0</v>
      </c>
      <c r="Y42" s="105"/>
      <c r="Z42" s="107">
        <f>IF(AF42&gt;AG42,0,IF(AH42&lt;AI42,R42,IF((AND((AH42&gt;=AI42),(AH42&lt;=AG42))),(R42-V42),IF((AND((AI42&lt;=AF42),(AG42&gt;=AF42))),0,IF(AH42&gt;AG42,((AI42-AF42)*12)*S42,0)))))</f>
        <v>3500</v>
      </c>
      <c r="AA42" s="107">
        <f>Z42*W42</f>
        <v>3500</v>
      </c>
      <c r="AB42" s="105">
        <v>1</v>
      </c>
      <c r="AC42" s="107">
        <f>AA42*AB42</f>
        <v>3500</v>
      </c>
      <c r="AD42" s="107">
        <f>IF(Q42&gt;0,0,AC42+X42*AB42)*AB42</f>
        <v>3500</v>
      </c>
      <c r="AE42" s="107">
        <f>IF(Q42&gt;0,(P42-AC42)/2,IF(AF42&gt;=AI42,(((P42*W42)*AB42)-AD42)/2,((((P42*W42)*AB42)-AC42)+(((P42*W42)*AB42)-AD42))/2))</f>
        <v>0</v>
      </c>
      <c r="AF42" s="107">
        <f>$D42+(($E42-1)/12)</f>
        <v>2000.6666666666667</v>
      </c>
      <c r="AG42" s="107">
        <f>($R$5+1)-($R$2/12)</f>
        <v>2017.5</v>
      </c>
      <c r="AH42" s="107">
        <f>$I42+(($E42-1)/12)</f>
        <v>2007.6666666666667</v>
      </c>
      <c r="AI42" s="108">
        <f>$R$4+($R$3/12)</f>
        <v>2016.5</v>
      </c>
      <c r="AJ42" s="108">
        <f>$J42+(($K42-1)/12)</f>
        <v>-8.3333333333333329E-2</v>
      </c>
      <c r="AK42" s="108">
        <f>$I42+(($E42-1)/12)</f>
        <v>2007.6666666666667</v>
      </c>
      <c r="AL42" s="108">
        <f>$R$4+($R$3/12)</f>
        <v>2016.5</v>
      </c>
      <c r="AM42" s="108">
        <f>$J42+(($K42-1)/12)</f>
        <v>-8.3333333333333329E-2</v>
      </c>
    </row>
    <row r="43" spans="1:39" x14ac:dyDescent="0.25">
      <c r="A43">
        <v>41</v>
      </c>
      <c r="B43" t="s">
        <v>475</v>
      </c>
      <c r="C43" t="s">
        <v>785</v>
      </c>
      <c r="D43" s="34">
        <v>2000</v>
      </c>
      <c r="E43" s="34">
        <v>10</v>
      </c>
      <c r="F43" s="75"/>
      <c r="G43" s="34" t="s">
        <v>433</v>
      </c>
      <c r="H43" s="34">
        <v>7</v>
      </c>
      <c r="I43">
        <f>+D43+H43</f>
        <v>2007</v>
      </c>
      <c r="L43" s="53" t="s">
        <v>788</v>
      </c>
      <c r="M43" s="53" t="s">
        <v>788</v>
      </c>
      <c r="N43" s="53" t="s">
        <v>788</v>
      </c>
      <c r="O43" s="53" t="s">
        <v>788</v>
      </c>
      <c r="P43" s="32">
        <v>2553</v>
      </c>
      <c r="Q43" s="32"/>
      <c r="R43" s="32">
        <f>+P43-P43*F43</f>
        <v>2553</v>
      </c>
      <c r="S43" s="107">
        <f>R43/H43/12</f>
        <v>30.392857142857142</v>
      </c>
      <c r="T43" s="107">
        <f>IF(Q43&gt;0,0,IF((OR((AF43&gt;AG43),(AH43&lt;AI43))),0,IF((AND((AH43&gt;=AI43),(AH43&lt;=AG43))),S43*((AH43-AI43)*12),IF((AND((AI43&lt;=AF43),(AG43&gt;=AF43))),((AG43-AF43)*12)*S43,IF(AH43&gt;AG43,12*S43,0)))))</f>
        <v>0</v>
      </c>
      <c r="U43" s="107">
        <f>IF(Q43=0,0,IF((AND((AJ43&gt;=AI43),(AJ43&lt;=AH43))),((AJ43-AI43)*12)*S43,0))</f>
        <v>0</v>
      </c>
      <c r="V43" s="107">
        <f>IF(U43&gt;0,U43,T43)</f>
        <v>0</v>
      </c>
      <c r="W43" s="105">
        <v>1</v>
      </c>
      <c r="X43" s="107">
        <f>W43*SUM(T43:U43)</f>
        <v>0</v>
      </c>
      <c r="Y43" s="105"/>
      <c r="Z43" s="107">
        <f>IF(AF43&gt;AG43,0,IF(AH43&lt;AI43,R43,IF((AND((AH43&gt;=AI43),(AH43&lt;=AG43))),(R43-V43),IF((AND((AI43&lt;=AF43),(AG43&gt;=AF43))),0,IF(AH43&gt;AG43,((AI43-AF43)*12)*S43,0)))))</f>
        <v>2553</v>
      </c>
      <c r="AA43" s="107">
        <f>Z43*W43</f>
        <v>2553</v>
      </c>
      <c r="AB43" s="105">
        <v>1</v>
      </c>
      <c r="AC43" s="107">
        <f>AA43*AB43</f>
        <v>2553</v>
      </c>
      <c r="AD43" s="107">
        <f>IF(Q43&gt;0,0,AC43+X43*AB43)*AB43</f>
        <v>2553</v>
      </c>
      <c r="AE43" s="107">
        <f>IF(Q43&gt;0,(P43-AC43)/2,IF(AF43&gt;=AI43,(((P43*W43)*AB43)-AD43)/2,((((P43*W43)*AB43)-AC43)+(((P43*W43)*AB43)-AD43))/2))</f>
        <v>0</v>
      </c>
      <c r="AF43" s="107">
        <f>$D43+(($E43-1)/12)</f>
        <v>2000.75</v>
      </c>
      <c r="AG43" s="107">
        <f>($R$5+1)-($R$2/12)</f>
        <v>2017.5</v>
      </c>
      <c r="AH43" s="107">
        <f>$I43+(($E43-1)/12)</f>
        <v>2007.75</v>
      </c>
      <c r="AI43" s="108">
        <f>$R$4+($R$3/12)</f>
        <v>2016.5</v>
      </c>
      <c r="AJ43" s="108">
        <f>$J43+(($K43-1)/12)</f>
        <v>-8.3333333333333329E-2</v>
      </c>
      <c r="AK43" s="108">
        <f>$I43+(($E43-1)/12)</f>
        <v>2007.75</v>
      </c>
      <c r="AL43" s="108">
        <f>$R$4+($R$3/12)</f>
        <v>2016.5</v>
      </c>
      <c r="AM43" s="108">
        <f>$J43+(($K43-1)/12)</f>
        <v>-8.3333333333333329E-2</v>
      </c>
    </row>
    <row r="44" spans="1:39" x14ac:dyDescent="0.25">
      <c r="A44">
        <v>42</v>
      </c>
      <c r="B44" t="s">
        <v>476</v>
      </c>
      <c r="C44" t="s">
        <v>785</v>
      </c>
      <c r="D44" s="34">
        <v>2000</v>
      </c>
      <c r="E44" s="34">
        <v>10</v>
      </c>
      <c r="F44" s="75"/>
      <c r="G44" s="34" t="s">
        <v>433</v>
      </c>
      <c r="H44" s="34">
        <v>7</v>
      </c>
      <c r="I44">
        <f>+D44+H44</f>
        <v>2007</v>
      </c>
      <c r="L44" s="53" t="s">
        <v>788</v>
      </c>
      <c r="M44" s="53" t="s">
        <v>788</v>
      </c>
      <c r="N44" s="53" t="s">
        <v>788</v>
      </c>
      <c r="O44" s="53" t="s">
        <v>788</v>
      </c>
      <c r="P44" s="32">
        <v>6473</v>
      </c>
      <c r="Q44" s="32"/>
      <c r="R44" s="32">
        <f>+P44-P44*F44</f>
        <v>6473</v>
      </c>
      <c r="S44" s="107">
        <f>R44/H44/12</f>
        <v>77.05952380952381</v>
      </c>
      <c r="T44" s="107">
        <f>IF(Q44&gt;0,0,IF((OR((AF44&gt;AG44),(AH44&lt;AI44))),0,IF((AND((AH44&gt;=AI44),(AH44&lt;=AG44))),S44*((AH44-AI44)*12),IF((AND((AI44&lt;=AF44),(AG44&gt;=AF44))),((AG44-AF44)*12)*S44,IF(AH44&gt;AG44,12*S44,0)))))</f>
        <v>0</v>
      </c>
      <c r="U44" s="107">
        <f>IF(Q44=0,0,IF((AND((AJ44&gt;=AI44),(AJ44&lt;=AH44))),((AJ44-AI44)*12)*S44,0))</f>
        <v>0</v>
      </c>
      <c r="V44" s="107">
        <f>IF(U44&gt;0,U44,T44)</f>
        <v>0</v>
      </c>
      <c r="W44" s="105">
        <v>1</v>
      </c>
      <c r="X44" s="107">
        <f>W44*SUM(T44:U44)</f>
        <v>0</v>
      </c>
      <c r="Y44" s="105"/>
      <c r="Z44" s="107">
        <f>IF(AF44&gt;AG44,0,IF(AH44&lt;AI44,R44,IF((AND((AH44&gt;=AI44),(AH44&lt;=AG44))),(R44-V44),IF((AND((AI44&lt;=AF44),(AG44&gt;=AF44))),0,IF(AH44&gt;AG44,((AI44-AF44)*12)*S44,0)))))</f>
        <v>6473</v>
      </c>
      <c r="AA44" s="107">
        <f>Z44*W44</f>
        <v>6473</v>
      </c>
      <c r="AB44" s="105">
        <v>1</v>
      </c>
      <c r="AC44" s="107">
        <f>AA44*AB44</f>
        <v>6473</v>
      </c>
      <c r="AD44" s="107">
        <f>IF(Q44&gt;0,0,AC44+X44*AB44)*AB44</f>
        <v>6473</v>
      </c>
      <c r="AE44" s="107">
        <f>IF(Q44&gt;0,(P44-AC44)/2,IF(AF44&gt;=AI44,(((P44*W44)*AB44)-AD44)/2,((((P44*W44)*AB44)-AC44)+(((P44*W44)*AB44)-AD44))/2))</f>
        <v>0</v>
      </c>
      <c r="AF44" s="107">
        <f>$D44+(($E44-1)/12)</f>
        <v>2000.75</v>
      </c>
      <c r="AG44" s="107">
        <f>($R$5+1)-($R$2/12)</f>
        <v>2017.5</v>
      </c>
      <c r="AH44" s="107">
        <f>$I44+(($E44-1)/12)</f>
        <v>2007.75</v>
      </c>
      <c r="AI44" s="108">
        <f>$R$4+($R$3/12)</f>
        <v>2016.5</v>
      </c>
      <c r="AJ44" s="108">
        <f>$J44+(($K44-1)/12)</f>
        <v>-8.3333333333333329E-2</v>
      </c>
      <c r="AK44" s="108">
        <f>$I44+(($E44-1)/12)</f>
        <v>2007.75</v>
      </c>
      <c r="AL44" s="108">
        <f>$R$4+($R$3/12)</f>
        <v>2016.5</v>
      </c>
      <c r="AM44" s="108">
        <f>$J44+(($K44-1)/12)</f>
        <v>-8.3333333333333329E-2</v>
      </c>
    </row>
    <row r="45" spans="1:39" x14ac:dyDescent="0.25">
      <c r="A45">
        <v>44</v>
      </c>
      <c r="B45" t="s">
        <v>478</v>
      </c>
      <c r="C45" t="s">
        <v>785</v>
      </c>
      <c r="D45" s="34">
        <v>2001</v>
      </c>
      <c r="E45" s="34">
        <v>2</v>
      </c>
      <c r="F45" s="75"/>
      <c r="G45" s="34" t="s">
        <v>433</v>
      </c>
      <c r="H45" s="34">
        <v>10</v>
      </c>
      <c r="I45">
        <f>+D45+H45</f>
        <v>2011</v>
      </c>
      <c r="L45" s="53" t="s">
        <v>788</v>
      </c>
      <c r="M45" s="53" t="s">
        <v>788</v>
      </c>
      <c r="N45" s="53" t="s">
        <v>788</v>
      </c>
      <c r="O45" s="53" t="s">
        <v>788</v>
      </c>
      <c r="P45" s="32">
        <v>11145</v>
      </c>
      <c r="Q45" s="32"/>
      <c r="R45" s="32">
        <f>+P45-P45*F45</f>
        <v>11145</v>
      </c>
      <c r="S45" s="107">
        <f>R45/H45/12</f>
        <v>92.875</v>
      </c>
      <c r="T45" s="107">
        <f>IF(Q45&gt;0,0,IF((OR((AF45&gt;AG45),(AH45&lt;AI45))),0,IF((AND((AH45&gt;=AI45),(AH45&lt;=AG45))),S45*((AH45-AI45)*12),IF((AND((AI45&lt;=AF45),(AG45&gt;=AF45))),((AG45-AF45)*12)*S45,IF(AH45&gt;AG45,12*S45,0)))))</f>
        <v>0</v>
      </c>
      <c r="U45" s="107">
        <f>IF(Q45=0,0,IF((AND((AJ45&gt;=AI45),(AJ45&lt;=AH45))),((AJ45-AI45)*12)*S45,0))</f>
        <v>0</v>
      </c>
      <c r="V45" s="107">
        <f>IF(U45&gt;0,U45,T45)</f>
        <v>0</v>
      </c>
      <c r="W45" s="105">
        <v>1</v>
      </c>
      <c r="X45" s="107">
        <f>W45*SUM(T45:U45)</f>
        <v>0</v>
      </c>
      <c r="Y45" s="105"/>
      <c r="Z45" s="107">
        <f>IF(AF45&gt;AG45,0,IF(AH45&lt;AI45,R45,IF((AND((AH45&gt;=AI45),(AH45&lt;=AG45))),(R45-V45),IF((AND((AI45&lt;=AF45),(AG45&gt;=AF45))),0,IF(AH45&gt;AG45,((AI45-AF45)*12)*S45,0)))))</f>
        <v>11145</v>
      </c>
      <c r="AA45" s="107">
        <f>Z45*W45</f>
        <v>11145</v>
      </c>
      <c r="AB45" s="105">
        <v>1</v>
      </c>
      <c r="AC45" s="107">
        <f>AA45*AB45</f>
        <v>11145</v>
      </c>
      <c r="AD45" s="107">
        <f>IF(Q45&gt;0,0,AC45+X45*AB45)*AB45</f>
        <v>11145</v>
      </c>
      <c r="AE45" s="107">
        <f>IF(Q45&gt;0,(P45-AC45)/2,IF(AF45&gt;=AI45,(((P45*W45)*AB45)-AD45)/2,((((P45*W45)*AB45)-AC45)+(((P45*W45)*AB45)-AD45))/2))</f>
        <v>0</v>
      </c>
      <c r="AF45" s="107">
        <f>$D45+(($E45-1)/12)</f>
        <v>2001.0833333333333</v>
      </c>
      <c r="AG45" s="107">
        <f>($R$5+1)-($R$2/12)</f>
        <v>2017.5</v>
      </c>
      <c r="AH45" s="107">
        <f>$I45+(($E45-1)/12)</f>
        <v>2011.0833333333333</v>
      </c>
      <c r="AI45" s="108">
        <f>$R$4+($R$3/12)</f>
        <v>2016.5</v>
      </c>
      <c r="AJ45" s="108">
        <f>$J45+(($K45-1)/12)</f>
        <v>-8.3333333333333329E-2</v>
      </c>
      <c r="AK45" s="108">
        <f>$I45+(($E45-1)/12)</f>
        <v>2011.0833333333333</v>
      </c>
      <c r="AL45" s="108">
        <f>$R$4+($R$3/12)</f>
        <v>2016.5</v>
      </c>
      <c r="AM45" s="108">
        <f>$J45+(($K45-1)/12)</f>
        <v>-8.3333333333333329E-2</v>
      </c>
    </row>
    <row r="46" spans="1:39" x14ac:dyDescent="0.25">
      <c r="A46">
        <v>45</v>
      </c>
      <c r="B46" t="s">
        <v>479</v>
      </c>
      <c r="C46" t="s">
        <v>785</v>
      </c>
      <c r="D46" s="34">
        <v>2001</v>
      </c>
      <c r="E46" s="34">
        <v>2</v>
      </c>
      <c r="F46" s="75"/>
      <c r="G46" s="34" t="s">
        <v>433</v>
      </c>
      <c r="H46" s="34">
        <v>10</v>
      </c>
      <c r="I46">
        <f>+D46+H46</f>
        <v>2011</v>
      </c>
      <c r="L46" s="53" t="s">
        <v>788</v>
      </c>
      <c r="M46" s="53" t="s">
        <v>788</v>
      </c>
      <c r="N46" s="53" t="s">
        <v>788</v>
      </c>
      <c r="O46" s="53" t="s">
        <v>788</v>
      </c>
      <c r="P46" s="32">
        <v>3500</v>
      </c>
      <c r="Q46" s="32"/>
      <c r="R46" s="32">
        <f>+P46-P46*F46</f>
        <v>3500</v>
      </c>
      <c r="S46" s="107">
        <f>R46/H46/12</f>
        <v>29.166666666666668</v>
      </c>
      <c r="T46" s="107">
        <f>IF(Q46&gt;0,0,IF((OR((AF46&gt;AG46),(AH46&lt;AI46))),0,IF((AND((AH46&gt;=AI46),(AH46&lt;=AG46))),S46*((AH46-AI46)*12),IF((AND((AI46&lt;=AF46),(AG46&gt;=AF46))),((AG46-AF46)*12)*S46,IF(AH46&gt;AG46,12*S46,0)))))</f>
        <v>0</v>
      </c>
      <c r="U46" s="107">
        <f>IF(Q46=0,0,IF((AND((AJ46&gt;=AI46),(AJ46&lt;=AH46))),((AJ46-AI46)*12)*S46,0))</f>
        <v>0</v>
      </c>
      <c r="V46" s="107">
        <f>IF(U46&gt;0,U46,T46)</f>
        <v>0</v>
      </c>
      <c r="W46" s="105">
        <v>1</v>
      </c>
      <c r="X46" s="107">
        <f>W46*SUM(T46:U46)</f>
        <v>0</v>
      </c>
      <c r="Y46" s="105"/>
      <c r="Z46" s="107">
        <f>IF(AF46&gt;AG46,0,IF(AH46&lt;AI46,R46,IF((AND((AH46&gt;=AI46),(AH46&lt;=AG46))),(R46-V46),IF((AND((AI46&lt;=AF46),(AG46&gt;=AF46))),0,IF(AH46&gt;AG46,((AI46-AF46)*12)*S46,0)))))</f>
        <v>3500</v>
      </c>
      <c r="AA46" s="107">
        <f>Z46*W46</f>
        <v>3500</v>
      </c>
      <c r="AB46" s="105">
        <v>1</v>
      </c>
      <c r="AC46" s="107">
        <f>AA46*AB46</f>
        <v>3500</v>
      </c>
      <c r="AD46" s="107">
        <f>IF(Q46&gt;0,0,AC46+X46*AB46)*AB46</f>
        <v>3500</v>
      </c>
      <c r="AE46" s="107">
        <f>IF(Q46&gt;0,(P46-AC46)/2,IF(AF46&gt;=AI46,(((P46*W46)*AB46)-AD46)/2,((((P46*W46)*AB46)-AC46)+(((P46*W46)*AB46)-AD46))/2))</f>
        <v>0</v>
      </c>
      <c r="AF46" s="107">
        <f>$D46+(($E46-1)/12)</f>
        <v>2001.0833333333333</v>
      </c>
      <c r="AG46" s="107">
        <f>($R$5+1)-($R$2/12)</f>
        <v>2017.5</v>
      </c>
      <c r="AH46" s="107">
        <f>$I46+(($E46-1)/12)</f>
        <v>2011.0833333333333</v>
      </c>
      <c r="AI46" s="108">
        <f>$R$4+($R$3/12)</f>
        <v>2016.5</v>
      </c>
      <c r="AJ46" s="108">
        <f>$J46+(($K46-1)/12)</f>
        <v>-8.3333333333333329E-2</v>
      </c>
      <c r="AK46" s="108">
        <f>$I46+(($E46-1)/12)</f>
        <v>2011.0833333333333</v>
      </c>
      <c r="AL46" s="108">
        <f>$R$4+($R$3/12)</f>
        <v>2016.5</v>
      </c>
      <c r="AM46" s="108">
        <f>$J46+(($K46-1)/12)</f>
        <v>-8.3333333333333329E-2</v>
      </c>
    </row>
    <row r="47" spans="1:39" x14ac:dyDescent="0.25">
      <c r="A47">
        <v>46</v>
      </c>
      <c r="B47" t="s">
        <v>480</v>
      </c>
      <c r="C47" t="s">
        <v>785</v>
      </c>
      <c r="D47" s="34">
        <v>2001</v>
      </c>
      <c r="E47" s="34">
        <v>11</v>
      </c>
      <c r="F47" s="75"/>
      <c r="G47" s="34" t="s">
        <v>433</v>
      </c>
      <c r="H47" s="34">
        <v>10</v>
      </c>
      <c r="I47">
        <f>+D47+H47</f>
        <v>2011</v>
      </c>
      <c r="L47" s="53" t="s">
        <v>788</v>
      </c>
      <c r="M47" s="53" t="s">
        <v>788</v>
      </c>
      <c r="N47" s="53" t="s">
        <v>788</v>
      </c>
      <c r="O47" s="53" t="s">
        <v>788</v>
      </c>
      <c r="P47" s="32">
        <v>3000</v>
      </c>
      <c r="Q47" s="32"/>
      <c r="R47" s="32">
        <f>+P47-P47*F47</f>
        <v>3000</v>
      </c>
      <c r="S47" s="107">
        <f>R47/H47/12</f>
        <v>25</v>
      </c>
      <c r="T47" s="107">
        <f>IF(Q47&gt;0,0,IF((OR((AF47&gt;AG47),(AH47&lt;AI47))),0,IF((AND((AH47&gt;=AI47),(AH47&lt;=AG47))),S47*((AH47-AI47)*12),IF((AND((AI47&lt;=AF47),(AG47&gt;=AF47))),((AG47-AF47)*12)*S47,IF(AH47&gt;AG47,12*S47,0)))))</f>
        <v>0</v>
      </c>
      <c r="U47" s="107">
        <f>IF(Q47=0,0,IF((AND((AJ47&gt;=AI47),(AJ47&lt;=AH47))),((AJ47-AI47)*12)*S47,0))</f>
        <v>0</v>
      </c>
      <c r="V47" s="107">
        <f>IF(U47&gt;0,U47,T47)</f>
        <v>0</v>
      </c>
      <c r="W47" s="105">
        <v>1</v>
      </c>
      <c r="X47" s="107">
        <f>W47*SUM(T47:U47)</f>
        <v>0</v>
      </c>
      <c r="Y47" s="105"/>
      <c r="Z47" s="107">
        <f>IF(AF47&gt;AG47,0,IF(AH47&lt;AI47,R47,IF((AND((AH47&gt;=AI47),(AH47&lt;=AG47))),(R47-V47),IF((AND((AI47&lt;=AF47),(AG47&gt;=AF47))),0,IF(AH47&gt;AG47,((AI47-AF47)*12)*S47,0)))))</f>
        <v>3000</v>
      </c>
      <c r="AA47" s="107">
        <f>Z47*W47</f>
        <v>3000</v>
      </c>
      <c r="AB47" s="105">
        <v>1</v>
      </c>
      <c r="AC47" s="107">
        <f>AA47*AB47</f>
        <v>3000</v>
      </c>
      <c r="AD47" s="107">
        <f>IF(Q47&gt;0,0,AC47+X47*AB47)*AB47</f>
        <v>3000</v>
      </c>
      <c r="AE47" s="107">
        <f>IF(Q47&gt;0,(P47-AC47)/2,IF(AF47&gt;=AI47,(((P47*W47)*AB47)-AD47)/2,((((P47*W47)*AB47)-AC47)+(((P47*W47)*AB47)-AD47))/2))</f>
        <v>0</v>
      </c>
      <c r="AF47" s="107">
        <f>$D47+(($E47-1)/12)</f>
        <v>2001.8333333333333</v>
      </c>
      <c r="AG47" s="107">
        <f>($R$5+1)-($R$2/12)</f>
        <v>2017.5</v>
      </c>
      <c r="AH47" s="107">
        <f>$I47+(($E47-1)/12)</f>
        <v>2011.8333333333333</v>
      </c>
      <c r="AI47" s="108">
        <f>$R$4+($R$3/12)</f>
        <v>2016.5</v>
      </c>
      <c r="AJ47" s="108">
        <f>$J47+(($K47-1)/12)</f>
        <v>-8.3333333333333329E-2</v>
      </c>
      <c r="AK47" s="108">
        <f>$I47+(($E47-1)/12)</f>
        <v>2011.8333333333333</v>
      </c>
      <c r="AL47" s="108">
        <f>$R$4+($R$3/12)</f>
        <v>2016.5</v>
      </c>
      <c r="AM47" s="108">
        <f>$J47+(($K47-1)/12)</f>
        <v>-8.3333333333333329E-2</v>
      </c>
    </row>
    <row r="48" spans="1:39" x14ac:dyDescent="0.25">
      <c r="A48">
        <v>47</v>
      </c>
      <c r="B48" t="s">
        <v>481</v>
      </c>
      <c r="C48" t="s">
        <v>785</v>
      </c>
      <c r="D48" s="34">
        <v>2001</v>
      </c>
      <c r="E48" s="34">
        <v>11</v>
      </c>
      <c r="F48" s="75"/>
      <c r="G48" s="34" t="s">
        <v>433</v>
      </c>
      <c r="H48" s="34">
        <v>10</v>
      </c>
      <c r="I48">
        <f>+D48+H48</f>
        <v>2011</v>
      </c>
      <c r="L48" s="53" t="s">
        <v>788</v>
      </c>
      <c r="M48" s="53" t="s">
        <v>788</v>
      </c>
      <c r="N48" s="53" t="s">
        <v>788</v>
      </c>
      <c r="O48" s="53" t="s">
        <v>788</v>
      </c>
      <c r="P48" s="32">
        <v>1298</v>
      </c>
      <c r="Q48" s="32"/>
      <c r="R48" s="32">
        <f>+P48-P48*F48</f>
        <v>1298</v>
      </c>
      <c r="S48" s="107">
        <f>R48/H48/12</f>
        <v>10.816666666666668</v>
      </c>
      <c r="T48" s="107">
        <f>IF(Q48&gt;0,0,IF((OR((AF48&gt;AG48),(AH48&lt;AI48))),0,IF((AND((AH48&gt;=AI48),(AH48&lt;=AG48))),S48*((AH48-AI48)*12),IF((AND((AI48&lt;=AF48),(AG48&gt;=AF48))),((AG48-AF48)*12)*S48,IF(AH48&gt;AG48,12*S48,0)))))</f>
        <v>0</v>
      </c>
      <c r="U48" s="107">
        <f>IF(Q48=0,0,IF((AND((AJ48&gt;=AI48),(AJ48&lt;=AH48))),((AJ48-AI48)*12)*S48,0))</f>
        <v>0</v>
      </c>
      <c r="V48" s="107">
        <f>IF(U48&gt;0,U48,T48)</f>
        <v>0</v>
      </c>
      <c r="W48" s="105">
        <v>1</v>
      </c>
      <c r="X48" s="107">
        <f>W48*SUM(T48:U48)</f>
        <v>0</v>
      </c>
      <c r="Y48" s="105"/>
      <c r="Z48" s="107">
        <f>IF(AF48&gt;AG48,0,IF(AH48&lt;AI48,R48,IF((AND((AH48&gt;=AI48),(AH48&lt;=AG48))),(R48-V48),IF((AND((AI48&lt;=AF48),(AG48&gt;=AF48))),0,IF(AH48&gt;AG48,((AI48-AF48)*12)*S48,0)))))</f>
        <v>1298</v>
      </c>
      <c r="AA48" s="107">
        <f>Z48*W48</f>
        <v>1298</v>
      </c>
      <c r="AB48" s="105">
        <v>1</v>
      </c>
      <c r="AC48" s="107">
        <f>AA48*AB48</f>
        <v>1298</v>
      </c>
      <c r="AD48" s="107">
        <f>IF(Q48&gt;0,0,AC48+X48*AB48)*AB48</f>
        <v>1298</v>
      </c>
      <c r="AE48" s="107">
        <f>IF(Q48&gt;0,(P48-AC48)/2,IF(AF48&gt;=AI48,(((P48*W48)*AB48)-AD48)/2,((((P48*W48)*AB48)-AC48)+(((P48*W48)*AB48)-AD48))/2))</f>
        <v>0</v>
      </c>
      <c r="AF48" s="107">
        <f>$D48+(($E48-1)/12)</f>
        <v>2001.8333333333333</v>
      </c>
      <c r="AG48" s="107">
        <f>($R$5+1)-($R$2/12)</f>
        <v>2017.5</v>
      </c>
      <c r="AH48" s="107">
        <f>$I48+(($E48-1)/12)</f>
        <v>2011.8333333333333</v>
      </c>
      <c r="AI48" s="108">
        <f>$R$4+($R$3/12)</f>
        <v>2016.5</v>
      </c>
      <c r="AJ48" s="108">
        <f>$J48+(($K48-1)/12)</f>
        <v>-8.3333333333333329E-2</v>
      </c>
      <c r="AK48" s="108">
        <f>$I48+(($E48-1)/12)</f>
        <v>2011.8333333333333</v>
      </c>
      <c r="AL48" s="108">
        <f>$R$4+($R$3/12)</f>
        <v>2016.5</v>
      </c>
      <c r="AM48" s="108">
        <f>$J48+(($K48-1)/12)</f>
        <v>-8.3333333333333329E-2</v>
      </c>
    </row>
    <row r="49" spans="1:39" x14ac:dyDescent="0.25">
      <c r="A49">
        <v>48</v>
      </c>
      <c r="B49" t="s">
        <v>482</v>
      </c>
      <c r="C49" t="s">
        <v>785</v>
      </c>
      <c r="D49" s="34">
        <v>2002</v>
      </c>
      <c r="E49" s="34">
        <v>2</v>
      </c>
      <c r="F49" s="75"/>
      <c r="G49" s="34" t="s">
        <v>433</v>
      </c>
      <c r="H49" s="34">
        <v>5</v>
      </c>
      <c r="I49">
        <f>+D49+H49</f>
        <v>2007</v>
      </c>
      <c r="L49" s="53" t="s">
        <v>788</v>
      </c>
      <c r="M49" s="53" t="s">
        <v>788</v>
      </c>
      <c r="N49" s="53" t="s">
        <v>788</v>
      </c>
      <c r="O49" s="53" t="s">
        <v>788</v>
      </c>
      <c r="P49" s="32">
        <v>1840</v>
      </c>
      <c r="Q49" s="32"/>
      <c r="R49" s="32">
        <f>+P49-P49*F49</f>
        <v>1840</v>
      </c>
      <c r="S49" s="107">
        <f>R49/H49/12</f>
        <v>30.666666666666668</v>
      </c>
      <c r="T49" s="107">
        <f>IF(Q49&gt;0,0,IF((OR((AF49&gt;AG49),(AH49&lt;AI49))),0,IF((AND((AH49&gt;=AI49),(AH49&lt;=AG49))),S49*((AH49-AI49)*12),IF((AND((AI49&lt;=AF49),(AG49&gt;=AF49))),((AG49-AF49)*12)*S49,IF(AH49&gt;AG49,12*S49,0)))))</f>
        <v>0</v>
      </c>
      <c r="U49" s="107">
        <f>IF(Q49=0,0,IF((AND((AJ49&gt;=AI49),(AJ49&lt;=AH49))),((AJ49-AI49)*12)*S49,0))</f>
        <v>0</v>
      </c>
      <c r="V49" s="107">
        <f>IF(U49&gt;0,U49,T49)</f>
        <v>0</v>
      </c>
      <c r="W49" s="105">
        <v>1</v>
      </c>
      <c r="X49" s="107">
        <f>W49*SUM(T49:U49)</f>
        <v>0</v>
      </c>
      <c r="Y49" s="105"/>
      <c r="Z49" s="107">
        <f>IF(AF49&gt;AG49,0,IF(AH49&lt;AI49,R49,IF((AND((AH49&gt;=AI49),(AH49&lt;=AG49))),(R49-V49),IF((AND((AI49&lt;=AF49),(AG49&gt;=AF49))),0,IF(AH49&gt;AG49,((AI49-AF49)*12)*S49,0)))))</f>
        <v>1840</v>
      </c>
      <c r="AA49" s="107">
        <f>Z49*W49</f>
        <v>1840</v>
      </c>
      <c r="AB49" s="105">
        <v>1</v>
      </c>
      <c r="AC49" s="107">
        <f>AA49*AB49</f>
        <v>1840</v>
      </c>
      <c r="AD49" s="107">
        <f>IF(Q49&gt;0,0,AC49+X49*AB49)*AB49</f>
        <v>1840</v>
      </c>
      <c r="AE49" s="107">
        <f>IF(Q49&gt;0,(P49-AC49)/2,IF(AF49&gt;=AI49,(((P49*W49)*AB49)-AD49)/2,((((P49*W49)*AB49)-AC49)+(((P49*W49)*AB49)-AD49))/2))</f>
        <v>0</v>
      </c>
      <c r="AF49" s="107">
        <f>$D49+(($E49-1)/12)</f>
        <v>2002.0833333333333</v>
      </c>
      <c r="AG49" s="107">
        <f>($R$5+1)-($R$2/12)</f>
        <v>2017.5</v>
      </c>
      <c r="AH49" s="107">
        <f>$I49+(($E49-1)/12)</f>
        <v>2007.0833333333333</v>
      </c>
      <c r="AI49" s="108">
        <f>$R$4+($R$3/12)</f>
        <v>2016.5</v>
      </c>
      <c r="AJ49" s="108">
        <f>$J49+(($K49-1)/12)</f>
        <v>-8.3333333333333329E-2</v>
      </c>
      <c r="AK49" s="108">
        <f>$I49+(($E49-1)/12)</f>
        <v>2007.0833333333333</v>
      </c>
      <c r="AL49" s="108">
        <f>$R$4+($R$3/12)</f>
        <v>2016.5</v>
      </c>
      <c r="AM49" s="108">
        <f>$J49+(($K49-1)/12)</f>
        <v>-8.3333333333333329E-2</v>
      </c>
    </row>
    <row r="50" spans="1:39" x14ac:dyDescent="0.25">
      <c r="A50">
        <v>49</v>
      </c>
      <c r="B50" t="s">
        <v>483</v>
      </c>
      <c r="C50" t="s">
        <v>785</v>
      </c>
      <c r="D50" s="34">
        <v>2002</v>
      </c>
      <c r="E50" s="34">
        <v>7</v>
      </c>
      <c r="F50" s="75"/>
      <c r="G50" s="34" t="s">
        <v>433</v>
      </c>
      <c r="H50" s="34">
        <v>5</v>
      </c>
      <c r="I50">
        <f>+D50+H50</f>
        <v>2007</v>
      </c>
      <c r="L50" s="53" t="s">
        <v>788</v>
      </c>
      <c r="M50" s="53" t="s">
        <v>788</v>
      </c>
      <c r="N50" s="53" t="s">
        <v>788</v>
      </c>
      <c r="O50" s="53" t="s">
        <v>788</v>
      </c>
      <c r="P50" s="32">
        <v>2848</v>
      </c>
      <c r="Q50" s="32"/>
      <c r="R50" s="32">
        <f>+P50-P50*F50</f>
        <v>2848</v>
      </c>
      <c r="S50" s="107">
        <f>R50/H50/12</f>
        <v>47.466666666666669</v>
      </c>
      <c r="T50" s="107">
        <f>IF(Q50&gt;0,0,IF((OR((AF50&gt;AG50),(AH50&lt;AI50))),0,IF((AND((AH50&gt;=AI50),(AH50&lt;=AG50))),S50*((AH50-AI50)*12),IF((AND((AI50&lt;=AF50),(AG50&gt;=AF50))),((AG50-AF50)*12)*S50,IF(AH50&gt;AG50,12*S50,0)))))</f>
        <v>0</v>
      </c>
      <c r="U50" s="107">
        <f>IF(Q50=0,0,IF((AND((AJ50&gt;=AI50),(AJ50&lt;=AH50))),((AJ50-AI50)*12)*S50,0))</f>
        <v>0</v>
      </c>
      <c r="V50" s="107">
        <f>IF(U50&gt;0,U50,T50)</f>
        <v>0</v>
      </c>
      <c r="W50" s="105">
        <v>1</v>
      </c>
      <c r="X50" s="107">
        <f>W50*SUM(T50:U50)</f>
        <v>0</v>
      </c>
      <c r="Y50" s="105"/>
      <c r="Z50" s="107">
        <f>IF(AF50&gt;AG50,0,IF(AH50&lt;AI50,R50,IF((AND((AH50&gt;=AI50),(AH50&lt;=AG50))),(R50-V50),IF((AND((AI50&lt;=AF50),(AG50&gt;=AF50))),0,IF(AH50&gt;AG50,((AI50-AF50)*12)*S50,0)))))</f>
        <v>2848</v>
      </c>
      <c r="AA50" s="107">
        <f>Z50*W50</f>
        <v>2848</v>
      </c>
      <c r="AB50" s="105">
        <v>1</v>
      </c>
      <c r="AC50" s="107">
        <f>AA50*AB50</f>
        <v>2848</v>
      </c>
      <c r="AD50" s="107">
        <f>IF(Q50&gt;0,0,AC50+X50*AB50)*AB50</f>
        <v>2848</v>
      </c>
      <c r="AE50" s="107">
        <f>IF(Q50&gt;0,(P50-AC50)/2,IF(AF50&gt;=AI50,(((P50*W50)*AB50)-AD50)/2,((((P50*W50)*AB50)-AC50)+(((P50*W50)*AB50)-AD50))/2))</f>
        <v>0</v>
      </c>
      <c r="AF50" s="107">
        <f>$D50+(($E50-1)/12)</f>
        <v>2002.5</v>
      </c>
      <c r="AG50" s="107">
        <f>($R$5+1)-($R$2/12)</f>
        <v>2017.5</v>
      </c>
      <c r="AH50" s="107">
        <f>$I50+(($E50-1)/12)</f>
        <v>2007.5</v>
      </c>
      <c r="AI50" s="108">
        <f>$R$4+($R$3/12)</f>
        <v>2016.5</v>
      </c>
      <c r="AJ50" s="108">
        <f>$J50+(($K50-1)/12)</f>
        <v>-8.3333333333333329E-2</v>
      </c>
      <c r="AK50" s="108">
        <f>$I50+(($E50-1)/12)</f>
        <v>2007.5</v>
      </c>
      <c r="AL50" s="108">
        <f>$R$4+($R$3/12)</f>
        <v>2016.5</v>
      </c>
      <c r="AM50" s="108">
        <f>$J50+(($K50-1)/12)</f>
        <v>-8.3333333333333329E-2</v>
      </c>
    </row>
    <row r="51" spans="1:39" x14ac:dyDescent="0.25">
      <c r="A51">
        <v>50</v>
      </c>
      <c r="B51" t="s">
        <v>484</v>
      </c>
      <c r="C51" t="s">
        <v>785</v>
      </c>
      <c r="D51" s="34">
        <v>2002</v>
      </c>
      <c r="E51" s="34">
        <v>7</v>
      </c>
      <c r="F51" s="75"/>
      <c r="G51" s="34" t="s">
        <v>433</v>
      </c>
      <c r="H51" s="34">
        <v>5</v>
      </c>
      <c r="I51">
        <f>+D51+H51</f>
        <v>2007</v>
      </c>
      <c r="L51" s="53" t="s">
        <v>788</v>
      </c>
      <c r="M51" s="53" t="s">
        <v>788</v>
      </c>
      <c r="N51" s="53" t="s">
        <v>788</v>
      </c>
      <c r="O51" s="53" t="s">
        <v>788</v>
      </c>
      <c r="P51" s="32">
        <v>1513</v>
      </c>
      <c r="Q51" s="32"/>
      <c r="R51" s="32">
        <f>+P51-P51*F51</f>
        <v>1513</v>
      </c>
      <c r="S51" s="107">
        <f>R51/H51/12</f>
        <v>25.216666666666669</v>
      </c>
      <c r="T51" s="107">
        <f>IF(Q51&gt;0,0,IF((OR((AF51&gt;AG51),(AH51&lt;AI51))),0,IF((AND((AH51&gt;=AI51),(AH51&lt;=AG51))),S51*((AH51-AI51)*12),IF((AND((AI51&lt;=AF51),(AG51&gt;=AF51))),((AG51-AF51)*12)*S51,IF(AH51&gt;AG51,12*S51,0)))))</f>
        <v>0</v>
      </c>
      <c r="U51" s="107">
        <f>IF(Q51=0,0,IF((AND((AJ51&gt;=AI51),(AJ51&lt;=AH51))),((AJ51-AI51)*12)*S51,0))</f>
        <v>0</v>
      </c>
      <c r="V51" s="107">
        <f>IF(U51&gt;0,U51,T51)</f>
        <v>0</v>
      </c>
      <c r="W51" s="105">
        <v>1</v>
      </c>
      <c r="X51" s="107">
        <f>W51*SUM(T51:U51)</f>
        <v>0</v>
      </c>
      <c r="Y51" s="105"/>
      <c r="Z51" s="107">
        <f>IF(AF51&gt;AG51,0,IF(AH51&lt;AI51,R51,IF((AND((AH51&gt;=AI51),(AH51&lt;=AG51))),(R51-V51),IF((AND((AI51&lt;=AF51),(AG51&gt;=AF51))),0,IF(AH51&gt;AG51,((AI51-AF51)*12)*S51,0)))))</f>
        <v>1513</v>
      </c>
      <c r="AA51" s="107">
        <f>Z51*W51</f>
        <v>1513</v>
      </c>
      <c r="AB51" s="105">
        <v>1</v>
      </c>
      <c r="AC51" s="107">
        <f>AA51*AB51</f>
        <v>1513</v>
      </c>
      <c r="AD51" s="107">
        <f>IF(Q51&gt;0,0,AC51+X51*AB51)*AB51</f>
        <v>1513</v>
      </c>
      <c r="AE51" s="107">
        <f>IF(Q51&gt;0,(P51-AC51)/2,IF(AF51&gt;=AI51,(((P51*W51)*AB51)-AD51)/2,((((P51*W51)*AB51)-AC51)+(((P51*W51)*AB51)-AD51))/2))</f>
        <v>0</v>
      </c>
      <c r="AF51" s="107">
        <f>$D51+(($E51-1)/12)</f>
        <v>2002.5</v>
      </c>
      <c r="AG51" s="107">
        <f>($R$5+1)-($R$2/12)</f>
        <v>2017.5</v>
      </c>
      <c r="AH51" s="107">
        <f>$I51+(($E51-1)/12)</f>
        <v>2007.5</v>
      </c>
      <c r="AI51" s="108">
        <f>$R$4+($R$3/12)</f>
        <v>2016.5</v>
      </c>
      <c r="AJ51" s="108">
        <f>$J51+(($K51-1)/12)</f>
        <v>-8.3333333333333329E-2</v>
      </c>
      <c r="AK51" s="108">
        <f>$I51+(($E51-1)/12)</f>
        <v>2007.5</v>
      </c>
      <c r="AL51" s="108">
        <f>$R$4+($R$3/12)</f>
        <v>2016.5</v>
      </c>
      <c r="AM51" s="108">
        <f>$J51+(($K51-1)/12)</f>
        <v>-8.3333333333333329E-2</v>
      </c>
    </row>
    <row r="52" spans="1:39" x14ac:dyDescent="0.25">
      <c r="A52">
        <v>51</v>
      </c>
      <c r="B52" t="s">
        <v>485</v>
      </c>
      <c r="C52" t="s">
        <v>785</v>
      </c>
      <c r="D52" s="34">
        <v>2002</v>
      </c>
      <c r="E52" s="34">
        <v>9</v>
      </c>
      <c r="F52" s="75"/>
      <c r="G52" s="34" t="s">
        <v>433</v>
      </c>
      <c r="H52" s="34">
        <v>5</v>
      </c>
      <c r="I52">
        <f>+D52+H52</f>
        <v>2007</v>
      </c>
      <c r="L52" s="53" t="s">
        <v>788</v>
      </c>
      <c r="M52" s="53" t="s">
        <v>788</v>
      </c>
      <c r="N52" s="53" t="s">
        <v>788</v>
      </c>
      <c r="O52" s="53" t="s">
        <v>788</v>
      </c>
      <c r="P52" s="32">
        <v>13982</v>
      </c>
      <c r="Q52" s="32"/>
      <c r="R52" s="32">
        <f>+P52-P52*F52</f>
        <v>13982</v>
      </c>
      <c r="S52" s="107">
        <f>R52/H52/12</f>
        <v>233.03333333333333</v>
      </c>
      <c r="T52" s="107">
        <f>IF(Q52&gt;0,0,IF((OR((AF52&gt;AG52),(AH52&lt;AI52))),0,IF((AND((AH52&gt;=AI52),(AH52&lt;=AG52))),S52*((AH52-AI52)*12),IF((AND((AI52&lt;=AF52),(AG52&gt;=AF52))),((AG52-AF52)*12)*S52,IF(AH52&gt;AG52,12*S52,0)))))</f>
        <v>0</v>
      </c>
      <c r="U52" s="107">
        <f>IF(Q52=0,0,IF((AND((AJ52&gt;=AI52),(AJ52&lt;=AH52))),((AJ52-AI52)*12)*S52,0))</f>
        <v>0</v>
      </c>
      <c r="V52" s="107">
        <f>IF(U52&gt;0,U52,T52)</f>
        <v>0</v>
      </c>
      <c r="W52" s="105">
        <v>1</v>
      </c>
      <c r="X52" s="107">
        <f>W52*SUM(T52:U52)</f>
        <v>0</v>
      </c>
      <c r="Y52" s="105"/>
      <c r="Z52" s="107">
        <f>IF(AF52&gt;AG52,0,IF(AH52&lt;AI52,R52,IF((AND((AH52&gt;=AI52),(AH52&lt;=AG52))),(R52-V52),IF((AND((AI52&lt;=AF52),(AG52&gt;=AF52))),0,IF(AH52&gt;AG52,((AI52-AF52)*12)*S52,0)))))</f>
        <v>13982</v>
      </c>
      <c r="AA52" s="107">
        <f>Z52*W52</f>
        <v>13982</v>
      </c>
      <c r="AB52" s="105">
        <v>1</v>
      </c>
      <c r="AC52" s="107">
        <f>AA52*AB52</f>
        <v>13982</v>
      </c>
      <c r="AD52" s="107">
        <f>IF(Q52&gt;0,0,AC52+X52*AB52)*AB52</f>
        <v>13982</v>
      </c>
      <c r="AE52" s="107">
        <f>IF(Q52&gt;0,(P52-AC52)/2,IF(AF52&gt;=AI52,(((P52*W52)*AB52)-AD52)/2,((((P52*W52)*AB52)-AC52)+(((P52*W52)*AB52)-AD52))/2))</f>
        <v>0</v>
      </c>
      <c r="AF52" s="107">
        <f>$D52+(($E52-1)/12)</f>
        <v>2002.6666666666667</v>
      </c>
      <c r="AG52" s="107">
        <f>($R$5+1)-($R$2/12)</f>
        <v>2017.5</v>
      </c>
      <c r="AH52" s="107">
        <f>$I52+(($E52-1)/12)</f>
        <v>2007.6666666666667</v>
      </c>
      <c r="AI52" s="108">
        <f>$R$4+($R$3/12)</f>
        <v>2016.5</v>
      </c>
      <c r="AJ52" s="108">
        <f>$J52+(($K52-1)/12)</f>
        <v>-8.3333333333333329E-2</v>
      </c>
      <c r="AK52" s="108">
        <f>$I52+(($E52-1)/12)</f>
        <v>2007.6666666666667</v>
      </c>
      <c r="AL52" s="108">
        <f>$R$4+($R$3/12)</f>
        <v>2016.5</v>
      </c>
      <c r="AM52" s="108">
        <f>$J52+(($K52-1)/12)</f>
        <v>-8.3333333333333329E-2</v>
      </c>
    </row>
    <row r="53" spans="1:39" x14ac:dyDescent="0.25">
      <c r="A53">
        <v>52</v>
      </c>
      <c r="B53" t="s">
        <v>486</v>
      </c>
      <c r="C53" t="s">
        <v>785</v>
      </c>
      <c r="D53" s="34">
        <v>2003</v>
      </c>
      <c r="E53" s="34">
        <v>8</v>
      </c>
      <c r="F53" s="75"/>
      <c r="G53" s="34" t="s">
        <v>433</v>
      </c>
      <c r="H53" s="34">
        <v>10</v>
      </c>
      <c r="I53">
        <f>+D53+H53</f>
        <v>2013</v>
      </c>
      <c r="L53" s="53" t="s">
        <v>788</v>
      </c>
      <c r="M53" s="53" t="s">
        <v>788</v>
      </c>
      <c r="N53" s="53" t="s">
        <v>788</v>
      </c>
      <c r="O53" s="53" t="s">
        <v>788</v>
      </c>
      <c r="P53" s="110">
        <v>21498</v>
      </c>
      <c r="Q53" s="110"/>
      <c r="R53" s="110">
        <f>+P53-P53*F53</f>
        <v>21498</v>
      </c>
      <c r="S53" s="111">
        <f>R53/H53/12</f>
        <v>179.15</v>
      </c>
      <c r="T53" s="111">
        <f>IF(Q53&gt;0,0,IF((OR((AF53&gt;AG53),(AH53&lt;AI53))),0,IF((AND((AH53&gt;=AI53),(AH53&lt;=AG53))),S53*((AH53-AI53)*12),IF((AND((AI53&lt;=AF53),(AG53&gt;=AF53))),((AG53-AF53)*12)*S53,IF(AH53&gt;AG53,12*S53,0)))))</f>
        <v>0</v>
      </c>
      <c r="U53" s="111">
        <f>IF(Q53=0,0,IF((AND((AJ53&gt;=AI53),(AJ53&lt;=AH53))),((AJ53-AI53)*12)*S53,0))</f>
        <v>0</v>
      </c>
      <c r="V53" s="111">
        <f>IF(U53&gt;0,U53,T53)</f>
        <v>0</v>
      </c>
      <c r="W53" s="112">
        <v>1</v>
      </c>
      <c r="X53" s="111">
        <f>W53*SUM(T53:U53)</f>
        <v>0</v>
      </c>
      <c r="Y53" s="112"/>
      <c r="Z53" s="111">
        <f>IF(AF53&gt;AG53,0,IF(AH53&lt;AI53,R53,IF((AND((AH53&gt;=AI53),(AH53&lt;=AG53))),(R53-V53),IF((AND((AI53&lt;=AF53),(AG53&gt;=AF53))),0,IF(AH53&gt;AG53,((AI53-AF53)*12)*S53,0)))))</f>
        <v>21498</v>
      </c>
      <c r="AA53" s="111">
        <f>Z53*W53</f>
        <v>21498</v>
      </c>
      <c r="AB53" s="112">
        <v>1</v>
      </c>
      <c r="AC53" s="111">
        <f>AA53*AB53</f>
        <v>21498</v>
      </c>
      <c r="AD53" s="111">
        <f>IF(Q53&gt;0,0,AC53+X53*AB53)*AB53</f>
        <v>21498</v>
      </c>
      <c r="AE53" s="111">
        <f>IF(Q53&gt;0,(P53-AC53)/2,IF(AF53&gt;=AI53,(((P53*W53)*AB53)-AD53)/2,((((P53*W53)*AB53)-AC53)+(((P53*W53)*AB53)-AD53))/2))</f>
        <v>0</v>
      </c>
      <c r="AF53" s="107">
        <f>$D53+(($E53-1)/12)</f>
        <v>2003.5833333333333</v>
      </c>
      <c r="AG53" s="107">
        <f>($R$5+1)-($R$2/12)</f>
        <v>2017.5</v>
      </c>
      <c r="AH53" s="107">
        <f>$I53+(($E53-1)/12)</f>
        <v>2013.5833333333333</v>
      </c>
      <c r="AI53" s="108">
        <f>$R$4+($R$3/12)</f>
        <v>2016.5</v>
      </c>
      <c r="AJ53" s="108">
        <f>$J53+(($K53-1)/12)</f>
        <v>-8.3333333333333329E-2</v>
      </c>
      <c r="AK53" s="108">
        <f>$I53+(($E53-1)/12)</f>
        <v>2013.5833333333333</v>
      </c>
      <c r="AL53" s="108">
        <f>$R$4+($R$3/12)</f>
        <v>2016.5</v>
      </c>
      <c r="AM53" s="108">
        <f>$J53+(($K53-1)/12)</f>
        <v>-8.3333333333333329E-2</v>
      </c>
    </row>
    <row r="54" spans="1:39" x14ac:dyDescent="0.25">
      <c r="A54">
        <v>54</v>
      </c>
      <c r="B54" t="s">
        <v>459</v>
      </c>
      <c r="C54" t="s">
        <v>785</v>
      </c>
      <c r="D54" s="34">
        <v>1996</v>
      </c>
      <c r="E54" s="34">
        <v>11</v>
      </c>
      <c r="F54" s="75"/>
      <c r="G54" s="34" t="s">
        <v>433</v>
      </c>
      <c r="H54" s="34">
        <v>7</v>
      </c>
      <c r="I54">
        <f>+D54+H54</f>
        <v>2003</v>
      </c>
      <c r="L54" s="53" t="s">
        <v>788</v>
      </c>
      <c r="M54" s="53" t="s">
        <v>788</v>
      </c>
      <c r="N54" s="53" t="s">
        <v>788</v>
      </c>
      <c r="O54" s="53" t="s">
        <v>788</v>
      </c>
      <c r="P54" s="32">
        <v>5140</v>
      </c>
      <c r="Q54" s="32"/>
      <c r="R54" s="32">
        <f>+P54-P54*F54</f>
        <v>5140</v>
      </c>
      <c r="S54" s="107">
        <f>R54/H54/12</f>
        <v>61.190476190476197</v>
      </c>
      <c r="T54" s="107">
        <f>IF(Q54&gt;0,0,IF((OR((AF54&gt;AG54),(AH54&lt;AI54))),0,IF((AND((AH54&gt;=AI54),(AH54&lt;=AG54))),S54*((AH54-AI54)*12),IF((AND((AI54&lt;=AF54),(AG54&gt;=AF54))),((AG54-AF54)*12)*S54,IF(AH54&gt;AG54,12*S54,0)))))</f>
        <v>0</v>
      </c>
      <c r="U54" s="107">
        <f>IF(Q54=0,0,IF((AND((AJ54&gt;=AI54),(AJ54&lt;=AH54))),((AJ54-AI54)*12)*S54,0))</f>
        <v>0</v>
      </c>
      <c r="V54" s="107">
        <f>IF(U54&gt;0,U54,T54)</f>
        <v>0</v>
      </c>
      <c r="W54" s="105">
        <v>1</v>
      </c>
      <c r="X54" s="107">
        <f>W54*SUM(T54:U54)</f>
        <v>0</v>
      </c>
      <c r="Y54" s="105"/>
      <c r="Z54" s="107">
        <f>IF(AF54&gt;AG54,0,IF(AH54&lt;AI54,R54,IF((AND((AH54&gt;=AI54),(AH54&lt;=AG54))),(R54-V54),IF((AND((AI54&lt;=AF54),(AG54&gt;=AF54))),0,IF(AH54&gt;AG54,((AI54-AF54)*12)*S54,0)))))</f>
        <v>5140</v>
      </c>
      <c r="AA54" s="107">
        <f>Z54*W54</f>
        <v>5140</v>
      </c>
      <c r="AB54" s="105">
        <v>1</v>
      </c>
      <c r="AC54" s="107">
        <f>AA54*AB54</f>
        <v>5140</v>
      </c>
      <c r="AD54" s="107">
        <f>IF(Q54&gt;0,0,AC54+X54*AB54)*AB54</f>
        <v>5140</v>
      </c>
      <c r="AE54" s="107">
        <f>IF(Q54&gt;0,(P54-AC54)/2,IF(AF54&gt;=AI54,(((P54*W54)*AB54)-AD54)/2,((((P54*W54)*AB54)-AC54)+(((P54*W54)*AB54)-AD54))/2))</f>
        <v>0</v>
      </c>
      <c r="AF54" s="107">
        <f>$D54+(($E54-1)/12)</f>
        <v>1996.8333333333333</v>
      </c>
      <c r="AG54" s="107">
        <f>($R$5+1)-($R$2/12)</f>
        <v>2017.5</v>
      </c>
      <c r="AH54" s="107">
        <f>$I54+(($E54-1)/12)</f>
        <v>2003.8333333333333</v>
      </c>
      <c r="AI54" s="108">
        <f>$R$4+($R$3/12)</f>
        <v>2016.5</v>
      </c>
      <c r="AJ54" s="108">
        <f>$J54+(($K54-1)/12)</f>
        <v>-8.3333333333333329E-2</v>
      </c>
      <c r="AK54" s="108">
        <f>$I54+(($E54-1)/12)</f>
        <v>2003.8333333333333</v>
      </c>
      <c r="AL54" s="108">
        <f>$R$4+($R$3/12)</f>
        <v>2016.5</v>
      </c>
      <c r="AM54" s="108">
        <f>$J54+(($K54-1)/12)</f>
        <v>-8.3333333333333329E-2</v>
      </c>
    </row>
    <row r="55" spans="1:39" x14ac:dyDescent="0.25">
      <c r="A55">
        <v>79</v>
      </c>
      <c r="B55" t="s">
        <v>501</v>
      </c>
      <c r="C55" t="s">
        <v>785</v>
      </c>
      <c r="D55" s="34">
        <v>2009</v>
      </c>
      <c r="E55" s="34">
        <v>10</v>
      </c>
      <c r="F55" s="75"/>
      <c r="G55" s="34" t="s">
        <v>433</v>
      </c>
      <c r="H55" s="34">
        <v>7</v>
      </c>
      <c r="I55">
        <f>+D55+H55</f>
        <v>2016</v>
      </c>
      <c r="L55" s="53" t="s">
        <v>788</v>
      </c>
      <c r="M55" s="53" t="s">
        <v>788</v>
      </c>
      <c r="N55" s="53" t="s">
        <v>788</v>
      </c>
      <c r="O55" s="53" t="s">
        <v>788</v>
      </c>
      <c r="P55" s="32">
        <v>3172</v>
      </c>
      <c r="Q55" s="32"/>
      <c r="R55" s="32">
        <f>+P55-P55*F55</f>
        <v>3172</v>
      </c>
      <c r="S55" s="107">
        <f>R55/H55/12</f>
        <v>37.761904761904766</v>
      </c>
      <c r="T55" s="107">
        <f>IF(Q55&gt;0,0,IF((OR((AF55&gt;AG55),(AH55&lt;AI55))),0,IF((AND((AH55&gt;=AI55),(AH55&lt;=AG55))),S55*((AH55-AI55)*12),IF((AND((AI55&lt;=AF55),(AG55&gt;=AF55))),((AG55-AF55)*12)*S55,IF(AH55&gt;AG55,12*S55,0)))))</f>
        <v>113.28571428571431</v>
      </c>
      <c r="U55" s="107">
        <f>IF(Q55=0,0,IF((AND((AJ55&gt;=AI55),(AJ55&lt;=AH55))),((AJ55-AI55)*12)*S55,0))</f>
        <v>0</v>
      </c>
      <c r="V55" s="107">
        <f>IF(U55&gt;0,U55,T55)</f>
        <v>113.28571428571431</v>
      </c>
      <c r="W55" s="105">
        <v>1</v>
      </c>
      <c r="X55" s="107">
        <f>W55*SUM(T55:U55)</f>
        <v>113.28571428571431</v>
      </c>
      <c r="Y55" s="105"/>
      <c r="Z55" s="107">
        <f>IF(AF55&gt;AG55,0,IF(AH55&lt;AI55,R55,IF((AND((AH55&gt;=AI55),(AH55&lt;=AG55))),(R55-V55),IF((AND((AI55&lt;=AF55),(AG55&gt;=AF55))),0,IF(AH55&gt;AG55,((AI55-AF55)*12)*S55,0)))))</f>
        <v>3058.7142857142858</v>
      </c>
      <c r="AA55" s="107">
        <f>Z55*W55</f>
        <v>3058.7142857142858</v>
      </c>
      <c r="AB55" s="105">
        <v>1</v>
      </c>
      <c r="AC55" s="107">
        <f>AA55*AB55</f>
        <v>3058.7142857142858</v>
      </c>
      <c r="AD55" s="107">
        <f>IF(Q55&gt;0,0,AC55+X55*AB55)*AB55</f>
        <v>3172</v>
      </c>
      <c r="AE55" s="107">
        <f>IF(Q55&gt;0,(P55-AC55)/2,IF(AF55&gt;=AI55,(((P55*W55)*AB55)-AD55)/2,((((P55*W55)*AB55)-AC55)+(((P55*W55)*AB55)-AD55))/2))</f>
        <v>56.64285714285711</v>
      </c>
      <c r="AF55" s="107">
        <f>$D55+(($E55-1)/12)</f>
        <v>2009.75</v>
      </c>
      <c r="AG55" s="107">
        <f>($R$5+1)-($R$2/12)</f>
        <v>2017.5</v>
      </c>
      <c r="AH55" s="107">
        <f>$I55+(($E55-1)/12)</f>
        <v>2016.75</v>
      </c>
      <c r="AI55" s="108">
        <f>$R$4+($R$3/12)</f>
        <v>2016.5</v>
      </c>
      <c r="AJ55" s="108">
        <f>$J55+(($K55-1)/12)</f>
        <v>-8.3333333333333329E-2</v>
      </c>
      <c r="AK55" s="108">
        <f>$I55+(($E55-1)/12)</f>
        <v>2016.75</v>
      </c>
      <c r="AL55" s="108">
        <f>$R$4+($R$3/12)</f>
        <v>2016.5</v>
      </c>
      <c r="AM55" s="108">
        <f>$J55+(($K55-1)/12)</f>
        <v>-8.3333333333333329E-2</v>
      </c>
    </row>
    <row r="56" spans="1:39" x14ac:dyDescent="0.25">
      <c r="A56">
        <v>80</v>
      </c>
      <c r="B56" t="s">
        <v>502</v>
      </c>
      <c r="C56" t="s">
        <v>785</v>
      </c>
      <c r="D56" s="34">
        <v>2009</v>
      </c>
      <c r="E56" s="34">
        <v>11</v>
      </c>
      <c r="F56" s="75"/>
      <c r="G56" s="34" t="s">
        <v>433</v>
      </c>
      <c r="H56" s="34">
        <v>7</v>
      </c>
      <c r="I56">
        <f>+D56+H56</f>
        <v>2016</v>
      </c>
      <c r="L56" s="53" t="s">
        <v>788</v>
      </c>
      <c r="M56" s="53" t="s">
        <v>788</v>
      </c>
      <c r="N56" s="53" t="s">
        <v>788</v>
      </c>
      <c r="O56" s="53" t="s">
        <v>788</v>
      </c>
      <c r="P56" s="32">
        <v>4758</v>
      </c>
      <c r="Q56" s="32"/>
      <c r="R56" s="32">
        <f>+P56-P56*F56</f>
        <v>4758</v>
      </c>
      <c r="S56" s="107">
        <f>R56/H56/12</f>
        <v>56.642857142857139</v>
      </c>
      <c r="T56" s="107">
        <f>IF(Q56&gt;0,0,IF((OR((AF56&gt;AG56),(AH56&lt;AI56))),0,IF((AND((AH56&gt;=AI56),(AH56&lt;=AG56))),S56*((AH56-AI56)*12),IF((AND((AI56&lt;=AF56),(AG56&gt;=AF56))),((AG56-AF56)*12)*S56,IF(AH56&gt;AG56,12*S56,0)))))</f>
        <v>226.57142857137703</v>
      </c>
      <c r="U56" s="107">
        <f>IF(Q56=0,0,IF((AND((AJ56&gt;=AI56),(AJ56&lt;=AH56))),((AJ56-AI56)*12)*S56,0))</f>
        <v>0</v>
      </c>
      <c r="V56" s="107">
        <f>IF(U56&gt;0,U56,T56)</f>
        <v>226.57142857137703</v>
      </c>
      <c r="W56" s="105">
        <v>1</v>
      </c>
      <c r="X56" s="107">
        <f>W56*SUM(T56:U56)</f>
        <v>226.57142857137703</v>
      </c>
      <c r="Y56" s="105"/>
      <c r="Z56" s="107">
        <f>IF(AF56&gt;AG56,0,IF(AH56&lt;AI56,R56,IF((AND((AH56&gt;=AI56),(AH56&lt;=AG56))),(R56-V56),IF((AND((AI56&lt;=AF56),(AG56&gt;=AF56))),0,IF(AH56&gt;AG56,((AI56-AF56)*12)*S56,0)))))</f>
        <v>4531.4285714286234</v>
      </c>
      <c r="AA56" s="107">
        <f>Z56*W56</f>
        <v>4531.4285714286234</v>
      </c>
      <c r="AB56" s="105">
        <v>1</v>
      </c>
      <c r="AC56" s="107">
        <f>AA56*AB56</f>
        <v>4531.4285714286234</v>
      </c>
      <c r="AD56" s="107">
        <f>IF(Q56&gt;0,0,AC56+X56*AB56)*AB56</f>
        <v>4758</v>
      </c>
      <c r="AE56" s="107">
        <f>IF(Q56&gt;0,(P56-AC56)/2,IF(AF56&gt;=AI56,(((P56*W56)*AB56)-AD56)/2,((((P56*W56)*AB56)-AC56)+(((P56*W56)*AB56)-AD56))/2))</f>
        <v>113.2857142856883</v>
      </c>
      <c r="AF56" s="107">
        <f>$D56+(($E56-1)/12)</f>
        <v>2009.8333333333333</v>
      </c>
      <c r="AG56" s="107">
        <f>($R$5+1)-($R$2/12)</f>
        <v>2017.5</v>
      </c>
      <c r="AH56" s="107">
        <f>$I56+(($E56-1)/12)</f>
        <v>2016.8333333333333</v>
      </c>
      <c r="AI56" s="108">
        <f>$R$4+($R$3/12)</f>
        <v>2016.5</v>
      </c>
      <c r="AJ56" s="108">
        <f>$J56+(($K56-1)/12)</f>
        <v>-8.3333333333333329E-2</v>
      </c>
      <c r="AK56" s="108">
        <f>$I56+(($E56-1)/12)</f>
        <v>2016.8333333333333</v>
      </c>
      <c r="AL56" s="108">
        <f>$R$4+($R$3/12)</f>
        <v>2016.5</v>
      </c>
      <c r="AM56" s="108">
        <f>$J56+(($K56-1)/12)</f>
        <v>-8.3333333333333329E-2</v>
      </c>
    </row>
    <row r="57" spans="1:39" x14ac:dyDescent="0.25">
      <c r="A57">
        <v>95</v>
      </c>
      <c r="B57" t="s">
        <v>513</v>
      </c>
      <c r="C57" t="s">
        <v>785</v>
      </c>
      <c r="D57" s="34">
        <v>2009</v>
      </c>
      <c r="E57" s="34">
        <v>5</v>
      </c>
      <c r="F57" s="75"/>
      <c r="G57" s="34" t="s">
        <v>433</v>
      </c>
      <c r="H57" s="34">
        <v>7</v>
      </c>
      <c r="I57">
        <f>+D57+H57</f>
        <v>2016</v>
      </c>
      <c r="L57" s="53" t="s">
        <v>788</v>
      </c>
      <c r="M57" s="53" t="s">
        <v>788</v>
      </c>
      <c r="N57" s="53" t="s">
        <v>788</v>
      </c>
      <c r="O57" s="53" t="s">
        <v>788</v>
      </c>
      <c r="P57" s="32">
        <v>3900</v>
      </c>
      <c r="Q57" s="32"/>
      <c r="R57" s="32">
        <f>+P57-P57*F57</f>
        <v>3900</v>
      </c>
      <c r="S57" s="107">
        <f>R57/H57/12</f>
        <v>46.428571428571423</v>
      </c>
      <c r="T57" s="107">
        <f>IF(Q57&gt;0,0,IF((OR((AF57&gt;AG57),(AH57&lt;AI57))),0,IF((AND((AH57&gt;=AI57),(AH57&lt;=AG57))),S57*((AH57-AI57)*12),IF((AND((AI57&lt;=AF57),(AG57&gt;=AF57))),((AG57-AF57)*12)*S57,IF(AH57&gt;AG57,12*S57,0)))))</f>
        <v>0</v>
      </c>
      <c r="U57" s="107">
        <f>IF(Q57=0,0,IF((AND((AJ57&gt;=AI57),(AJ57&lt;=AH57))),((AJ57-AI57)*12)*S57,0))</f>
        <v>0</v>
      </c>
      <c r="V57" s="107">
        <f>IF(U57&gt;0,U57,T57)</f>
        <v>0</v>
      </c>
      <c r="W57" s="105">
        <v>1</v>
      </c>
      <c r="X57" s="107">
        <f>W57*SUM(T57:U57)</f>
        <v>0</v>
      </c>
      <c r="Y57" s="105"/>
      <c r="Z57" s="107">
        <f>IF(AF57&gt;AG57,0,IF(AH57&lt;AI57,R57,IF((AND((AH57&gt;=AI57),(AH57&lt;=AG57))),(R57-V57),IF((AND((AI57&lt;=AF57),(AG57&gt;=AF57))),0,IF(AH57&gt;AG57,((AI57-AF57)*12)*S57,0)))))</f>
        <v>3900</v>
      </c>
      <c r="AA57" s="107">
        <f>Z57*W57</f>
        <v>3900</v>
      </c>
      <c r="AB57" s="105">
        <v>1</v>
      </c>
      <c r="AC57" s="107">
        <f>AA57*AB57</f>
        <v>3900</v>
      </c>
      <c r="AD57" s="107">
        <f>IF(Q57&gt;0,0,AC57+X57*AB57)*AB57</f>
        <v>3900</v>
      </c>
      <c r="AE57" s="107">
        <f>IF(Q57&gt;0,(P57-AC57)/2,IF(AF57&gt;=AI57,(((P57*W57)*AB57)-AD57)/2,((((P57*W57)*AB57)-AC57)+(((P57*W57)*AB57)-AD57))/2))</f>
        <v>0</v>
      </c>
      <c r="AF57" s="107">
        <f>$D57+(($E57-1)/12)</f>
        <v>2009.3333333333333</v>
      </c>
      <c r="AG57" s="107">
        <f>($R$5+1)-($R$2/12)</f>
        <v>2017.5</v>
      </c>
      <c r="AH57" s="107">
        <f>$I57+(($E57-1)/12)</f>
        <v>2016.3333333333333</v>
      </c>
      <c r="AI57" s="108">
        <f>$R$4+($R$3/12)</f>
        <v>2016.5</v>
      </c>
      <c r="AJ57" s="108">
        <f>$J57+(($K57-1)/12)</f>
        <v>-8.3333333333333329E-2</v>
      </c>
      <c r="AK57" s="108">
        <f>$I57+(($E57-1)/12)</f>
        <v>2016.3333333333333</v>
      </c>
      <c r="AL57" s="108">
        <f>$R$4+($R$3/12)</f>
        <v>2016.5</v>
      </c>
      <c r="AM57" s="108">
        <f>$J57+(($K57-1)/12)</f>
        <v>-8.3333333333333329E-2</v>
      </c>
    </row>
    <row r="58" spans="1:39" x14ac:dyDescent="0.25">
      <c r="A58">
        <v>98</v>
      </c>
      <c r="B58" t="s">
        <v>516</v>
      </c>
      <c r="C58" t="s">
        <v>785</v>
      </c>
      <c r="D58" s="34">
        <v>2009</v>
      </c>
      <c r="E58" s="34">
        <v>7</v>
      </c>
      <c r="F58" s="75"/>
      <c r="G58" s="34" t="s">
        <v>433</v>
      </c>
      <c r="H58" s="34">
        <v>7</v>
      </c>
      <c r="I58">
        <f>+D58+H58</f>
        <v>2016</v>
      </c>
      <c r="L58" s="53" t="s">
        <v>788</v>
      </c>
      <c r="M58" s="53" t="s">
        <v>788</v>
      </c>
      <c r="N58" s="53" t="s">
        <v>788</v>
      </c>
      <c r="O58" s="53" t="s">
        <v>788</v>
      </c>
      <c r="P58" s="32">
        <v>6023</v>
      </c>
      <c r="Q58" s="32"/>
      <c r="R58" s="32">
        <f>+P58-P58*F58</f>
        <v>6023</v>
      </c>
      <c r="S58" s="107">
        <f>R58/H58/12</f>
        <v>71.702380952380949</v>
      </c>
      <c r="T58" s="107">
        <f>IF(Q58&gt;0,0,IF((OR((AF58&gt;AG58),(AH58&lt;AI58))),0,IF((AND((AH58&gt;=AI58),(AH58&lt;=AG58))),S58*((AH58-AI58)*12),IF((AND((AI58&lt;=AF58),(AG58&gt;=AF58))),((AG58-AF58)*12)*S58,IF(AH58&gt;AG58,12*S58,0)))))</f>
        <v>0</v>
      </c>
      <c r="U58" s="107">
        <f>IF(Q58=0,0,IF((AND((AJ58&gt;=AI58),(AJ58&lt;=AH58))),((AJ58-AI58)*12)*S58,0))</f>
        <v>0</v>
      </c>
      <c r="V58" s="107">
        <f>IF(U58&gt;0,U58,T58)</f>
        <v>0</v>
      </c>
      <c r="W58" s="105">
        <v>1</v>
      </c>
      <c r="X58" s="107">
        <f>W58*SUM(T58:U58)</f>
        <v>0</v>
      </c>
      <c r="Y58" s="105"/>
      <c r="Z58" s="107">
        <f>IF(AF58&gt;AG58,0,IF(AH58&lt;AI58,R58,IF((AND((AH58&gt;=AI58),(AH58&lt;=AG58))),(R58-V58),IF((AND((AI58&lt;=AF58),(AG58&gt;=AF58))),0,IF(AH58&gt;AG58,((AI58-AF58)*12)*S58,0)))))</f>
        <v>6023</v>
      </c>
      <c r="AA58" s="107">
        <f>Z58*W58</f>
        <v>6023</v>
      </c>
      <c r="AB58" s="105">
        <v>1</v>
      </c>
      <c r="AC58" s="107">
        <f>AA58*AB58</f>
        <v>6023</v>
      </c>
      <c r="AD58" s="107">
        <f>IF(Q58&gt;0,0,AC58+X58*AB58)*AB58</f>
        <v>6023</v>
      </c>
      <c r="AE58" s="107">
        <f>IF(Q58&gt;0,(P58-AC58)/2,IF(AF58&gt;=AI58,(((P58*W58)*AB58)-AD58)/2,((((P58*W58)*AB58)-AC58)+(((P58*W58)*AB58)-AD58))/2))</f>
        <v>0</v>
      </c>
      <c r="AF58" s="107">
        <f>$D58+(($E58-1)/12)</f>
        <v>2009.5</v>
      </c>
      <c r="AG58" s="107">
        <f>($R$5+1)-($R$2/12)</f>
        <v>2017.5</v>
      </c>
      <c r="AH58" s="107">
        <f>$I58+(($E58-1)/12)</f>
        <v>2016.5</v>
      </c>
      <c r="AI58" s="108">
        <f>$R$4+($R$3/12)</f>
        <v>2016.5</v>
      </c>
      <c r="AJ58" s="108">
        <f>$J58+(($K58-1)/12)</f>
        <v>-8.3333333333333329E-2</v>
      </c>
      <c r="AK58" s="108">
        <f>$I58+(($E58-1)/12)</f>
        <v>2016.5</v>
      </c>
      <c r="AL58" s="108">
        <f>$R$4+($R$3/12)</f>
        <v>2016.5</v>
      </c>
      <c r="AM58" s="108">
        <f>$J58+(($K58-1)/12)</f>
        <v>-8.3333333333333329E-2</v>
      </c>
    </row>
    <row r="59" spans="1:39" x14ac:dyDescent="0.25">
      <c r="A59">
        <v>104</v>
      </c>
      <c r="B59" t="s">
        <v>517</v>
      </c>
      <c r="C59" t="s">
        <v>785</v>
      </c>
      <c r="D59" s="34">
        <v>2010</v>
      </c>
      <c r="E59" s="34">
        <v>1</v>
      </c>
      <c r="F59" s="75"/>
      <c r="G59" s="34" t="s">
        <v>433</v>
      </c>
      <c r="H59" s="34">
        <v>7</v>
      </c>
      <c r="I59">
        <f>+D59+H59</f>
        <v>2017</v>
      </c>
      <c r="L59" s="53" t="s">
        <v>788</v>
      </c>
      <c r="M59" s="53" t="s">
        <v>788</v>
      </c>
      <c r="N59" s="53" t="s">
        <v>788</v>
      </c>
      <c r="O59" s="53" t="s">
        <v>788</v>
      </c>
      <c r="P59" s="32">
        <v>3172</v>
      </c>
      <c r="Q59" s="32"/>
      <c r="R59" s="32">
        <f>+P59-P59*F59</f>
        <v>3172</v>
      </c>
      <c r="S59" s="107">
        <f>R59/H59/12</f>
        <v>37.761904761904766</v>
      </c>
      <c r="T59" s="107">
        <f>IF(Q59&gt;0,0,IF((OR((AF59&gt;AG59),(AH59&lt;AI59))),0,IF((AND((AH59&gt;=AI59),(AH59&lt;=AG59))),S59*((AH59-AI59)*12),IF((AND((AI59&lt;=AF59),(AG59&gt;=AF59))),((AG59-AF59)*12)*S59,IF(AH59&gt;AG59,12*S59,0)))))</f>
        <v>226.57142857142861</v>
      </c>
      <c r="U59" s="107">
        <f>IF(Q59=0,0,IF((AND((AJ59&gt;=AI59),(AJ59&lt;=AH59))),((AJ59-AI59)*12)*S59,0))</f>
        <v>0</v>
      </c>
      <c r="V59" s="107">
        <f>IF(U59&gt;0,U59,T59)</f>
        <v>226.57142857142861</v>
      </c>
      <c r="W59" s="105">
        <v>1</v>
      </c>
      <c r="X59" s="107">
        <f>W59*SUM(T59:U59)</f>
        <v>226.57142857142861</v>
      </c>
      <c r="Y59" s="105"/>
      <c r="Z59" s="107">
        <f>IF(AF59&gt;AG59,0,IF(AH59&lt;AI59,R59,IF((AND((AH59&gt;=AI59),(AH59&lt;=AG59))),(R59-V59),IF((AND((AI59&lt;=AF59),(AG59&gt;=AF59))),0,IF(AH59&gt;AG59,((AI59-AF59)*12)*S59,0)))))</f>
        <v>2945.4285714285716</v>
      </c>
      <c r="AA59" s="107">
        <f>Z59*W59</f>
        <v>2945.4285714285716</v>
      </c>
      <c r="AB59" s="105">
        <v>1</v>
      </c>
      <c r="AC59" s="107">
        <f>AA59*AB59</f>
        <v>2945.4285714285716</v>
      </c>
      <c r="AD59" s="107">
        <f>IF(Q59&gt;0,0,AC59+X59*AB59)*AB59</f>
        <v>3172</v>
      </c>
      <c r="AE59" s="107">
        <f>IF(Q59&gt;0,(P59-AC59)/2,IF(AF59&gt;=AI59,(((P59*W59)*AB59)-AD59)/2,((((P59*W59)*AB59)-AC59)+(((P59*W59)*AB59)-AD59))/2))</f>
        <v>113.28571428571422</v>
      </c>
      <c r="AF59" s="107">
        <f>$D59+(($E59-1)/12)</f>
        <v>2010</v>
      </c>
      <c r="AG59" s="107">
        <f>($R$5+1)-($R$2/12)</f>
        <v>2017.5</v>
      </c>
      <c r="AH59" s="107">
        <f>$I59+(($E59-1)/12)</f>
        <v>2017</v>
      </c>
      <c r="AI59" s="108">
        <f>$R$4+($R$3/12)</f>
        <v>2016.5</v>
      </c>
      <c r="AJ59" s="108">
        <f>$J59+(($K59-1)/12)</f>
        <v>-8.3333333333333329E-2</v>
      </c>
      <c r="AK59" s="108">
        <f>$I59+(($E59-1)/12)</f>
        <v>2017</v>
      </c>
      <c r="AL59" s="108">
        <f>$R$4+($R$3/12)</f>
        <v>2016.5</v>
      </c>
      <c r="AM59" s="108">
        <f>$J59+(($K59-1)/12)</f>
        <v>-8.3333333333333329E-2</v>
      </c>
    </row>
    <row r="60" spans="1:39" x14ac:dyDescent="0.25">
      <c r="A60">
        <v>105</v>
      </c>
      <c r="B60" t="s">
        <v>518</v>
      </c>
      <c r="C60" t="s">
        <v>785</v>
      </c>
      <c r="D60" s="34">
        <v>2010</v>
      </c>
      <c r="E60" s="34">
        <v>1</v>
      </c>
      <c r="F60" s="75"/>
      <c r="G60" s="34" t="s">
        <v>433</v>
      </c>
      <c r="H60" s="34">
        <v>7</v>
      </c>
      <c r="I60">
        <f>+D60+H60</f>
        <v>2017</v>
      </c>
      <c r="L60" s="53" t="s">
        <v>788</v>
      </c>
      <c r="M60" s="53" t="s">
        <v>788</v>
      </c>
      <c r="N60" s="53" t="s">
        <v>788</v>
      </c>
      <c r="O60" s="53" t="s">
        <v>788</v>
      </c>
      <c r="P60" s="32">
        <v>4758</v>
      </c>
      <c r="Q60" s="32"/>
      <c r="R60" s="32">
        <f>+P60-P60*F60</f>
        <v>4758</v>
      </c>
      <c r="S60" s="107">
        <f>R60/H60/12</f>
        <v>56.642857142857139</v>
      </c>
      <c r="T60" s="107">
        <f>IF(Q60&gt;0,0,IF((OR((AF60&gt;AG60),(AH60&lt;AI60))),0,IF((AND((AH60&gt;=AI60),(AH60&lt;=AG60))),S60*((AH60-AI60)*12),IF((AND((AI60&lt;=AF60),(AG60&gt;=AF60))),((AG60-AF60)*12)*S60,IF(AH60&gt;AG60,12*S60,0)))))</f>
        <v>339.85714285714283</v>
      </c>
      <c r="U60" s="107">
        <f>IF(Q60=0,0,IF((AND((AJ60&gt;=AI60),(AJ60&lt;=AH60))),((AJ60-AI60)*12)*S60,0))</f>
        <v>0</v>
      </c>
      <c r="V60" s="107">
        <f>IF(U60&gt;0,U60,T60)</f>
        <v>339.85714285714283</v>
      </c>
      <c r="W60" s="105">
        <v>1</v>
      </c>
      <c r="X60" s="107">
        <f>W60*SUM(T60:U60)</f>
        <v>339.85714285714283</v>
      </c>
      <c r="Y60" s="105"/>
      <c r="Z60" s="107">
        <f>IF(AF60&gt;AG60,0,IF(AH60&lt;AI60,R60,IF((AND((AH60&gt;=AI60),(AH60&lt;=AG60))),(R60-V60),IF((AND((AI60&lt;=AF60),(AG60&gt;=AF60))),0,IF(AH60&gt;AG60,((AI60-AF60)*12)*S60,0)))))</f>
        <v>4418.1428571428569</v>
      </c>
      <c r="AA60" s="107">
        <f>Z60*W60</f>
        <v>4418.1428571428569</v>
      </c>
      <c r="AB60" s="105">
        <v>1</v>
      </c>
      <c r="AC60" s="107">
        <f>AA60*AB60</f>
        <v>4418.1428571428569</v>
      </c>
      <c r="AD60" s="107">
        <f>IF(Q60&gt;0,0,AC60+X60*AB60)*AB60</f>
        <v>4758</v>
      </c>
      <c r="AE60" s="107">
        <f>IF(Q60&gt;0,(P60-AC60)/2,IF(AF60&gt;=AI60,(((P60*W60)*AB60)-AD60)/2,((((P60*W60)*AB60)-AC60)+(((P60*W60)*AB60)-AD60))/2))</f>
        <v>169.92857142857156</v>
      </c>
      <c r="AF60" s="107">
        <f>$D60+(($E60-1)/12)</f>
        <v>2010</v>
      </c>
      <c r="AG60" s="107">
        <f>($R$5+1)-($R$2/12)</f>
        <v>2017.5</v>
      </c>
      <c r="AH60" s="107">
        <f>$I60+(($E60-1)/12)</f>
        <v>2017</v>
      </c>
      <c r="AI60" s="108">
        <f>$R$4+($R$3/12)</f>
        <v>2016.5</v>
      </c>
      <c r="AJ60" s="108">
        <f>$J60+(($K60-1)/12)</f>
        <v>-8.3333333333333329E-2</v>
      </c>
      <c r="AK60" s="108">
        <f>$I60+(($E60-1)/12)</f>
        <v>2017</v>
      </c>
      <c r="AL60" s="108">
        <f>$R$4+($R$3/12)</f>
        <v>2016.5</v>
      </c>
      <c r="AM60" s="108">
        <f>$J60+(($K60-1)/12)</f>
        <v>-8.3333333333333329E-2</v>
      </c>
    </row>
    <row r="61" spans="1:39" x14ac:dyDescent="0.25">
      <c r="A61">
        <v>120</v>
      </c>
      <c r="B61" t="s">
        <v>527</v>
      </c>
      <c r="C61" t="s">
        <v>785</v>
      </c>
      <c r="D61" s="34">
        <v>2011</v>
      </c>
      <c r="E61" s="34">
        <v>6</v>
      </c>
      <c r="F61" s="75"/>
      <c r="G61" s="34" t="s">
        <v>433</v>
      </c>
      <c r="H61" s="34">
        <v>7</v>
      </c>
      <c r="I61">
        <f>+D61+H61</f>
        <v>2018</v>
      </c>
      <c r="L61" s="53" t="s">
        <v>788</v>
      </c>
      <c r="M61" s="53" t="s">
        <v>788</v>
      </c>
      <c r="N61" s="53" t="s">
        <v>788</v>
      </c>
      <c r="O61" s="53" t="s">
        <v>788</v>
      </c>
      <c r="P61" s="32">
        <v>1595</v>
      </c>
      <c r="Q61" s="32"/>
      <c r="R61" s="32">
        <f>+P61-P61*F61</f>
        <v>1595</v>
      </c>
      <c r="S61" s="107">
        <f>R61/H61/12</f>
        <v>18.988095238095237</v>
      </c>
      <c r="T61" s="107">
        <f>IF(Q61&gt;0,0,IF((OR((AF61&gt;AG61),(AH61&lt;AI61))),0,IF((AND((AH61&gt;=AI61),(AH61&lt;=AG61))),S61*((AH61-AI61)*12),IF((AND((AI61&lt;=AF61),(AG61&gt;=AF61))),((AG61-AF61)*12)*S61,IF(AH61&gt;AG61,12*S61,0)))))</f>
        <v>227.85714285714283</v>
      </c>
      <c r="U61" s="107">
        <f>IF(Q61=0,0,IF((AND((AJ61&gt;=AI61),(AJ61&lt;=AH61))),((AJ61-AI61)*12)*S61,0))</f>
        <v>0</v>
      </c>
      <c r="V61" s="107">
        <f>IF(U61&gt;0,U61,T61)</f>
        <v>227.85714285714283</v>
      </c>
      <c r="W61" s="105">
        <v>1</v>
      </c>
      <c r="X61" s="107">
        <f>W61*SUM(T61:U61)</f>
        <v>227.85714285714283</v>
      </c>
      <c r="Y61" s="105"/>
      <c r="Z61" s="107">
        <f>IF(AF61&gt;AG61,0,IF(AH61&lt;AI61,R61,IF((AND((AH61&gt;=AI61),(AH61&lt;=AG61))),(R61-V61),IF((AND((AI61&lt;=AF61),(AG61&gt;=AF61))),0,IF(AH61&gt;AG61,((AI61-AF61)*12)*S61,0)))))</f>
        <v>1158.2738095237921</v>
      </c>
      <c r="AA61" s="107">
        <f>Z61*W61</f>
        <v>1158.2738095237921</v>
      </c>
      <c r="AB61" s="105">
        <v>1</v>
      </c>
      <c r="AC61" s="107">
        <f>AA61*AB61</f>
        <v>1158.2738095237921</v>
      </c>
      <c r="AD61" s="107">
        <f>IF(Q61&gt;0,0,AC61+X61*AB61)*AB61</f>
        <v>1386.130952380935</v>
      </c>
      <c r="AE61" s="107">
        <f>IF(Q61&gt;0,(P61-AC61)/2,IF(AF61&gt;=AI61,(((P61*W61)*AB61)-AD61)/2,((((P61*W61)*AB61)-AC61)+(((P61*W61)*AB61)-AD61))/2))</f>
        <v>322.79761904763643</v>
      </c>
      <c r="AF61" s="107">
        <f>$D61+(($E61-1)/12)</f>
        <v>2011.4166666666667</v>
      </c>
      <c r="AG61" s="107">
        <f>($R$5+1)-($R$2/12)</f>
        <v>2017.5</v>
      </c>
      <c r="AH61" s="107">
        <f>$I61+(($E61-1)/12)</f>
        <v>2018.4166666666667</v>
      </c>
      <c r="AI61" s="108">
        <f>$R$4+($R$3/12)</f>
        <v>2016.5</v>
      </c>
      <c r="AJ61" s="108">
        <f>$J61+(($K61-1)/12)</f>
        <v>-8.3333333333333329E-2</v>
      </c>
      <c r="AK61" s="108">
        <f>$I61+(($E61-1)/12)</f>
        <v>2018.4166666666667</v>
      </c>
      <c r="AL61" s="108">
        <f>$R$4+($R$3/12)</f>
        <v>2016.5</v>
      </c>
      <c r="AM61" s="108">
        <f>$J61+(($K61-1)/12)</f>
        <v>-8.3333333333333329E-2</v>
      </c>
    </row>
    <row r="62" spans="1:39" x14ac:dyDescent="0.25">
      <c r="A62">
        <v>121</v>
      </c>
      <c r="B62" t="s">
        <v>527</v>
      </c>
      <c r="C62" t="s">
        <v>785</v>
      </c>
      <c r="D62" s="34">
        <v>2011</v>
      </c>
      <c r="E62" s="34">
        <v>7</v>
      </c>
      <c r="F62" s="75"/>
      <c r="G62" s="34" t="s">
        <v>433</v>
      </c>
      <c r="H62" s="34">
        <v>7</v>
      </c>
      <c r="I62">
        <f>+D62+H62</f>
        <v>2018</v>
      </c>
      <c r="L62" s="53" t="s">
        <v>788</v>
      </c>
      <c r="M62" s="53" t="s">
        <v>788</v>
      </c>
      <c r="N62" s="53" t="s">
        <v>788</v>
      </c>
      <c r="O62" s="53" t="s">
        <v>788</v>
      </c>
      <c r="P62" s="32">
        <v>705</v>
      </c>
      <c r="Q62" s="32"/>
      <c r="R62" s="32">
        <f>+P62-P62*F62</f>
        <v>705</v>
      </c>
      <c r="S62" s="107">
        <f>R62/H62/12</f>
        <v>8.3928571428571423</v>
      </c>
      <c r="T62" s="107">
        <f>IF(Q62&gt;0,0,IF((OR((AF62&gt;AG62),(AH62&lt;AI62))),0,IF((AND((AH62&gt;=AI62),(AH62&lt;=AG62))),S62*((AH62-AI62)*12),IF((AND((AI62&lt;=AF62),(AG62&gt;=AF62))),((AG62-AF62)*12)*S62,IF(AH62&gt;AG62,12*S62,0)))))</f>
        <v>100.71428571428571</v>
      </c>
      <c r="U62" s="107">
        <f>IF(Q62=0,0,IF((AND((AJ62&gt;=AI62),(AJ62&lt;=AH62))),((AJ62-AI62)*12)*S62,0))</f>
        <v>0</v>
      </c>
      <c r="V62" s="107">
        <f>IF(U62&gt;0,U62,T62)</f>
        <v>100.71428571428571</v>
      </c>
      <c r="W62" s="105">
        <v>1</v>
      </c>
      <c r="X62" s="107">
        <f>W62*SUM(T62:U62)</f>
        <v>100.71428571428571</v>
      </c>
      <c r="Y62" s="105"/>
      <c r="Z62" s="107">
        <f>IF(AF62&gt;AG62,0,IF(AH62&lt;AI62,R62,IF((AND((AH62&gt;=AI62),(AH62&lt;=AG62))),(R62-V62),IF((AND((AI62&lt;=AF62),(AG62&gt;=AF62))),0,IF(AH62&gt;AG62,((AI62-AF62)*12)*S62,0)))))</f>
        <v>503.57142857142856</v>
      </c>
      <c r="AA62" s="107">
        <f>Z62*W62</f>
        <v>503.57142857142856</v>
      </c>
      <c r="AB62" s="105">
        <v>1</v>
      </c>
      <c r="AC62" s="107">
        <f>AA62*AB62</f>
        <v>503.57142857142856</v>
      </c>
      <c r="AD62" s="107">
        <f>IF(Q62&gt;0,0,AC62+X62*AB62)*AB62</f>
        <v>604.28571428571422</v>
      </c>
      <c r="AE62" s="107">
        <f>IF(Q62&gt;0,(P62-AC62)/2,IF(AF62&gt;=AI62,(((P62*W62)*AB62)-AD62)/2,((((P62*W62)*AB62)-AC62)+(((P62*W62)*AB62)-AD62))/2))</f>
        <v>151.07142857142861</v>
      </c>
      <c r="AF62" s="107">
        <f>$D62+(($E62-1)/12)</f>
        <v>2011.5</v>
      </c>
      <c r="AG62" s="107">
        <f>($R$5+1)-($R$2/12)</f>
        <v>2017.5</v>
      </c>
      <c r="AH62" s="107">
        <f>$I62+(($E62-1)/12)</f>
        <v>2018.5</v>
      </c>
      <c r="AI62" s="108">
        <f>$R$4+($R$3/12)</f>
        <v>2016.5</v>
      </c>
      <c r="AJ62" s="108">
        <f>$J62+(($K62-1)/12)</f>
        <v>-8.3333333333333329E-2</v>
      </c>
      <c r="AK62" s="108">
        <f>$I62+(($E62-1)/12)</f>
        <v>2018.5</v>
      </c>
      <c r="AL62" s="108">
        <f>$R$4+($R$3/12)</f>
        <v>2016.5</v>
      </c>
      <c r="AM62" s="108">
        <f>$J62+(($K62-1)/12)</f>
        <v>-8.3333333333333329E-2</v>
      </c>
    </row>
    <row r="63" spans="1:39" x14ac:dyDescent="0.25">
      <c r="A63">
        <v>122</v>
      </c>
      <c r="B63" t="s">
        <v>528</v>
      </c>
      <c r="C63" t="s">
        <v>785</v>
      </c>
      <c r="D63" s="34">
        <v>2011</v>
      </c>
      <c r="E63" s="34">
        <v>8</v>
      </c>
      <c r="F63" s="75"/>
      <c r="G63" s="34" t="s">
        <v>433</v>
      </c>
      <c r="H63" s="34">
        <v>7</v>
      </c>
      <c r="I63">
        <f>+D63+H63</f>
        <v>2018</v>
      </c>
      <c r="L63" s="53" t="s">
        <v>788</v>
      </c>
      <c r="M63" s="53" t="s">
        <v>788</v>
      </c>
      <c r="N63" s="53" t="s">
        <v>788</v>
      </c>
      <c r="O63" s="53" t="s">
        <v>788</v>
      </c>
      <c r="P63" s="32">
        <v>9209</v>
      </c>
      <c r="Q63" s="32"/>
      <c r="R63" s="32">
        <f>+P63-P63*F63</f>
        <v>9209</v>
      </c>
      <c r="S63" s="107">
        <f>R63/H63/12</f>
        <v>109.63095238095239</v>
      </c>
      <c r="T63" s="107">
        <f>IF(Q63&gt;0,0,IF((OR((AF63&gt;AG63),(AH63&lt;AI63))),0,IF((AND((AH63&gt;=AI63),(AH63&lt;=AG63))),S63*((AH63-AI63)*12),IF((AND((AI63&lt;=AF63),(AG63&gt;=AF63))),((AG63-AF63)*12)*S63,IF(AH63&gt;AG63,12*S63,0)))))</f>
        <v>1315.5714285714287</v>
      </c>
      <c r="U63" s="107">
        <f>IF(Q63=0,0,IF((AND((AJ63&gt;=AI63),(AJ63&lt;=AH63))),((AJ63-AI63)*12)*S63,0))</f>
        <v>0</v>
      </c>
      <c r="V63" s="107">
        <f>IF(U63&gt;0,U63,T63)</f>
        <v>1315.5714285714287</v>
      </c>
      <c r="W63" s="105">
        <v>1</v>
      </c>
      <c r="X63" s="107">
        <f>W63*SUM(T63:U63)</f>
        <v>1315.5714285714287</v>
      </c>
      <c r="Y63" s="105"/>
      <c r="Z63" s="107">
        <f>IF(AF63&gt;AG63,0,IF(AH63&lt;AI63,R63,IF((AND((AH63&gt;=AI63),(AH63&lt;=AG63))),(R63-V63),IF((AND((AI63&lt;=AF63),(AG63&gt;=AF63))),0,IF(AH63&gt;AG63,((AI63-AF63)*12)*S63,0)))))</f>
        <v>6468.2261904762909</v>
      </c>
      <c r="AA63" s="107">
        <f>Z63*W63</f>
        <v>6468.2261904762909</v>
      </c>
      <c r="AB63" s="105">
        <v>1</v>
      </c>
      <c r="AC63" s="107">
        <f>AA63*AB63</f>
        <v>6468.2261904762909</v>
      </c>
      <c r="AD63" s="107">
        <f>IF(Q63&gt;0,0,AC63+X63*AB63)*AB63</f>
        <v>7783.7976190477193</v>
      </c>
      <c r="AE63" s="107">
        <f>IF(Q63&gt;0,(P63-AC63)/2,IF(AF63&gt;=AI63,(((P63*W63)*AB63)-AD63)/2,((((P63*W63)*AB63)-AC63)+(((P63*W63)*AB63)-AD63))/2))</f>
        <v>2082.9880952379949</v>
      </c>
      <c r="AF63" s="107">
        <f>$D63+(($E63-1)/12)</f>
        <v>2011.5833333333333</v>
      </c>
      <c r="AG63" s="107">
        <f>($R$5+1)-($R$2/12)</f>
        <v>2017.5</v>
      </c>
      <c r="AH63" s="107">
        <f>$I63+(($E63-1)/12)</f>
        <v>2018.5833333333333</v>
      </c>
      <c r="AI63" s="108">
        <f>$R$4+($R$3/12)</f>
        <v>2016.5</v>
      </c>
      <c r="AJ63" s="108">
        <f>$J63+(($K63-1)/12)</f>
        <v>-8.3333333333333329E-2</v>
      </c>
      <c r="AK63" s="108">
        <f>$I63+(($E63-1)/12)</f>
        <v>2018.5833333333333</v>
      </c>
      <c r="AL63" s="108">
        <f>$R$4+($R$3/12)</f>
        <v>2016.5</v>
      </c>
      <c r="AM63" s="108">
        <f>$J63+(($K63-1)/12)</f>
        <v>-8.3333333333333329E-2</v>
      </c>
    </row>
    <row r="64" spans="1:39" x14ac:dyDescent="0.25">
      <c r="A64">
        <v>133</v>
      </c>
      <c r="B64" t="s">
        <v>538</v>
      </c>
      <c r="C64" t="s">
        <v>785</v>
      </c>
      <c r="D64" s="34">
        <v>2011</v>
      </c>
      <c r="E64" s="34">
        <v>2</v>
      </c>
      <c r="F64" s="75"/>
      <c r="G64" s="34" t="s">
        <v>433</v>
      </c>
      <c r="H64" s="34">
        <v>5</v>
      </c>
      <c r="I64">
        <f>+D64+H64</f>
        <v>2016</v>
      </c>
      <c r="L64" s="53" t="s">
        <v>788</v>
      </c>
      <c r="M64" s="53" t="s">
        <v>788</v>
      </c>
      <c r="N64" s="53" t="s">
        <v>788</v>
      </c>
      <c r="O64" s="53" t="s">
        <v>788</v>
      </c>
      <c r="P64" s="32">
        <v>3546</v>
      </c>
      <c r="Q64" s="32"/>
      <c r="R64" s="32">
        <f>+P64-P64*F64</f>
        <v>3546</v>
      </c>
      <c r="S64" s="107">
        <f>R64/H64/12</f>
        <v>59.1</v>
      </c>
      <c r="T64" s="107">
        <f>IF(Q64&gt;0,0,IF((OR((AF64&gt;AG64),(AH64&lt;AI64))),0,IF((AND((AH64&gt;=AI64),(AH64&lt;=AG64))),S64*((AH64-AI64)*12),IF((AND((AI64&lt;=AF64),(AG64&gt;=AF64))),((AG64-AF64)*12)*S64,IF(AH64&gt;AG64,12*S64,0)))))</f>
        <v>0</v>
      </c>
      <c r="U64" s="107">
        <f>IF(Q64=0,0,IF((AND((AJ64&gt;=AI64),(AJ64&lt;=AH64))),((AJ64-AI64)*12)*S64,0))</f>
        <v>0</v>
      </c>
      <c r="V64" s="107">
        <f>IF(U64&gt;0,U64,T64)</f>
        <v>0</v>
      </c>
      <c r="W64" s="105">
        <v>1</v>
      </c>
      <c r="X64" s="107">
        <f>W64*SUM(T64:U64)</f>
        <v>0</v>
      </c>
      <c r="Y64" s="105"/>
      <c r="Z64" s="107">
        <f>IF(AF64&gt;AG64,0,IF(AH64&lt;AI64,R64,IF((AND((AH64&gt;=AI64),(AH64&lt;=AG64))),(R64-V64),IF((AND((AI64&lt;=AF64),(AG64&gt;=AF64))),0,IF(AH64&gt;AG64,((AI64-AF64)*12)*S64,0)))))</f>
        <v>3546</v>
      </c>
      <c r="AA64" s="107">
        <f>Z64*W64</f>
        <v>3546</v>
      </c>
      <c r="AB64" s="105">
        <v>1</v>
      </c>
      <c r="AC64" s="107">
        <f>AA64*AB64</f>
        <v>3546</v>
      </c>
      <c r="AD64" s="107">
        <f>IF(Q64&gt;0,0,AC64+X64*AB64)*AB64</f>
        <v>3546</v>
      </c>
      <c r="AE64" s="107">
        <f>IF(Q64&gt;0,(P64-AC64)/2,IF(AF64&gt;=AI64,(((P64*W64)*AB64)-AD64)/2,((((P64*W64)*AB64)-AC64)+(((P64*W64)*AB64)-AD64))/2))</f>
        <v>0</v>
      </c>
      <c r="AF64" s="107">
        <f>$D64+(($E64-1)/12)</f>
        <v>2011.0833333333333</v>
      </c>
      <c r="AG64" s="107">
        <f>($R$5+1)-($R$2/12)</f>
        <v>2017.5</v>
      </c>
      <c r="AH64" s="107">
        <f>$I64+(($E64-1)/12)</f>
        <v>2016.0833333333333</v>
      </c>
      <c r="AI64" s="108">
        <f>$R$4+($R$3/12)</f>
        <v>2016.5</v>
      </c>
      <c r="AJ64" s="108">
        <f>$J64+(($K64-1)/12)</f>
        <v>-8.3333333333333329E-2</v>
      </c>
      <c r="AK64" s="108">
        <f>$I64+(($E64-1)/12)</f>
        <v>2016.0833333333333</v>
      </c>
      <c r="AL64" s="108">
        <f>$R$4+($R$3/12)</f>
        <v>2016.5</v>
      </c>
      <c r="AM64" s="108">
        <f>$J64+(($K64-1)/12)</f>
        <v>-8.3333333333333329E-2</v>
      </c>
    </row>
    <row r="65" spans="1:39" x14ac:dyDescent="0.25">
      <c r="A65">
        <v>150</v>
      </c>
      <c r="B65" t="s">
        <v>546</v>
      </c>
      <c r="C65" t="s">
        <v>785</v>
      </c>
      <c r="D65" s="34">
        <v>2012</v>
      </c>
      <c r="E65" s="34">
        <v>10</v>
      </c>
      <c r="F65" s="75"/>
      <c r="G65" s="34" t="s">
        <v>433</v>
      </c>
      <c r="H65" s="34">
        <v>5</v>
      </c>
      <c r="I65">
        <f>+D65+H65</f>
        <v>2017</v>
      </c>
      <c r="L65" s="53" t="s">
        <v>788</v>
      </c>
      <c r="M65" s="53" t="s">
        <v>788</v>
      </c>
      <c r="N65" s="53" t="s">
        <v>788</v>
      </c>
      <c r="O65" s="53" t="s">
        <v>788</v>
      </c>
      <c r="P65" s="32">
        <v>18017</v>
      </c>
      <c r="Q65" s="32"/>
      <c r="R65" s="32">
        <f>+P65-P65*F65</f>
        <v>18017</v>
      </c>
      <c r="S65" s="107">
        <f>R65/H65/12</f>
        <v>300.28333333333336</v>
      </c>
      <c r="T65" s="107">
        <f>IF(Q65&gt;0,0,IF((OR((AF65&gt;AG65),(AH65&lt;AI65))),0,IF((AND((AH65&gt;=AI65),(AH65&lt;=AG65))),S65*((AH65-AI65)*12),IF((AND((AI65&lt;=AF65),(AG65&gt;=AF65))),((AG65-AF65)*12)*S65,IF(AH65&gt;AG65,12*S65,0)))))</f>
        <v>3603.4000000000005</v>
      </c>
      <c r="U65" s="107">
        <f>IF(Q65=0,0,IF((AND((AJ65&gt;=AI65),(AJ65&lt;=AH65))),((AJ65-AI65)*12)*S65,0))</f>
        <v>0</v>
      </c>
      <c r="V65" s="107">
        <f>IF(U65&gt;0,U65,T65)</f>
        <v>3603.4000000000005</v>
      </c>
      <c r="W65" s="105">
        <v>1</v>
      </c>
      <c r="X65" s="107">
        <f>W65*SUM(T65:U65)</f>
        <v>3603.4000000000005</v>
      </c>
      <c r="Y65" s="105"/>
      <c r="Z65" s="107">
        <f>IF(AF65&gt;AG65,0,IF(AH65&lt;AI65,R65,IF((AND((AH65&gt;=AI65),(AH65&lt;=AG65))),(R65-V65),IF((AND((AI65&lt;=AF65),(AG65&gt;=AF65))),0,IF(AH65&gt;AG65,((AI65-AF65)*12)*S65,0)))))</f>
        <v>13512.750000000002</v>
      </c>
      <c r="AA65" s="107">
        <f>Z65*W65</f>
        <v>13512.750000000002</v>
      </c>
      <c r="AB65" s="105">
        <v>1</v>
      </c>
      <c r="AC65" s="107">
        <f>AA65*AB65</f>
        <v>13512.750000000002</v>
      </c>
      <c r="AD65" s="107">
        <f>IF(Q65&gt;0,0,AC65+X65*AB65)*AB65</f>
        <v>17116.150000000001</v>
      </c>
      <c r="AE65" s="107">
        <f>IF(Q65&gt;0,(P65-AC65)/2,IF(AF65&gt;=AI65,(((P65*W65)*AB65)-AD65)/2,((((P65*W65)*AB65)-AC65)+(((P65*W65)*AB65)-AD65))/2))</f>
        <v>2702.5499999999984</v>
      </c>
      <c r="AF65" s="107">
        <f>$D65+(($E65-1)/12)</f>
        <v>2012.75</v>
      </c>
      <c r="AG65" s="107">
        <f>($R$5+1)-($R$2/12)</f>
        <v>2017.5</v>
      </c>
      <c r="AH65" s="107">
        <f>$I65+(($E65-1)/12)</f>
        <v>2017.75</v>
      </c>
      <c r="AI65" s="108">
        <f>$R$4+($R$3/12)</f>
        <v>2016.5</v>
      </c>
      <c r="AJ65" s="108">
        <f>$J65+(($K65-1)/12)</f>
        <v>-8.3333333333333329E-2</v>
      </c>
      <c r="AK65" s="108">
        <f>$I65+(($E65-1)/12)</f>
        <v>2017.75</v>
      </c>
      <c r="AL65" s="108">
        <f>$R$4+($R$3/12)</f>
        <v>2016.5</v>
      </c>
      <c r="AM65" s="108">
        <f>$J65+(($K65-1)/12)</f>
        <v>-8.3333333333333329E-2</v>
      </c>
    </row>
    <row r="66" spans="1:39" x14ac:dyDescent="0.25">
      <c r="A66">
        <v>164</v>
      </c>
      <c r="B66" t="s">
        <v>557</v>
      </c>
      <c r="C66" t="s">
        <v>785</v>
      </c>
      <c r="D66" s="34">
        <v>2012</v>
      </c>
      <c r="E66" s="34">
        <v>10</v>
      </c>
      <c r="F66" s="75"/>
      <c r="G66" s="34" t="s">
        <v>433</v>
      </c>
      <c r="H66" s="34">
        <v>7</v>
      </c>
      <c r="I66">
        <f>+D66+H66</f>
        <v>2019</v>
      </c>
      <c r="L66" s="53" t="s">
        <v>788</v>
      </c>
      <c r="M66" s="53" t="s">
        <v>788</v>
      </c>
      <c r="N66" s="53" t="s">
        <v>788</v>
      </c>
      <c r="O66" s="53" t="s">
        <v>788</v>
      </c>
      <c r="P66" s="32">
        <v>8128</v>
      </c>
      <c r="Q66" s="32"/>
      <c r="R66" s="32">
        <f>+P66-P66*F66</f>
        <v>8128</v>
      </c>
      <c r="S66" s="107">
        <f>R66/H66/12</f>
        <v>96.761904761904759</v>
      </c>
      <c r="T66" s="107">
        <f>IF(Q66&gt;0,0,IF((OR((AF66&gt;AG66),(AH66&lt;AI66))),0,IF((AND((AH66&gt;=AI66),(AH66&lt;=AG66))),S66*((AH66-AI66)*12),IF((AND((AI66&lt;=AF66),(AG66&gt;=AF66))),((AG66-AF66)*12)*S66,IF(AH66&gt;AG66,12*S66,0)))))</f>
        <v>1161.1428571428571</v>
      </c>
      <c r="U66" s="107">
        <f>IF(Q66=0,0,IF((AND((AJ66&gt;=AI66),(AJ66&lt;=AH66))),((AJ66-AI66)*12)*S66,0))</f>
        <v>0</v>
      </c>
      <c r="V66" s="107">
        <f>IF(U66&gt;0,U66,T66)</f>
        <v>1161.1428571428571</v>
      </c>
      <c r="W66" s="105">
        <v>1</v>
      </c>
      <c r="X66" s="107">
        <f>W66*SUM(T66:U66)</f>
        <v>1161.1428571428571</v>
      </c>
      <c r="Y66" s="105"/>
      <c r="Z66" s="107">
        <f>IF(AF66&gt;AG66,0,IF(AH66&lt;AI66,R66,IF((AND((AH66&gt;=AI66),(AH66&lt;=AG66))),(R66-V66),IF((AND((AI66&lt;=AF66),(AG66&gt;=AF66))),0,IF(AH66&gt;AG66,((AI66-AF66)*12)*S66,0)))))</f>
        <v>4354.2857142857138</v>
      </c>
      <c r="AA66" s="107">
        <f>Z66*W66</f>
        <v>4354.2857142857138</v>
      </c>
      <c r="AB66" s="105">
        <v>1</v>
      </c>
      <c r="AC66" s="107">
        <f>AA66*AB66</f>
        <v>4354.2857142857138</v>
      </c>
      <c r="AD66" s="107">
        <f>IF(Q66&gt;0,0,AC66+X66*AB66)*AB66</f>
        <v>5515.4285714285706</v>
      </c>
      <c r="AE66" s="107">
        <f>IF(Q66&gt;0,(P66-AC66)/2,IF(AF66&gt;=AI66,(((P66*W66)*AB66)-AD66)/2,((((P66*W66)*AB66)-AC66)+(((P66*W66)*AB66)-AD66))/2))</f>
        <v>3193.1428571428578</v>
      </c>
      <c r="AF66" s="107">
        <f>$D66+(($E66-1)/12)</f>
        <v>2012.75</v>
      </c>
      <c r="AG66" s="107">
        <f>($R$5+1)-($R$2/12)</f>
        <v>2017.5</v>
      </c>
      <c r="AH66" s="107">
        <f>$I66+(($E66-1)/12)</f>
        <v>2019.75</v>
      </c>
      <c r="AI66" s="108">
        <f>$R$4+($R$3/12)</f>
        <v>2016.5</v>
      </c>
      <c r="AJ66" s="108">
        <f>$J66+(($K66-1)/12)</f>
        <v>-8.3333333333333329E-2</v>
      </c>
      <c r="AK66" s="108">
        <f>$I66+(($E66-1)/12)</f>
        <v>2019.75</v>
      </c>
      <c r="AL66" s="108">
        <f>$R$4+($R$3/12)</f>
        <v>2016.5</v>
      </c>
      <c r="AM66" s="108">
        <f>$J66+(($K66-1)/12)</f>
        <v>-8.3333333333333329E-2</v>
      </c>
    </row>
    <row r="67" spans="1:39" x14ac:dyDescent="0.25">
      <c r="A67">
        <v>167</v>
      </c>
      <c r="B67" t="s">
        <v>559</v>
      </c>
      <c r="C67" t="s">
        <v>785</v>
      </c>
      <c r="D67" s="34">
        <v>2012</v>
      </c>
      <c r="E67" s="34">
        <v>2</v>
      </c>
      <c r="F67" s="75"/>
      <c r="G67" s="34" t="s">
        <v>433</v>
      </c>
      <c r="H67" s="34">
        <v>7</v>
      </c>
      <c r="I67">
        <f>+D67+H67</f>
        <v>2019</v>
      </c>
      <c r="L67" s="53" t="s">
        <v>788</v>
      </c>
      <c r="M67" s="53" t="s">
        <v>788</v>
      </c>
      <c r="N67" s="53" t="s">
        <v>788</v>
      </c>
      <c r="O67" s="53" t="s">
        <v>788</v>
      </c>
      <c r="P67" s="32">
        <v>10545</v>
      </c>
      <c r="Q67" s="32"/>
      <c r="R67" s="32">
        <f>+P67-P67*F67</f>
        <v>10545</v>
      </c>
      <c r="S67" s="107">
        <f>R67/H67/12</f>
        <v>125.53571428571428</v>
      </c>
      <c r="T67" s="107">
        <f>IF(Q67&gt;0,0,IF((OR((AF67&gt;AG67),(AH67&lt;AI67))),0,IF((AND((AH67&gt;=AI67),(AH67&lt;=AG67))),S67*((AH67-AI67)*12),IF((AND((AI67&lt;=AF67),(AG67&gt;=AF67))),((AG67-AF67)*12)*S67,IF(AH67&gt;AG67,12*S67,0)))))</f>
        <v>1506.4285714285713</v>
      </c>
      <c r="U67" s="107">
        <f>IF(Q67=0,0,IF((AND((AJ67&gt;=AI67),(AJ67&lt;=AH67))),((AJ67-AI67)*12)*S67,0))</f>
        <v>0</v>
      </c>
      <c r="V67" s="107">
        <f>IF(U67&gt;0,U67,T67)</f>
        <v>1506.4285714285713</v>
      </c>
      <c r="W67" s="105">
        <v>1</v>
      </c>
      <c r="X67" s="107">
        <f>W67*SUM(T67:U67)</f>
        <v>1506.4285714285713</v>
      </c>
      <c r="Y67" s="105"/>
      <c r="Z67" s="107">
        <f>IF(AF67&gt;AG67,0,IF(AH67&lt;AI67,R67,IF((AND((AH67&gt;=AI67),(AH67&lt;=AG67))),(R67-V67),IF((AND((AI67&lt;=AF67),(AG67&gt;=AF67))),0,IF(AH67&gt;AG67,((AI67-AF67)*12)*S67,0)))))</f>
        <v>6653.3928571429706</v>
      </c>
      <c r="AA67" s="107">
        <f>Z67*W67</f>
        <v>6653.3928571429706</v>
      </c>
      <c r="AB67" s="105">
        <v>1</v>
      </c>
      <c r="AC67" s="107">
        <f>AA67*AB67</f>
        <v>6653.3928571429706</v>
      </c>
      <c r="AD67" s="107">
        <f>IF(Q67&gt;0,0,AC67+X67*AB67)*AB67</f>
        <v>8159.8214285715421</v>
      </c>
      <c r="AE67" s="107">
        <f>IF(Q67&gt;0,(P67-AC67)/2,IF(AF67&gt;=AI67,(((P67*W67)*AB67)-AD67)/2,((((P67*W67)*AB67)-AC67)+(((P67*W67)*AB67)-AD67))/2))</f>
        <v>3138.3928571427437</v>
      </c>
      <c r="AF67" s="107">
        <f>$D67+(($E67-1)/12)</f>
        <v>2012.0833333333333</v>
      </c>
      <c r="AG67" s="107">
        <f>($R$5+1)-($R$2/12)</f>
        <v>2017.5</v>
      </c>
      <c r="AH67" s="107">
        <f>$I67+(($E67-1)/12)</f>
        <v>2019.0833333333333</v>
      </c>
      <c r="AI67" s="108">
        <f>$R$4+($R$3/12)</f>
        <v>2016.5</v>
      </c>
      <c r="AJ67" s="108">
        <f>$J67+(($K67-1)/12)</f>
        <v>-8.3333333333333329E-2</v>
      </c>
      <c r="AK67" s="108">
        <f>$I67+(($E67-1)/12)</f>
        <v>2019.0833333333333</v>
      </c>
      <c r="AL67" s="108">
        <f>$R$4+($R$3/12)</f>
        <v>2016.5</v>
      </c>
      <c r="AM67" s="108">
        <f>$J67+(($K67-1)/12)</f>
        <v>-8.3333333333333329E-2</v>
      </c>
    </row>
    <row r="68" spans="1:39" x14ac:dyDescent="0.25">
      <c r="A68">
        <v>171</v>
      </c>
      <c r="B68" t="s">
        <v>560</v>
      </c>
      <c r="C68" t="s">
        <v>785</v>
      </c>
      <c r="D68" s="34">
        <v>2012</v>
      </c>
      <c r="E68" s="34">
        <v>5</v>
      </c>
      <c r="F68" s="75"/>
      <c r="G68" s="34" t="s">
        <v>433</v>
      </c>
      <c r="H68" s="34">
        <v>7</v>
      </c>
      <c r="I68">
        <f>+D68+H68</f>
        <v>2019</v>
      </c>
      <c r="L68" s="53" t="s">
        <v>788</v>
      </c>
      <c r="M68" s="53" t="s">
        <v>788</v>
      </c>
      <c r="N68" s="53" t="s">
        <v>788</v>
      </c>
      <c r="O68" s="53" t="s">
        <v>788</v>
      </c>
      <c r="P68" s="32">
        <v>1000</v>
      </c>
      <c r="Q68" s="32"/>
      <c r="R68" s="32">
        <f>+P68-P68*F68</f>
        <v>1000</v>
      </c>
      <c r="S68" s="107">
        <f>R68/H68/12</f>
        <v>11.904761904761905</v>
      </c>
      <c r="T68" s="107">
        <f>IF(Q68&gt;0,0,IF((OR((AF68&gt;AG68),(AH68&lt;AI68))),0,IF((AND((AH68&gt;=AI68),(AH68&lt;=AG68))),S68*((AH68-AI68)*12),IF((AND((AI68&lt;=AF68),(AG68&gt;=AF68))),((AG68-AF68)*12)*S68,IF(AH68&gt;AG68,12*S68,0)))))</f>
        <v>142.85714285714286</v>
      </c>
      <c r="U68" s="107">
        <f>IF(Q68=0,0,IF((AND((AJ68&gt;=AI68),(AJ68&lt;=AH68))),((AJ68-AI68)*12)*S68,0))</f>
        <v>0</v>
      </c>
      <c r="V68" s="107">
        <f>IF(U68&gt;0,U68,T68)</f>
        <v>142.85714285714286</v>
      </c>
      <c r="W68" s="105">
        <v>1</v>
      </c>
      <c r="X68" s="107">
        <f>W68*SUM(T68:U68)</f>
        <v>142.85714285714286</v>
      </c>
      <c r="Y68" s="105"/>
      <c r="Z68" s="107">
        <f>IF(AF68&gt;AG68,0,IF(AH68&lt;AI68,R68,IF((AND((AH68&gt;=AI68),(AH68&lt;=AG68))),(R68-V68),IF((AND((AI68&lt;=AF68),(AG68&gt;=AF68))),0,IF(AH68&gt;AG68,((AI68-AF68)*12)*S68,0)))))</f>
        <v>595.2380952381061</v>
      </c>
      <c r="AA68" s="107">
        <f>Z68*W68</f>
        <v>595.2380952381061</v>
      </c>
      <c r="AB68" s="105">
        <v>1</v>
      </c>
      <c r="AC68" s="107">
        <f>AA68*AB68</f>
        <v>595.2380952381061</v>
      </c>
      <c r="AD68" s="107">
        <f>IF(Q68&gt;0,0,AC68+X68*AB68)*AB68</f>
        <v>738.09523809524899</v>
      </c>
      <c r="AE68" s="107">
        <f>IF(Q68&gt;0,(P68-AC68)/2,IF(AF68&gt;=AI68,(((P68*W68)*AB68)-AD68)/2,((((P68*W68)*AB68)-AC68)+(((P68*W68)*AB68)-AD68))/2))</f>
        <v>333.33333333332246</v>
      </c>
      <c r="AF68" s="107">
        <f>$D68+(($E68-1)/12)</f>
        <v>2012.3333333333333</v>
      </c>
      <c r="AG68" s="107">
        <f>($R$5+1)-($R$2/12)</f>
        <v>2017.5</v>
      </c>
      <c r="AH68" s="107">
        <f>$I68+(($E68-1)/12)</f>
        <v>2019.3333333333333</v>
      </c>
      <c r="AI68" s="108">
        <f>$R$4+($R$3/12)</f>
        <v>2016.5</v>
      </c>
      <c r="AJ68" s="108">
        <f>$J68+(($K68-1)/12)</f>
        <v>-8.3333333333333329E-2</v>
      </c>
      <c r="AK68" s="108">
        <f>$I68+(($E68-1)/12)</f>
        <v>2019.3333333333333</v>
      </c>
      <c r="AL68" s="108">
        <f>$R$4+($R$3/12)</f>
        <v>2016.5</v>
      </c>
      <c r="AM68" s="108">
        <f>$J68+(($K68-1)/12)</f>
        <v>-8.3333333333333329E-2</v>
      </c>
    </row>
    <row r="69" spans="1:39" x14ac:dyDescent="0.25">
      <c r="A69">
        <v>173</v>
      </c>
      <c r="B69" t="s">
        <v>562</v>
      </c>
      <c r="C69" t="s">
        <v>785</v>
      </c>
      <c r="D69" s="34">
        <v>2013</v>
      </c>
      <c r="E69" s="34">
        <v>2</v>
      </c>
      <c r="F69" s="75"/>
      <c r="G69" s="34" t="s">
        <v>433</v>
      </c>
      <c r="H69" s="34">
        <v>7</v>
      </c>
      <c r="I69">
        <f>+D69+H69</f>
        <v>2020</v>
      </c>
      <c r="L69" s="53" t="s">
        <v>788</v>
      </c>
      <c r="M69" s="53" t="s">
        <v>788</v>
      </c>
      <c r="N69" s="53" t="s">
        <v>788</v>
      </c>
      <c r="O69" s="53" t="s">
        <v>788</v>
      </c>
      <c r="P69" s="32">
        <v>6092.2</v>
      </c>
      <c r="Q69" s="32"/>
      <c r="R69" s="32">
        <f>+P69-P69*F69</f>
        <v>6092.2</v>
      </c>
      <c r="S69" s="107">
        <f>R69/H69/12</f>
        <v>72.526190476190479</v>
      </c>
      <c r="T69" s="107">
        <f>IF(Q69&gt;0,0,IF((OR((AF69&gt;AG69),(AH69&lt;AI69))),0,IF((AND((AH69&gt;=AI69),(AH69&lt;=AG69))),S69*((AH69-AI69)*12),IF((AND((AI69&lt;=AF69),(AG69&gt;=AF69))),((AG69-AF69)*12)*S69,IF(AH69&gt;AG69,12*S69,0)))))</f>
        <v>870.31428571428569</v>
      </c>
      <c r="U69" s="107">
        <f>IF(Q69=0,0,IF((AND((AJ69&gt;=AI69),(AJ69&lt;=AH69))),((AJ69-AI69)*12)*S69,0))</f>
        <v>0</v>
      </c>
      <c r="V69" s="107">
        <f>IF(U69&gt;0,U69,T69)</f>
        <v>870.31428571428569</v>
      </c>
      <c r="W69" s="105">
        <v>1</v>
      </c>
      <c r="X69" s="107">
        <f>W69*SUM(T69:U69)</f>
        <v>870.31428571428569</v>
      </c>
      <c r="Y69" s="105"/>
      <c r="Z69" s="107">
        <f>IF(AF69&gt;AG69,0,IF(AH69&lt;AI69,R69,IF((AND((AH69&gt;=AI69),(AH69&lt;=AG69))),(R69-V69),IF((AND((AI69&lt;=AF69),(AG69&gt;=AF69))),0,IF(AH69&gt;AG69,((AI69-AF69)*12)*S69,0)))))</f>
        <v>2973.5738095238758</v>
      </c>
      <c r="AA69" s="107">
        <f>Z69*W69</f>
        <v>2973.5738095238758</v>
      </c>
      <c r="AB69" s="105">
        <v>1</v>
      </c>
      <c r="AC69" s="107">
        <f>AA69*AB69</f>
        <v>2973.5738095238758</v>
      </c>
      <c r="AD69" s="107">
        <f>IF(Q69&gt;0,0,AC69+X69*AB69)*AB69</f>
        <v>3843.8880952381614</v>
      </c>
      <c r="AE69" s="107">
        <f>IF(Q69&gt;0,(P69-AC69)/2,IF(AF69&gt;=AI69,(((P69*W69)*AB69)-AD69)/2,((((P69*W69)*AB69)-AC69)+(((P69*W69)*AB69)-AD69))/2))</f>
        <v>2683.4690476189812</v>
      </c>
      <c r="AF69" s="107">
        <f>$D69+(($E69-1)/12)</f>
        <v>2013.0833333333333</v>
      </c>
      <c r="AG69" s="107">
        <f>($R$5+1)-($R$2/12)</f>
        <v>2017.5</v>
      </c>
      <c r="AH69" s="107">
        <f>$I69+(($E69-1)/12)</f>
        <v>2020.0833333333333</v>
      </c>
      <c r="AI69" s="108">
        <f>$R$4+($R$3/12)</f>
        <v>2016.5</v>
      </c>
      <c r="AJ69" s="108">
        <f>$J69+(($K69-1)/12)</f>
        <v>-8.3333333333333329E-2</v>
      </c>
      <c r="AK69" s="108">
        <f>$I69+(($E69-1)/12)</f>
        <v>2020.0833333333333</v>
      </c>
      <c r="AL69" s="108">
        <f>$R$4+($R$3/12)</f>
        <v>2016.5</v>
      </c>
      <c r="AM69" s="108">
        <f>$J69+(($K69-1)/12)</f>
        <v>-8.3333333333333329E-2</v>
      </c>
    </row>
    <row r="70" spans="1:39" x14ac:dyDescent="0.25">
      <c r="A70">
        <v>178</v>
      </c>
      <c r="B70" t="s">
        <v>565</v>
      </c>
      <c r="C70" t="s">
        <v>785</v>
      </c>
      <c r="D70" s="34">
        <v>2013</v>
      </c>
      <c r="E70" s="34">
        <v>7</v>
      </c>
      <c r="F70" s="75"/>
      <c r="G70" s="34" t="s">
        <v>433</v>
      </c>
      <c r="H70" s="34">
        <v>10</v>
      </c>
      <c r="I70">
        <f>+D70+H70</f>
        <v>2023</v>
      </c>
      <c r="L70" s="53" t="s">
        <v>788</v>
      </c>
      <c r="M70" s="53" t="s">
        <v>788</v>
      </c>
      <c r="N70" s="53" t="s">
        <v>788</v>
      </c>
      <c r="O70" s="53" t="s">
        <v>788</v>
      </c>
      <c r="P70" s="32">
        <v>11059.5</v>
      </c>
      <c r="Q70" s="32"/>
      <c r="R70" s="32">
        <f>+P70-P70*F70</f>
        <v>11059.5</v>
      </c>
      <c r="S70" s="107">
        <f>R70/H70/12</f>
        <v>92.162500000000009</v>
      </c>
      <c r="T70" s="107">
        <f>IF(Q70&gt;0,0,IF((OR((AF70&gt;AG70),(AH70&lt;AI70))),0,IF((AND((AH70&gt;=AI70),(AH70&lt;=AG70))),S70*((AH70-AI70)*12),IF((AND((AI70&lt;=AF70),(AG70&gt;=AF70))),((AG70-AF70)*12)*S70,IF(AH70&gt;AG70,12*S70,0)))))</f>
        <v>1105.95</v>
      </c>
      <c r="U70" s="107">
        <f>IF(Q70=0,0,IF((AND((AJ70&gt;=AI70),(AJ70&lt;=AH70))),((AJ70-AI70)*12)*S70,0))</f>
        <v>0</v>
      </c>
      <c r="V70" s="107">
        <f>IF(U70&gt;0,U70,T70)</f>
        <v>1105.95</v>
      </c>
      <c r="W70" s="105">
        <v>1</v>
      </c>
      <c r="X70" s="107">
        <f>W70*SUM(T70:U70)</f>
        <v>1105.95</v>
      </c>
      <c r="Y70" s="105"/>
      <c r="Z70" s="107">
        <f>IF(AF70&gt;AG70,0,IF(AH70&lt;AI70,R70,IF((AND((AH70&gt;=AI70),(AH70&lt;=AG70))),(R70-V70),IF((AND((AI70&lt;=AF70),(AG70&gt;=AF70))),0,IF(AH70&gt;AG70,((AI70-AF70)*12)*S70,0)))))</f>
        <v>3317.8500000000004</v>
      </c>
      <c r="AA70" s="107">
        <f>Z70*W70</f>
        <v>3317.8500000000004</v>
      </c>
      <c r="AB70" s="105">
        <v>1</v>
      </c>
      <c r="AC70" s="107">
        <f>AA70*AB70</f>
        <v>3317.8500000000004</v>
      </c>
      <c r="AD70" s="107">
        <f>IF(Q70&gt;0,0,AC70+X70*AB70)*AB70</f>
        <v>4423.8</v>
      </c>
      <c r="AE70" s="107">
        <f>IF(Q70&gt;0,(P70-AC70)/2,IF(AF70&gt;=AI70,(((P70*W70)*AB70)-AD70)/2,((((P70*W70)*AB70)-AC70)+(((P70*W70)*AB70)-AD70))/2))</f>
        <v>7188.6749999999993</v>
      </c>
      <c r="AF70" s="107">
        <f>$D70+(($E70-1)/12)</f>
        <v>2013.5</v>
      </c>
      <c r="AG70" s="107">
        <f>($R$5+1)-($R$2/12)</f>
        <v>2017.5</v>
      </c>
      <c r="AH70" s="107">
        <f>$I70+(($E70-1)/12)</f>
        <v>2023.5</v>
      </c>
      <c r="AI70" s="108">
        <f>$R$4+($R$3/12)</f>
        <v>2016.5</v>
      </c>
      <c r="AJ70" s="108">
        <f>$J70+(($K70-1)/12)</f>
        <v>-8.3333333333333329E-2</v>
      </c>
      <c r="AK70" s="108">
        <f>$I70+(($E70-1)/12)</f>
        <v>2023.5</v>
      </c>
      <c r="AL70" s="108">
        <f>$R$4+($R$3/12)</f>
        <v>2016.5</v>
      </c>
      <c r="AM70" s="108">
        <f>$J70+(($K70-1)/12)</f>
        <v>-8.3333333333333329E-2</v>
      </c>
    </row>
    <row r="71" spans="1:39" x14ac:dyDescent="0.25">
      <c r="A71">
        <v>231</v>
      </c>
      <c r="B71" t="s">
        <v>601</v>
      </c>
      <c r="C71" t="s">
        <v>785</v>
      </c>
      <c r="D71" s="34">
        <v>2015</v>
      </c>
      <c r="E71" s="34">
        <v>7</v>
      </c>
      <c r="F71" s="75"/>
      <c r="G71" s="34" t="s">
        <v>433</v>
      </c>
      <c r="H71" s="34">
        <v>7</v>
      </c>
      <c r="I71">
        <f>+D71+H71</f>
        <v>2022</v>
      </c>
      <c r="L71" s="53" t="s">
        <v>788</v>
      </c>
      <c r="M71" s="53" t="s">
        <v>788</v>
      </c>
      <c r="N71" s="53" t="s">
        <v>788</v>
      </c>
      <c r="O71" s="53" t="s">
        <v>788</v>
      </c>
      <c r="P71" s="110">
        <v>21505</v>
      </c>
      <c r="Q71" s="110"/>
      <c r="R71" s="110">
        <f>+P71-P71*F71</f>
        <v>21505</v>
      </c>
      <c r="S71" s="111">
        <f>R71/H71/12</f>
        <v>256.01190476190476</v>
      </c>
      <c r="T71" s="111">
        <f>IF(Q71&gt;0,0,IF((OR((AF71&gt;AG71),(AH71&lt;AI71))),0,IF((AND((AH71&gt;=AI71),(AH71&lt;=AG71))),S71*((AH71-AI71)*12),IF((AND((AI71&lt;=AF71),(AG71&gt;=AF71))),((AG71-AF71)*12)*S71,IF(AH71&gt;AG71,12*S71,0)))))</f>
        <v>3072.1428571428569</v>
      </c>
      <c r="U71" s="111">
        <f>IF(Q71=0,0,IF((AND((AJ71&gt;=AI71),(AJ71&lt;=AH71))),((AJ71-AI71)*12)*S71,0))</f>
        <v>0</v>
      </c>
      <c r="V71" s="111">
        <f>IF(U71&gt;0,U71,T71)</f>
        <v>3072.1428571428569</v>
      </c>
      <c r="W71" s="112">
        <v>1</v>
      </c>
      <c r="X71" s="111">
        <f>W71*SUM(T71:U71)</f>
        <v>3072.1428571428569</v>
      </c>
      <c r="Y71" s="112"/>
      <c r="Z71" s="111">
        <f>IF(AF71&gt;AG71,0,IF(AH71&lt;AI71,R71,IF((AND((AH71&gt;=AI71),(AH71&lt;=AG71))),(R71-V71),IF((AND((AI71&lt;=AF71),(AG71&gt;=AF71))),0,IF(AH71&gt;AG71,((AI71-AF71)*12)*S71,0)))))</f>
        <v>3072.1428571428569</v>
      </c>
      <c r="AA71" s="111">
        <f>Z71*W71</f>
        <v>3072.1428571428569</v>
      </c>
      <c r="AB71" s="112">
        <v>1</v>
      </c>
      <c r="AC71" s="111">
        <f>AA71*AB71</f>
        <v>3072.1428571428569</v>
      </c>
      <c r="AD71" s="111">
        <f>IF(Q71&gt;0,0,AC71+X71*AB71)*AB71</f>
        <v>6144.2857142857138</v>
      </c>
      <c r="AE71" s="111">
        <f>IF(Q71&gt;0,(P71-AC71)/2,IF(AF71&gt;=AI71,(((P71*W71)*AB71)-AD71)/2,((((P71*W71)*AB71)-AC71)+(((P71*W71)*AB71)-AD71))/2))</f>
        <v>16896.785714285717</v>
      </c>
      <c r="AF71" s="111">
        <f>$D71+(($E71-1)/12)</f>
        <v>2015.5</v>
      </c>
      <c r="AG71" s="111">
        <f>($R$5+1)-($R$2/12)</f>
        <v>2017.5</v>
      </c>
      <c r="AH71" s="111">
        <f>$I71+(($E71-1)/12)</f>
        <v>2022.5</v>
      </c>
      <c r="AI71" s="113">
        <f>$R$4+($R$3/12)</f>
        <v>2016.5</v>
      </c>
      <c r="AJ71" s="113">
        <f>$J71+(($K71-1)/12)</f>
        <v>-8.3333333333333329E-2</v>
      </c>
      <c r="AK71" s="113">
        <f>$I71+(($E71-1)/12)</f>
        <v>2022.5</v>
      </c>
      <c r="AL71" s="113">
        <f>$R$4+($R$3/12)</f>
        <v>2016.5</v>
      </c>
      <c r="AM71" s="113">
        <f>$J71+(($K71-1)/12)</f>
        <v>-8.3333333333333329E-2</v>
      </c>
    </row>
    <row r="72" spans="1:39" x14ac:dyDescent="0.25">
      <c r="A72">
        <v>246</v>
      </c>
      <c r="B72" t="s">
        <v>610</v>
      </c>
      <c r="C72" t="s">
        <v>785</v>
      </c>
      <c r="D72" s="34">
        <v>2016</v>
      </c>
      <c r="E72" s="34">
        <v>11</v>
      </c>
      <c r="F72" s="75"/>
      <c r="G72" s="34" t="s">
        <v>433</v>
      </c>
      <c r="H72" s="34">
        <v>7</v>
      </c>
      <c r="I72">
        <f>+D72+H72</f>
        <v>2023</v>
      </c>
      <c r="L72" s="53" t="s">
        <v>788</v>
      </c>
      <c r="M72" s="53" t="s">
        <v>788</v>
      </c>
      <c r="N72" s="53" t="s">
        <v>788</v>
      </c>
      <c r="O72" s="53" t="s">
        <v>788</v>
      </c>
      <c r="P72" s="110">
        <v>3144</v>
      </c>
      <c r="Q72" s="110"/>
      <c r="R72" s="110">
        <f>+P72-P72*F72</f>
        <v>3144</v>
      </c>
      <c r="S72" s="111">
        <f>R72/H72/12</f>
        <v>37.428571428571431</v>
      </c>
      <c r="T72" s="111">
        <v>444</v>
      </c>
      <c r="U72" s="111">
        <f>IF(Q72=0,0,IF((AND((AJ72&gt;=AI72),(AJ72&lt;=AH72))),((AJ72-AI72)*12)*S72,0))</f>
        <v>0</v>
      </c>
      <c r="V72" s="111">
        <f>IF(U72&gt;0,U72,T72)</f>
        <v>444</v>
      </c>
      <c r="W72" s="112">
        <v>1</v>
      </c>
      <c r="X72" s="111">
        <f>W72*SUM(T72:U72)</f>
        <v>444</v>
      </c>
      <c r="Y72" s="112"/>
      <c r="Z72" s="111">
        <f>IF(AF72&gt;AG72,0,IF(AH72&lt;AI72,R72,IF((AND((AH72&gt;=AI72),(AH72&lt;=AG72))),(R72-V72),IF((AND((AI72&lt;=AF72),(AG72&gt;=AF72))),0,IF(AH72&gt;AG72,((AI72-AF72)*12)*S72,0)))))</f>
        <v>0</v>
      </c>
      <c r="AA72" s="111">
        <f>Z72*W72</f>
        <v>0</v>
      </c>
      <c r="AB72" s="112">
        <v>1</v>
      </c>
      <c r="AC72" s="111">
        <f>AA72*AB72</f>
        <v>0</v>
      </c>
      <c r="AD72" s="111">
        <f>IF(Q72&gt;0,0,AC72+X72*AB72)*AB72</f>
        <v>444</v>
      </c>
      <c r="AE72" s="111">
        <f>+R72-AD72</f>
        <v>2700</v>
      </c>
      <c r="AF72" s="111">
        <f>$D72+(($E72-1)/12)</f>
        <v>2016.8333333333333</v>
      </c>
      <c r="AG72" s="111">
        <f>($R$5+1)-($R$2/12)</f>
        <v>2017.5</v>
      </c>
      <c r="AH72" s="111">
        <f>$I72+(($E72-1)/12)</f>
        <v>2023.8333333333333</v>
      </c>
      <c r="AI72" s="113">
        <f>$R$4+($R$3/12)</f>
        <v>2016.5</v>
      </c>
      <c r="AJ72" s="113">
        <f>$J72+(($K72-1)/12)</f>
        <v>-8.3333333333333329E-2</v>
      </c>
      <c r="AK72" s="113">
        <f>$I72+(($E72-1)/12)</f>
        <v>2023.8333333333333</v>
      </c>
      <c r="AL72" s="113">
        <f>$R$4+($R$3/12)</f>
        <v>2016.5</v>
      </c>
      <c r="AM72" s="113">
        <f>$J72+(($K72-1)/12)</f>
        <v>-8.3333333333333329E-2</v>
      </c>
    </row>
    <row r="73" spans="1:39" x14ac:dyDescent="0.25">
      <c r="A73">
        <v>251</v>
      </c>
      <c r="B73" t="s">
        <v>605</v>
      </c>
      <c r="C73" t="s">
        <v>785</v>
      </c>
      <c r="D73" s="34">
        <v>2016</v>
      </c>
      <c r="E73" s="34">
        <v>2</v>
      </c>
      <c r="F73" s="75"/>
      <c r="G73" s="34" t="s">
        <v>433</v>
      </c>
      <c r="H73" s="34">
        <v>5</v>
      </c>
      <c r="I73">
        <f>+D73+H73</f>
        <v>2021</v>
      </c>
      <c r="L73" s="53" t="s">
        <v>788</v>
      </c>
      <c r="M73" s="53" t="s">
        <v>788</v>
      </c>
      <c r="N73" s="53" t="s">
        <v>788</v>
      </c>
      <c r="O73" s="53" t="s">
        <v>788</v>
      </c>
      <c r="P73" s="110">
        <v>19046</v>
      </c>
      <c r="Q73" s="110"/>
      <c r="R73" s="110">
        <f>+P73-P73*F73</f>
        <v>19046</v>
      </c>
      <c r="S73" s="111">
        <f>R73/H73/12</f>
        <v>317.43333333333334</v>
      </c>
      <c r="T73" s="111">
        <f>+P73/5</f>
        <v>3809.2</v>
      </c>
      <c r="U73" s="111">
        <f>IF(Q73=0,0,IF((AND((AJ73&gt;=AI73),(AJ73&lt;=AH73))),((AJ73-AI73)*12)*S73,0))</f>
        <v>0</v>
      </c>
      <c r="V73" s="111">
        <f>IF(U73&gt;0,U73,T73)</f>
        <v>3809.2</v>
      </c>
      <c r="W73" s="112">
        <v>1</v>
      </c>
      <c r="X73" s="111">
        <f>W73*SUM(T73:U73)</f>
        <v>3809.2</v>
      </c>
      <c r="Y73" s="112"/>
      <c r="Z73" s="111">
        <f>IF(AF73&gt;AG73,0,IF(AH73&lt;AI73,R73,IF((AND((AH73&gt;=AI73),(AH73&lt;=AG73))),(R73-V73),IF((AND((AI73&lt;=AF73),(AG73&gt;=AF73))),0,IF(AH73&gt;AG73,((AI73-AF73)*12)*S73,0)))))</f>
        <v>1587.1666666669553</v>
      </c>
      <c r="AA73" s="111">
        <f>Z73*W73</f>
        <v>1587.1666666669553</v>
      </c>
      <c r="AB73" s="112">
        <v>1</v>
      </c>
      <c r="AC73" s="111">
        <f>AA73*AB73</f>
        <v>1587.1666666669553</v>
      </c>
      <c r="AD73" s="111">
        <f>IF(Q73&gt;0,0,AC73+X73*AB73)*AB73</f>
        <v>5396.3666666669551</v>
      </c>
      <c r="AE73" s="111">
        <f>IF(Q73&gt;0,(P73-AC73)/2,IF(AF73&gt;=AI73,(((P73*W73)*AB73)-AD73)/2,((((P73*W73)*AB73)-AC73)+(((P73*W73)*AB73)-AD73))/2))</f>
        <v>15554.233333333044</v>
      </c>
      <c r="AF73" s="111">
        <f>$D73+(($E73-1)/12)</f>
        <v>2016.0833333333333</v>
      </c>
      <c r="AG73" s="111">
        <f>($R$5+1)-($R$2/12)</f>
        <v>2017.5</v>
      </c>
      <c r="AH73" s="111">
        <f>$I73+(($E73-1)/12)</f>
        <v>2021.0833333333333</v>
      </c>
      <c r="AI73" s="113">
        <f>$R$4+($R$3/12)</f>
        <v>2016.5</v>
      </c>
      <c r="AJ73" s="113">
        <f>$J73+(($K73-1)/12)</f>
        <v>-8.3333333333333329E-2</v>
      </c>
      <c r="AK73" s="113">
        <f>$I73+(($E73-1)/12)</f>
        <v>2021.0833333333333</v>
      </c>
      <c r="AL73" s="113">
        <f>$R$4+($R$3/12)</f>
        <v>2016.5</v>
      </c>
      <c r="AM73" s="113">
        <f>$J73+(($K73-1)/12)</f>
        <v>-8.3333333333333329E-2</v>
      </c>
    </row>
    <row r="74" spans="1:39" x14ac:dyDescent="0.25">
      <c r="A74">
        <v>252</v>
      </c>
      <c r="B74" t="s">
        <v>606</v>
      </c>
      <c r="C74" t="s">
        <v>785</v>
      </c>
      <c r="D74" s="34">
        <v>2016</v>
      </c>
      <c r="E74" s="34">
        <v>5</v>
      </c>
      <c r="F74" s="75"/>
      <c r="G74" s="34" t="s">
        <v>433</v>
      </c>
      <c r="H74" s="34">
        <v>5</v>
      </c>
      <c r="I74">
        <f>+D74+H74</f>
        <v>2021</v>
      </c>
      <c r="L74" s="53" t="s">
        <v>788</v>
      </c>
      <c r="M74" s="53" t="s">
        <v>788</v>
      </c>
      <c r="N74" s="53" t="s">
        <v>788</v>
      </c>
      <c r="O74" s="53" t="s">
        <v>788</v>
      </c>
      <c r="P74" s="110">
        <v>20054</v>
      </c>
      <c r="Q74" s="110"/>
      <c r="R74" s="110">
        <f>+P74-P74*F74</f>
        <v>20054</v>
      </c>
      <c r="S74" s="111">
        <f>R74/H74/12</f>
        <v>334.23333333333335</v>
      </c>
      <c r="T74" s="111">
        <f>IF(Q74&gt;0,0,IF((OR((AF74&gt;AG74),(AH74&lt;AI74))),0,IF((AND((AH74&gt;=AI74),(AH74&lt;=AG74))),S74*((AH74-AI74)*12),IF((AND((AI74&lt;=AF74),(AG74&gt;=AF74))),((AG74-AF74)*12)*S74,IF(AH74&gt;AG74,12*S74,0)))))</f>
        <v>4010.8</v>
      </c>
      <c r="U74" s="111">
        <f>IF(Q74=0,0,IF((AND((AJ74&gt;=AI74),(AJ74&lt;=AH74))),((AJ74-AI74)*12)*S74,0))</f>
        <v>0</v>
      </c>
      <c r="V74" s="111">
        <f>IF(U74&gt;0,U74,T74)</f>
        <v>4010.8</v>
      </c>
      <c r="W74" s="112">
        <v>1</v>
      </c>
      <c r="X74" s="111">
        <f>W74*SUM(T74:U74)</f>
        <v>4010.8</v>
      </c>
      <c r="Y74" s="112"/>
      <c r="Z74" s="111">
        <f>IF(AF74&gt;AG74,0,IF(AH74&lt;AI74,R74,IF((AND((AH74&gt;=AI74),(AH74&lt;=AG74))),(R74-V74),IF((AND((AI74&lt;=AF74),(AG74&gt;=AF74))),0,IF(AH74&gt;AG74,((AI74-AF74)*12)*S74,0)))))</f>
        <v>668.4666666669707</v>
      </c>
      <c r="AA74" s="111">
        <f>Z74*W74</f>
        <v>668.4666666669707</v>
      </c>
      <c r="AB74" s="112">
        <v>1</v>
      </c>
      <c r="AC74" s="111">
        <f>AA74*AB74</f>
        <v>668.4666666669707</v>
      </c>
      <c r="AD74" s="111">
        <f>IF(Q74&gt;0,0,AC74+X74*AB74)*AB74</f>
        <v>4679.2666666669711</v>
      </c>
      <c r="AE74" s="111">
        <f>IF(Q74&gt;0,(P74-AC74)/2,IF(AF74&gt;=AI74,(((P74*W74)*AB74)-AD74)/2,((((P74*W74)*AB74)-AC74)+(((P74*W74)*AB74)-AD74))/2))</f>
        <v>17380.133333333029</v>
      </c>
      <c r="AF74" s="111">
        <f>$D74+(($E74-1)/12)</f>
        <v>2016.3333333333333</v>
      </c>
      <c r="AG74" s="111">
        <f>($R$5+1)-($R$2/12)</f>
        <v>2017.5</v>
      </c>
      <c r="AH74" s="111">
        <f>$I74+(($E74-1)/12)</f>
        <v>2021.3333333333333</v>
      </c>
      <c r="AI74" s="113">
        <f>$R$4+($R$3/12)</f>
        <v>2016.5</v>
      </c>
      <c r="AJ74" s="113">
        <f>$J74+(($K74-1)/12)</f>
        <v>-8.3333333333333329E-2</v>
      </c>
      <c r="AK74" s="113">
        <f>$I74+(($E74-1)/12)</f>
        <v>2021.3333333333333</v>
      </c>
      <c r="AL74" s="113">
        <f>$R$4+($R$3/12)</f>
        <v>2016.5</v>
      </c>
      <c r="AM74" s="113">
        <f>$J74+(($K74-1)/12)</f>
        <v>-8.3333333333333329E-2</v>
      </c>
    </row>
    <row r="75" spans="1:39" x14ac:dyDescent="0.25">
      <c r="B75" t="s">
        <v>611</v>
      </c>
      <c r="C75" t="s">
        <v>785</v>
      </c>
      <c r="D75" s="34">
        <v>2017</v>
      </c>
      <c r="E75" s="34">
        <v>1</v>
      </c>
      <c r="F75" s="75"/>
      <c r="G75" s="34" t="s">
        <v>433</v>
      </c>
      <c r="H75" s="34">
        <v>7</v>
      </c>
      <c r="I75">
        <f>+D75+H75</f>
        <v>2024</v>
      </c>
      <c r="L75" s="53" t="s">
        <v>788</v>
      </c>
      <c r="M75" s="53" t="s">
        <v>788</v>
      </c>
      <c r="N75" s="53" t="s">
        <v>788</v>
      </c>
      <c r="O75" s="53" t="s">
        <v>788</v>
      </c>
      <c r="P75" s="114">
        <v>4103</v>
      </c>
      <c r="Q75" s="114"/>
      <c r="R75" s="114">
        <f>+P75-P75*F75</f>
        <v>4103</v>
      </c>
      <c r="S75" s="115">
        <f>R75/H75/12</f>
        <v>48.845238095238095</v>
      </c>
      <c r="T75" s="115">
        <f>+P75/7</f>
        <v>586.14285714285711</v>
      </c>
      <c r="U75" s="115">
        <f>IF(Q75=0,0,IF((AND((AJ75&gt;=AI75),(AJ75&lt;=AH75))),((AJ75-AI75)*12)*S75,0))</f>
        <v>0</v>
      </c>
      <c r="V75" s="115">
        <f>IF(U75&gt;0,U75,T75)</f>
        <v>586.14285714285711</v>
      </c>
      <c r="W75" s="116">
        <v>1</v>
      </c>
      <c r="X75" s="115">
        <f>W75*SUM(T75:U75)</f>
        <v>586.14285714285711</v>
      </c>
      <c r="Y75" s="116"/>
      <c r="Z75" s="115">
        <f>IF(AF75&gt;AG75,0,IF(AH75&lt;AI75,R75,IF((AND((AH75&gt;=AI75),(AH75&lt;=AG75))),(R75-V75),IF((AND((AI75&lt;=AF75),(AG75&gt;=AF75))),0,IF(AH75&gt;AG75,((AI75-AF75)*12)*S75,0)))))</f>
        <v>0</v>
      </c>
      <c r="AA75" s="115">
        <f>Z75*W75</f>
        <v>0</v>
      </c>
      <c r="AB75" s="116">
        <v>1</v>
      </c>
      <c r="AC75" s="115">
        <f>AA75*AB75</f>
        <v>0</v>
      </c>
      <c r="AD75" s="115">
        <f>IF(Q75&gt;0,0,AC75+X75*AB75)*AB75</f>
        <v>586.14285714285711</v>
      </c>
      <c r="AE75" s="115">
        <f>+R75-T75</f>
        <v>3516.8571428571431</v>
      </c>
      <c r="AF75" s="111">
        <f>$D75+(($E75-1)/12)</f>
        <v>2017</v>
      </c>
      <c r="AG75" s="111">
        <f>($R$5+1)-($R$2/12)</f>
        <v>2017.5</v>
      </c>
      <c r="AH75" s="111">
        <f>$I75+(($E75-1)/12)</f>
        <v>2024</v>
      </c>
      <c r="AI75" s="113">
        <f>$R$4+($R$3/12)</f>
        <v>2016.5</v>
      </c>
      <c r="AJ75" s="113">
        <f>$J75+(($K75-1)/12)</f>
        <v>-8.3333333333333329E-2</v>
      </c>
      <c r="AK75" s="113">
        <f>$I75+(($E75-1)/12)</f>
        <v>2024</v>
      </c>
      <c r="AL75" s="113">
        <f>$R$4+($R$3/12)</f>
        <v>2016.5</v>
      </c>
      <c r="AM75" s="113">
        <f>$J75+(($K75-1)/12)</f>
        <v>-8.3333333333333329E-2</v>
      </c>
    </row>
    <row r="76" spans="1:39" x14ac:dyDescent="0.25">
      <c r="D76" s="34"/>
      <c r="E76" s="34"/>
      <c r="F76" s="75"/>
      <c r="G76" s="34"/>
      <c r="H76" s="34"/>
      <c r="P76" s="110">
        <f t="shared" ref="P76:AD76" si="41">SUM(P33:P75)</f>
        <v>273140.7</v>
      </c>
      <c r="Q76" s="110">
        <f t="shared" si="41"/>
        <v>0</v>
      </c>
      <c r="R76" s="110">
        <f t="shared" si="41"/>
        <v>273140.7</v>
      </c>
      <c r="S76" s="111">
        <f t="shared" si="41"/>
        <v>3398.8148809523805</v>
      </c>
      <c r="T76" s="111">
        <f t="shared" si="41"/>
        <v>22862.807142857091</v>
      </c>
      <c r="U76" s="111">
        <f t="shared" si="41"/>
        <v>0</v>
      </c>
      <c r="V76" s="111">
        <f t="shared" si="41"/>
        <v>22862.807142857091</v>
      </c>
      <c r="W76" s="112">
        <f t="shared" si="41"/>
        <v>43</v>
      </c>
      <c r="X76" s="111">
        <f t="shared" si="41"/>
        <v>22862.807142857091</v>
      </c>
      <c r="Y76" s="112">
        <f t="shared" si="41"/>
        <v>0</v>
      </c>
      <c r="Z76" s="111">
        <f t="shared" si="41"/>
        <v>182896.65238095328</v>
      </c>
      <c r="AA76" s="111">
        <f t="shared" si="41"/>
        <v>182896.65238095328</v>
      </c>
      <c r="AB76" s="112">
        <f t="shared" si="41"/>
        <v>43</v>
      </c>
      <c r="AC76" s="111">
        <f t="shared" si="41"/>
        <v>182896.65238095328</v>
      </c>
      <c r="AD76" s="111">
        <f t="shared" si="41"/>
        <v>205759.45952381039</v>
      </c>
      <c r="AE76" s="111"/>
      <c r="AF76" s="111"/>
      <c r="AG76" s="111"/>
      <c r="AH76" s="111"/>
      <c r="AI76" s="113"/>
      <c r="AJ76" s="113"/>
      <c r="AK76" s="113"/>
      <c r="AL76" s="113"/>
      <c r="AM76" s="113"/>
    </row>
    <row r="77" spans="1:39" x14ac:dyDescent="0.25">
      <c r="D77" s="34"/>
      <c r="E77" s="34"/>
      <c r="F77" s="75"/>
      <c r="G77" s="34"/>
      <c r="H77" s="34"/>
      <c r="P77" s="110"/>
      <c r="Q77" s="110"/>
      <c r="R77" s="110"/>
      <c r="S77" s="111"/>
      <c r="T77" s="111"/>
      <c r="U77" s="111"/>
      <c r="V77" s="111"/>
      <c r="W77" s="112"/>
      <c r="X77" s="111"/>
      <c r="Y77" s="112"/>
      <c r="Z77" s="111"/>
      <c r="AA77" s="111"/>
      <c r="AB77" s="112"/>
      <c r="AC77" s="111"/>
      <c r="AD77" s="111"/>
      <c r="AE77" s="111"/>
      <c r="AF77" s="111"/>
      <c r="AG77" s="111"/>
      <c r="AH77" s="111"/>
      <c r="AI77" s="113"/>
      <c r="AJ77" s="113"/>
      <c r="AK77" s="113"/>
      <c r="AL77" s="113"/>
      <c r="AM77" s="113"/>
    </row>
    <row r="78" spans="1:39" x14ac:dyDescent="0.25">
      <c r="D78" s="34"/>
      <c r="E78" s="34"/>
      <c r="F78" s="75"/>
      <c r="G78" s="34"/>
      <c r="H78" s="34"/>
      <c r="P78" s="110"/>
      <c r="Q78" s="110"/>
      <c r="R78" s="110"/>
      <c r="S78" s="111"/>
      <c r="T78" s="111"/>
      <c r="U78" s="111"/>
      <c r="V78" s="111"/>
      <c r="W78" s="112"/>
      <c r="X78" s="111"/>
      <c r="Y78" s="112"/>
      <c r="Z78" s="111"/>
      <c r="AA78" s="111"/>
      <c r="AB78" s="112"/>
      <c r="AC78" s="111"/>
      <c r="AD78" s="111"/>
      <c r="AE78" s="111"/>
      <c r="AF78" s="111"/>
      <c r="AG78" s="111"/>
      <c r="AH78" s="111"/>
      <c r="AI78" s="113"/>
      <c r="AJ78" s="113"/>
      <c r="AK78" s="113"/>
      <c r="AL78" s="113"/>
      <c r="AM78" s="113"/>
    </row>
    <row r="79" spans="1:39" x14ac:dyDescent="0.25">
      <c r="A79">
        <v>10</v>
      </c>
      <c r="B79" t="s">
        <v>448</v>
      </c>
      <c r="C79" t="s">
        <v>784</v>
      </c>
      <c r="D79" s="34">
        <v>1989</v>
      </c>
      <c r="E79" s="34">
        <v>10</v>
      </c>
      <c r="F79" s="75"/>
      <c r="G79" s="34" t="s">
        <v>433</v>
      </c>
      <c r="H79" s="34">
        <v>20</v>
      </c>
      <c r="I79">
        <f>+D79+H79</f>
        <v>2009</v>
      </c>
      <c r="L79">
        <v>10</v>
      </c>
      <c r="M79">
        <f>+D79+L79</f>
        <v>1999</v>
      </c>
      <c r="N79" s="53" t="s">
        <v>788</v>
      </c>
      <c r="O79" s="32">
        <f>+R79</f>
        <v>67500</v>
      </c>
      <c r="P79" s="32">
        <v>67500</v>
      </c>
      <c r="Q79" s="32"/>
      <c r="R79" s="32">
        <f>+P79-P79*F79</f>
        <v>67500</v>
      </c>
      <c r="S79" s="107">
        <f>R79/H79/12</f>
        <v>281.25</v>
      </c>
      <c r="T79" s="107">
        <f>IF(Q79&gt;0,0,IF((OR((AF79&gt;AG79),(AH79&lt;AI79))),0,IF((AND((AH79&gt;=AI79),(AH79&lt;=AG79))),S79*((AH79-AI79)*12),IF((AND((AI79&lt;=AF79),(AG79&gt;=AF79))),((AG79-AF79)*12)*S79,IF(AH79&gt;AG79,12*S79,0)))))</f>
        <v>0</v>
      </c>
      <c r="U79" s="107">
        <f>IF(Q79=0,0,IF((AND((AJ79&gt;=AI79),(AJ79&lt;=AH79))),((AJ79-AI79)*12)*S79,0))</f>
        <v>0</v>
      </c>
      <c r="V79" s="107">
        <f>IF(U79&gt;0,U79,T79)</f>
        <v>0</v>
      </c>
      <c r="W79" s="105">
        <v>1</v>
      </c>
      <c r="X79" s="107">
        <f>W79*SUM(T79:U79)</f>
        <v>0</v>
      </c>
      <c r="Y79" s="105"/>
      <c r="Z79" s="107">
        <f>IF(AF79&gt;AG79,0,IF(AH79&lt;AI79,R79,IF((AND((AH79&gt;=AI79),(AH79&lt;=AG79))),(R79-V79),IF((AND((AI79&lt;=AF79),(AG79&gt;=AF79))),0,IF(AH79&gt;AG79,((AI79-AF79)*12)*S79,0)))))</f>
        <v>67500</v>
      </c>
      <c r="AA79" s="107">
        <f>Z79*W79</f>
        <v>67500</v>
      </c>
      <c r="AB79" s="105">
        <v>1</v>
      </c>
      <c r="AC79" s="107">
        <f>AA79*AB79</f>
        <v>67500</v>
      </c>
      <c r="AD79" s="107">
        <f>IF(Q79&gt;0,0,AC79+X79*AB79)*AB79</f>
        <v>67500</v>
      </c>
      <c r="AE79" s="107">
        <f>IF(Q79&gt;0,(P79-AC79)/2,IF(AF79&gt;=AI79,(((P79*W79)*AB79)-AD79)/2,((((P79*W79)*AB79)-AC79)+(((P79*W79)*AB79)-AD79))/2))</f>
        <v>0</v>
      </c>
      <c r="AF79" s="107">
        <f>$D79+(($E79-1)/12)</f>
        <v>1989.75</v>
      </c>
      <c r="AG79" s="107">
        <f>($R$5+1)-($R$2/12)</f>
        <v>2017.5</v>
      </c>
      <c r="AH79" s="107">
        <f>$I79+(($E79-1)/12)</f>
        <v>2009.75</v>
      </c>
      <c r="AI79" s="108">
        <f>$R$4+($R$3/12)</f>
        <v>2016.5</v>
      </c>
      <c r="AJ79" s="108">
        <f>$J79+(($K79-1)/12)</f>
        <v>-8.3333333333333329E-2</v>
      </c>
      <c r="AK79" s="108">
        <f>$I79+(($E79-1)/12)</f>
        <v>2009.75</v>
      </c>
      <c r="AL79" s="108">
        <f>$R$4+($R$3/12)</f>
        <v>2016.5</v>
      </c>
      <c r="AM79" s="108">
        <f>$J79+(($K79-1)/12)</f>
        <v>-8.3333333333333329E-2</v>
      </c>
    </row>
    <row r="80" spans="1:39" x14ac:dyDescent="0.25">
      <c r="A80">
        <v>11</v>
      </c>
      <c r="B80" t="s">
        <v>449</v>
      </c>
      <c r="C80" t="s">
        <v>784</v>
      </c>
      <c r="D80" s="34">
        <v>1989</v>
      </c>
      <c r="E80" s="34">
        <v>10</v>
      </c>
      <c r="F80" s="75"/>
      <c r="G80" s="34" t="s">
        <v>433</v>
      </c>
      <c r="H80" s="34">
        <v>20</v>
      </c>
      <c r="I80">
        <f>+D80+H80</f>
        <v>2009</v>
      </c>
      <c r="L80">
        <v>10</v>
      </c>
      <c r="M80">
        <f>+D80+L80</f>
        <v>1999</v>
      </c>
      <c r="N80" s="53" t="s">
        <v>788</v>
      </c>
      <c r="O80" s="32">
        <f>+R80</f>
        <v>67500</v>
      </c>
      <c r="P80" s="32">
        <v>67500</v>
      </c>
      <c r="Q80" s="32"/>
      <c r="R80" s="32">
        <f>+P80-P80*F80</f>
        <v>67500</v>
      </c>
      <c r="S80" s="107">
        <f>R80/H80/12</f>
        <v>281.25</v>
      </c>
      <c r="T80" s="107">
        <f>IF(Q80&gt;0,0,IF((OR((AF80&gt;AG80),(AH80&lt;AI80))),0,IF((AND((AH80&gt;=AI80),(AH80&lt;=AG80))),S80*((AH80-AI80)*12),IF((AND((AI80&lt;=AF80),(AG80&gt;=AF80))),((AG80-AF80)*12)*S80,IF(AH80&gt;AG80,12*S80,0)))))</f>
        <v>0</v>
      </c>
      <c r="U80" s="107">
        <f>IF(Q80=0,0,IF((AND((AJ80&gt;=AI80),(AJ80&lt;=AH80))),((AJ80-AI80)*12)*S80,0))</f>
        <v>0</v>
      </c>
      <c r="V80" s="107">
        <f>IF(U80&gt;0,U80,T80)</f>
        <v>0</v>
      </c>
      <c r="W80" s="105">
        <v>1</v>
      </c>
      <c r="X80" s="107">
        <f>W80*SUM(T80:U80)</f>
        <v>0</v>
      </c>
      <c r="Y80" s="105"/>
      <c r="Z80" s="107">
        <f>IF(AF80&gt;AG80,0,IF(AH80&lt;AI80,R80,IF((AND((AH80&gt;=AI80),(AH80&lt;=AG80))),(R80-V80),IF((AND((AI80&lt;=AF80),(AG80&gt;=AF80))),0,IF(AH80&gt;AG80,((AI80-AF80)*12)*S80,0)))))</f>
        <v>67500</v>
      </c>
      <c r="AA80" s="107">
        <f>Z80*W80</f>
        <v>67500</v>
      </c>
      <c r="AB80" s="105">
        <v>1</v>
      </c>
      <c r="AC80" s="107">
        <f>AA80*AB80</f>
        <v>67500</v>
      </c>
      <c r="AD80" s="107">
        <f>IF(Q80&gt;0,0,AC80+X80*AB80)*AB80</f>
        <v>67500</v>
      </c>
      <c r="AE80" s="107">
        <f>IF(Q80&gt;0,(P80-AC80)/2,IF(AF80&gt;=AI80,(((P80*W80)*AB80)-AD80)/2,((((P80*W80)*AB80)-AC80)+(((P80*W80)*AB80)-AD80))/2))</f>
        <v>0</v>
      </c>
      <c r="AF80" s="107">
        <f>$D80+(($E80-1)/12)</f>
        <v>1989.75</v>
      </c>
      <c r="AG80" s="107">
        <f>($R$5+1)-($R$2/12)</f>
        <v>2017.5</v>
      </c>
      <c r="AH80" s="107">
        <f>$I80+(($E80-1)/12)</f>
        <v>2009.75</v>
      </c>
      <c r="AI80" s="108">
        <f>$R$4+($R$3/12)</f>
        <v>2016.5</v>
      </c>
      <c r="AJ80" s="108">
        <f>$J80+(($K80-1)/12)</f>
        <v>-8.3333333333333329E-2</v>
      </c>
      <c r="AK80" s="108">
        <f>$I80+(($E80-1)/12)</f>
        <v>2009.75</v>
      </c>
      <c r="AL80" s="108">
        <f>$R$4+($R$3/12)</f>
        <v>2016.5</v>
      </c>
      <c r="AM80" s="108">
        <f>$J80+(($K80-1)/12)</f>
        <v>-8.3333333333333329E-2</v>
      </c>
    </row>
    <row r="81" spans="1:39" x14ac:dyDescent="0.25">
      <c r="A81">
        <v>15</v>
      </c>
      <c r="B81" t="s">
        <v>453</v>
      </c>
      <c r="C81" t="s">
        <v>784</v>
      </c>
      <c r="D81" s="34">
        <v>1989</v>
      </c>
      <c r="E81" s="34">
        <v>10</v>
      </c>
      <c r="F81" s="75"/>
      <c r="G81" s="34" t="s">
        <v>433</v>
      </c>
      <c r="H81" s="34">
        <v>20</v>
      </c>
      <c r="I81">
        <f>+D81+H81</f>
        <v>2009</v>
      </c>
      <c r="L81">
        <v>10</v>
      </c>
      <c r="M81">
        <f>+D81+L81</f>
        <v>1999</v>
      </c>
      <c r="N81" s="53" t="s">
        <v>788</v>
      </c>
      <c r="O81" s="32">
        <f>+R81</f>
        <v>131110</v>
      </c>
      <c r="P81" s="32">
        <v>131110</v>
      </c>
      <c r="Q81" s="32"/>
      <c r="R81" s="32">
        <f>+P81-P81*F81</f>
        <v>131110</v>
      </c>
      <c r="S81" s="107">
        <f>R81/H81/12</f>
        <v>546.29166666666663</v>
      </c>
      <c r="T81" s="107">
        <f>IF(Q81&gt;0,0,IF((OR((AF81&gt;AG81),(AH81&lt;AI81))),0,IF((AND((AH81&gt;=AI81),(AH81&lt;=AG81))),S81*((AH81-AI81)*12),IF((AND((AI81&lt;=AF81),(AG81&gt;=AF81))),((AG81-AF81)*12)*S81,IF(AH81&gt;AG81,12*S81,0)))))</f>
        <v>0</v>
      </c>
      <c r="U81" s="107">
        <f>IF(Q81=0,0,IF((AND((AJ81&gt;=AI81),(AJ81&lt;=AH81))),((AJ81-AI81)*12)*S81,0))</f>
        <v>0</v>
      </c>
      <c r="V81" s="107">
        <f>IF(U81&gt;0,U81,T81)</f>
        <v>0</v>
      </c>
      <c r="W81" s="105">
        <v>1</v>
      </c>
      <c r="X81" s="107">
        <f>W81*SUM(T81:U81)</f>
        <v>0</v>
      </c>
      <c r="Y81" s="105"/>
      <c r="Z81" s="107">
        <f>IF(AF81&gt;AG81,0,IF(AH81&lt;AI81,R81,IF((AND((AH81&gt;=AI81),(AH81&lt;=AG81))),(R81-V81),IF((AND((AI81&lt;=AF81),(AG81&gt;=AF81))),0,IF(AH81&gt;AG81,((AI81-AF81)*12)*S81,0)))))</f>
        <v>131110</v>
      </c>
      <c r="AA81" s="107">
        <f>Z81*W81</f>
        <v>131110</v>
      </c>
      <c r="AB81" s="105">
        <v>1</v>
      </c>
      <c r="AC81" s="107">
        <f>AA81*AB81</f>
        <v>131110</v>
      </c>
      <c r="AD81" s="107">
        <f>IF(Q81&gt;0,0,AC81+X81*AB81)*AB81</f>
        <v>131110</v>
      </c>
      <c r="AE81" s="107">
        <f>IF(Q81&gt;0,(P81-AC81)/2,IF(AF81&gt;=AI81,(((P81*W81)*AB81)-AD81)/2,((((P81*W81)*AB81)-AC81)+(((P81*W81)*AB81)-AD81))/2))</f>
        <v>0</v>
      </c>
      <c r="AF81" s="107">
        <f>$D81+(($E81-1)/12)</f>
        <v>1989.75</v>
      </c>
      <c r="AG81" s="107">
        <f>($R$5+1)-($R$2/12)</f>
        <v>2017.5</v>
      </c>
      <c r="AH81" s="107">
        <f>$I81+(($E81-1)/12)</f>
        <v>2009.75</v>
      </c>
      <c r="AI81" s="108">
        <f>$R$4+($R$3/12)</f>
        <v>2016.5</v>
      </c>
      <c r="AJ81" s="108">
        <f>$J81+(($K81-1)/12)</f>
        <v>-8.3333333333333329E-2</v>
      </c>
      <c r="AK81" s="108">
        <f>$I81+(($E81-1)/12)</f>
        <v>2009.75</v>
      </c>
      <c r="AL81" s="108">
        <f>$R$4+($R$3/12)</f>
        <v>2016.5</v>
      </c>
      <c r="AM81" s="108">
        <f>$J81+(($K81-1)/12)</f>
        <v>-8.3333333333333329E-2</v>
      </c>
    </row>
    <row r="82" spans="1:39" x14ac:dyDescent="0.25">
      <c r="A82">
        <v>16</v>
      </c>
      <c r="B82" t="s">
        <v>454</v>
      </c>
      <c r="C82" t="s">
        <v>784</v>
      </c>
      <c r="D82" s="34">
        <v>1994</v>
      </c>
      <c r="E82" s="34">
        <v>4</v>
      </c>
      <c r="F82" s="75"/>
      <c r="G82" s="34" t="s">
        <v>433</v>
      </c>
      <c r="H82" s="34">
        <v>20</v>
      </c>
      <c r="I82">
        <f>+D82+H82</f>
        <v>2014</v>
      </c>
      <c r="L82">
        <v>10</v>
      </c>
      <c r="M82">
        <f>+D82+L82</f>
        <v>2004</v>
      </c>
      <c r="N82" s="53" t="s">
        <v>788</v>
      </c>
      <c r="O82" s="32">
        <f>+R82</f>
        <v>113974</v>
      </c>
      <c r="P82" s="32">
        <v>113974</v>
      </c>
      <c r="Q82" s="32"/>
      <c r="R82" s="32">
        <f>+P82-P82*F82</f>
        <v>113974</v>
      </c>
      <c r="S82" s="107">
        <f>R82/H82/12</f>
        <v>474.89166666666665</v>
      </c>
      <c r="T82" s="107">
        <f>IF(Q82&gt;0,0,IF((OR((AF82&gt;AG82),(AH82&lt;AI82))),0,IF((AND((AH82&gt;=AI82),(AH82&lt;=AG82))),S82*((AH82-AI82)*12),IF((AND((AI82&lt;=AF82),(AG82&gt;=AF82))),((AG82-AF82)*12)*S82,IF(AH82&gt;AG82,12*S82,0)))))</f>
        <v>0</v>
      </c>
      <c r="U82" s="107">
        <f>IF(Q82=0,0,IF((AND((AJ82&gt;=AI82),(AJ82&lt;=AH82))),((AJ82-AI82)*12)*S82,0))</f>
        <v>0</v>
      </c>
      <c r="V82" s="107">
        <f>IF(U82&gt;0,U82,T82)</f>
        <v>0</v>
      </c>
      <c r="W82" s="105">
        <v>1</v>
      </c>
      <c r="X82" s="107">
        <f>W82*SUM(T82:U82)</f>
        <v>0</v>
      </c>
      <c r="Y82" s="105"/>
      <c r="Z82" s="107">
        <f>IF(AF82&gt;AG82,0,IF(AH82&lt;AI82,R82,IF((AND((AH82&gt;=AI82),(AH82&lt;=AG82))),(R82-V82),IF((AND((AI82&lt;=AF82),(AG82&gt;=AF82))),0,IF(AH82&gt;AG82,((AI82-AF82)*12)*S82,0)))))</f>
        <v>113974</v>
      </c>
      <c r="AA82" s="107">
        <f>Z82*W82</f>
        <v>113974</v>
      </c>
      <c r="AB82" s="105">
        <v>1</v>
      </c>
      <c r="AC82" s="107">
        <f>AA82*AB82</f>
        <v>113974</v>
      </c>
      <c r="AD82" s="107">
        <f>IF(Q82&gt;0,0,AC82+X82*AB82)*AB82</f>
        <v>113974</v>
      </c>
      <c r="AE82" s="107">
        <f>IF(Q82&gt;0,(P82-AC82)/2,IF(AF82&gt;=AI82,(((P82*W82)*AB82)-AD82)/2,((((P82*W82)*AB82)-AC82)+(((P82*W82)*AB82)-AD82))/2))</f>
        <v>0</v>
      </c>
      <c r="AF82" s="107">
        <f>$D82+(($E82-1)/12)</f>
        <v>1994.25</v>
      </c>
      <c r="AG82" s="107">
        <f>($R$5+1)-($R$2/12)</f>
        <v>2017.5</v>
      </c>
      <c r="AH82" s="107">
        <f>$I82+(($E82-1)/12)</f>
        <v>2014.25</v>
      </c>
      <c r="AI82" s="108">
        <f>$R$4+($R$3/12)</f>
        <v>2016.5</v>
      </c>
      <c r="AJ82" s="108">
        <f>$J82+(($K82-1)/12)</f>
        <v>-8.3333333333333329E-2</v>
      </c>
      <c r="AK82" s="108">
        <f>$I82+(($E82-1)/12)</f>
        <v>2014.25</v>
      </c>
      <c r="AL82" s="108">
        <f>$R$4+($R$3/12)</f>
        <v>2016.5</v>
      </c>
      <c r="AM82" s="108">
        <f>$J82+(($K82-1)/12)</f>
        <v>-8.3333333333333329E-2</v>
      </c>
    </row>
    <row r="83" spans="1:39" x14ac:dyDescent="0.25">
      <c r="A83">
        <v>17</v>
      </c>
      <c r="B83" s="117" t="s">
        <v>769</v>
      </c>
      <c r="C83" t="s">
        <v>784</v>
      </c>
      <c r="D83" s="34">
        <v>1994</v>
      </c>
      <c r="E83" s="34">
        <v>10</v>
      </c>
      <c r="F83" s="75"/>
      <c r="G83" s="34" t="s">
        <v>433</v>
      </c>
      <c r="H83" s="34">
        <v>10</v>
      </c>
      <c r="I83">
        <f>+D83+H83</f>
        <v>2004</v>
      </c>
      <c r="L83" s="53" t="s">
        <v>788</v>
      </c>
      <c r="M83" s="53" t="s">
        <v>788</v>
      </c>
      <c r="N83" s="53" t="s">
        <v>788</v>
      </c>
      <c r="O83" s="53" t="s">
        <v>788</v>
      </c>
      <c r="P83" s="32">
        <v>1440</v>
      </c>
      <c r="Q83" s="32"/>
      <c r="R83" s="32">
        <f>+P83-P83*F83</f>
        <v>1440</v>
      </c>
      <c r="S83" s="107">
        <f>R83/H83/12</f>
        <v>12</v>
      </c>
      <c r="T83" s="107">
        <f>IF(Q83&gt;0,0,IF((OR((AF83&gt;AG83),(AH83&lt;AI83))),0,IF((AND((AH83&gt;=AI83),(AH83&lt;=AG83))),S83*((AH83-AI83)*12),IF((AND((AI83&lt;=AF83),(AG83&gt;=AF83))),((AG83-AF83)*12)*S83,IF(AH83&gt;AG83,12*S83,0)))))</f>
        <v>0</v>
      </c>
      <c r="U83" s="107">
        <f>IF(Q83=0,0,IF((AND((AJ83&gt;=AI83),(AJ83&lt;=AH83))),((AJ83-AI83)*12)*S83,0))</f>
        <v>0</v>
      </c>
      <c r="V83" s="107">
        <f>IF(U83&gt;0,U83,T83)</f>
        <v>0</v>
      </c>
      <c r="W83" s="105">
        <v>1</v>
      </c>
      <c r="X83" s="107">
        <f>W83*SUM(T83:U83)</f>
        <v>0</v>
      </c>
      <c r="Y83" s="105"/>
      <c r="Z83" s="107">
        <f>IF(AF83&gt;AG83,0,IF(AH83&lt;AI83,R83,IF((AND((AH83&gt;=AI83),(AH83&lt;=AG83))),(R83-V83),IF((AND((AI83&lt;=AF83),(AG83&gt;=AF83))),0,IF(AH83&gt;AG83,((AI83-AF83)*12)*S83,0)))))</f>
        <v>1440</v>
      </c>
      <c r="AA83" s="107">
        <f>Z83*W83</f>
        <v>1440</v>
      </c>
      <c r="AB83" s="105">
        <v>1</v>
      </c>
      <c r="AC83" s="107">
        <f>AA83*AB83</f>
        <v>1440</v>
      </c>
      <c r="AD83" s="107">
        <f>IF(Q83&gt;0,0,AC83+X83*AB83)*AB83</f>
        <v>1440</v>
      </c>
      <c r="AE83" s="107">
        <f>IF(Q83&gt;0,(P83-AC83)/2,IF(AF83&gt;=AI83,(((P83*W83)*AB83)-AD83)/2,((((P83*W83)*AB83)-AC83)+(((P83*W83)*AB83)-AD83))/2))</f>
        <v>0</v>
      </c>
      <c r="AF83" s="107">
        <f>$D83+(($E83-1)/12)</f>
        <v>1994.75</v>
      </c>
      <c r="AG83" s="107">
        <f>($R$5+1)-($R$2/12)</f>
        <v>2017.5</v>
      </c>
      <c r="AH83" s="107">
        <f>$I83+(($E83-1)/12)</f>
        <v>2004.75</v>
      </c>
      <c r="AI83" s="108">
        <f>$R$4+($R$3/12)</f>
        <v>2016.5</v>
      </c>
      <c r="AJ83" s="108">
        <f>$J83+(($K83-1)/12)</f>
        <v>-8.3333333333333329E-2</v>
      </c>
      <c r="AK83" s="108">
        <f>$I83+(($E83-1)/12)</f>
        <v>2004.75</v>
      </c>
      <c r="AL83" s="108">
        <f>$R$4+($R$3/12)</f>
        <v>2016.5</v>
      </c>
      <c r="AM83" s="108">
        <f>$J83+(($K83-1)/12)</f>
        <v>-8.3333333333333329E-2</v>
      </c>
    </row>
    <row r="84" spans="1:39" x14ac:dyDescent="0.25">
      <c r="A84">
        <v>23</v>
      </c>
      <c r="B84" t="s">
        <v>460</v>
      </c>
      <c r="C84" t="s">
        <v>784</v>
      </c>
      <c r="D84" s="34">
        <v>1997</v>
      </c>
      <c r="E84" s="34">
        <v>9</v>
      </c>
      <c r="F84" s="75"/>
      <c r="G84" s="34" t="s">
        <v>433</v>
      </c>
      <c r="H84" s="34">
        <v>20</v>
      </c>
      <c r="I84">
        <f>+D84+H84</f>
        <v>2017</v>
      </c>
      <c r="L84">
        <v>10</v>
      </c>
      <c r="M84">
        <f>+D84+L84</f>
        <v>2007</v>
      </c>
      <c r="N84" s="53" t="s">
        <v>788</v>
      </c>
      <c r="O84" s="32">
        <f>+R84</f>
        <v>150000</v>
      </c>
      <c r="P84" s="32">
        <v>150000</v>
      </c>
      <c r="Q84" s="32"/>
      <c r="R84" s="32">
        <f>+P84-P84*F84</f>
        <v>150000</v>
      </c>
      <c r="S84" s="107">
        <f>R84/H84/12</f>
        <v>625</v>
      </c>
      <c r="T84" s="107">
        <v>0</v>
      </c>
      <c r="U84" s="107">
        <f>IF(Q84=0,0,IF((AND((AJ84&gt;=AI84),(AJ84&lt;=AH84))),((AJ84-AI84)*12)*S84,0))</f>
        <v>0</v>
      </c>
      <c r="V84" s="107">
        <f>IF(U84&gt;0,U84,T84)</f>
        <v>0</v>
      </c>
      <c r="W84" s="105">
        <v>1</v>
      </c>
      <c r="X84" s="107">
        <f>W84*SUM(T84:U84)</f>
        <v>0</v>
      </c>
      <c r="Y84" s="105"/>
      <c r="Z84" s="107">
        <v>150000</v>
      </c>
      <c r="AA84" s="107">
        <f>Z84*W84</f>
        <v>150000</v>
      </c>
      <c r="AB84" s="105">
        <v>1</v>
      </c>
      <c r="AC84" s="107">
        <f>AA84*AB84</f>
        <v>150000</v>
      </c>
      <c r="AD84" s="107">
        <f>IF(Q84&gt;0,0,AC84+X84*AB84)*AB84</f>
        <v>150000</v>
      </c>
      <c r="AE84" s="107">
        <f>IF(Q84&gt;0,(P84-AC84)/2,IF(AF84&gt;=AI84,(((P84*W84)*AB84)-AD84)/2,((((P84*W84)*AB84)-AC84)+(((P84*W84)*AB84)-AD84))/2))</f>
        <v>0</v>
      </c>
      <c r="AF84" s="107">
        <f>$D84+(($E84-1)/12)</f>
        <v>1997.6666666666667</v>
      </c>
      <c r="AG84" s="107">
        <f>($R$5+1)-($R$2/12)</f>
        <v>2017.5</v>
      </c>
      <c r="AH84" s="107">
        <f>$I84+(($E84-1)/12)</f>
        <v>2017.6666666666667</v>
      </c>
      <c r="AI84" s="108">
        <f>$R$4+($R$3/12)</f>
        <v>2016.5</v>
      </c>
      <c r="AJ84" s="108">
        <f>$J84+(($K84-1)/12)</f>
        <v>-8.3333333333333329E-2</v>
      </c>
      <c r="AK84" s="108">
        <f>$I84+(($E84-1)/12)</f>
        <v>2017.6666666666667</v>
      </c>
      <c r="AL84" s="108">
        <f>$R$4+($R$3/12)</f>
        <v>2016.5</v>
      </c>
      <c r="AM84" s="108">
        <f>$J84+(($K84-1)/12)</f>
        <v>-8.3333333333333329E-2</v>
      </c>
    </row>
    <row r="85" spans="1:39" x14ac:dyDescent="0.25">
      <c r="A85">
        <v>24</v>
      </c>
      <c r="B85" t="s">
        <v>461</v>
      </c>
      <c r="C85" t="s">
        <v>784</v>
      </c>
      <c r="D85" s="34">
        <v>1997</v>
      </c>
      <c r="E85" s="34">
        <v>9</v>
      </c>
      <c r="F85" s="75"/>
      <c r="G85" s="34" t="s">
        <v>433</v>
      </c>
      <c r="H85" s="34">
        <v>7</v>
      </c>
      <c r="I85">
        <f>+D85+H85</f>
        <v>2004</v>
      </c>
      <c r="L85" s="53" t="s">
        <v>788</v>
      </c>
      <c r="M85" s="53" t="s">
        <v>788</v>
      </c>
      <c r="N85" s="53" t="s">
        <v>788</v>
      </c>
      <c r="O85" s="53" t="s">
        <v>788</v>
      </c>
      <c r="P85" s="32">
        <v>21689</v>
      </c>
      <c r="Q85" s="32"/>
      <c r="R85" s="32">
        <f>+P85-P85*F85</f>
        <v>21689</v>
      </c>
      <c r="S85" s="107">
        <f>R85/H85/12</f>
        <v>258.20238095238096</v>
      </c>
      <c r="T85" s="107">
        <f>IF(Q85&gt;0,0,IF((OR((AF85&gt;AG85),(AH85&lt;AI85))),0,IF((AND((AH85&gt;=AI85),(AH85&lt;=AG85))),S85*((AH85-AI85)*12),IF((AND((AI85&lt;=AF85),(AG85&gt;=AF85))),((AG85-AF85)*12)*S85,IF(AH85&gt;AG85,12*S85,0)))))</f>
        <v>0</v>
      </c>
      <c r="U85" s="107">
        <f>IF(Q85=0,0,IF((AND((AJ85&gt;=AI85),(AJ85&lt;=AH85))),((AJ85-AI85)*12)*S85,0))</f>
        <v>0</v>
      </c>
      <c r="V85" s="107">
        <f>IF(U85&gt;0,U85,T85)</f>
        <v>0</v>
      </c>
      <c r="W85" s="105">
        <v>1</v>
      </c>
      <c r="X85" s="107">
        <f>W85*SUM(T85:U85)</f>
        <v>0</v>
      </c>
      <c r="Y85" s="105"/>
      <c r="Z85" s="107">
        <f>IF(AF85&gt;AG85,0,IF(AH85&lt;AI85,R85,IF((AND((AH85&gt;=AI85),(AH85&lt;=AG85))),(R85-V85),IF((AND((AI85&lt;=AF85),(AG85&gt;=AF85))),0,IF(AH85&gt;AG85,((AI85-AF85)*12)*S85,0)))))</f>
        <v>21689</v>
      </c>
      <c r="AA85" s="107">
        <f>Z85*W85</f>
        <v>21689</v>
      </c>
      <c r="AB85" s="105">
        <v>1</v>
      </c>
      <c r="AC85" s="107">
        <f>AA85*AB85</f>
        <v>21689</v>
      </c>
      <c r="AD85" s="107">
        <f>IF(Q85&gt;0,0,AC85+X85*AB85)*AB85</f>
        <v>21689</v>
      </c>
      <c r="AE85" s="107">
        <f>IF(Q85&gt;0,(P85-AC85)/2,IF(AF85&gt;=AI85,(((P85*W85)*AB85)-AD85)/2,((((P85*W85)*AB85)-AC85)+(((P85*W85)*AB85)-AD85))/2))</f>
        <v>0</v>
      </c>
      <c r="AF85" s="107">
        <f>$D85+(($E85-1)/12)</f>
        <v>1997.6666666666667</v>
      </c>
      <c r="AG85" s="107">
        <f>($R$5+1)-($R$2/12)</f>
        <v>2017.5</v>
      </c>
      <c r="AH85" s="107">
        <f>$I85+(($E85-1)/12)</f>
        <v>2004.6666666666667</v>
      </c>
      <c r="AI85" s="108">
        <f>$R$4+($R$3/12)</f>
        <v>2016.5</v>
      </c>
      <c r="AJ85" s="108">
        <f>$J85+(($K85-1)/12)</f>
        <v>-8.3333333333333329E-2</v>
      </c>
      <c r="AK85" s="108">
        <f>$I85+(($E85-1)/12)</f>
        <v>2004.6666666666667</v>
      </c>
      <c r="AL85" s="108">
        <f>$R$4+($R$3/12)</f>
        <v>2016.5</v>
      </c>
      <c r="AM85" s="108">
        <f>$J85+(($K85-1)/12)</f>
        <v>-8.3333333333333329E-2</v>
      </c>
    </row>
    <row r="86" spans="1:39" x14ac:dyDescent="0.25">
      <c r="A86">
        <v>25</v>
      </c>
      <c r="B86" t="s">
        <v>461</v>
      </c>
      <c r="C86" t="s">
        <v>784</v>
      </c>
      <c r="D86" s="34">
        <v>1998</v>
      </c>
      <c r="E86" s="34">
        <v>3</v>
      </c>
      <c r="F86" s="75"/>
      <c r="G86" s="34" t="s">
        <v>433</v>
      </c>
      <c r="H86" s="34">
        <v>7</v>
      </c>
      <c r="I86">
        <f>+D86+H86</f>
        <v>2005</v>
      </c>
      <c r="L86" s="53" t="s">
        <v>788</v>
      </c>
      <c r="M86" s="53" t="s">
        <v>788</v>
      </c>
      <c r="N86" s="53" t="s">
        <v>788</v>
      </c>
      <c r="O86" s="53" t="s">
        <v>788</v>
      </c>
      <c r="P86" s="32">
        <v>10066</v>
      </c>
      <c r="Q86" s="32"/>
      <c r="R86" s="32">
        <f>+P86-P86*F86</f>
        <v>10066</v>
      </c>
      <c r="S86" s="107">
        <f>R86/H86/12</f>
        <v>119.83333333333333</v>
      </c>
      <c r="T86" s="107">
        <f>IF(Q86&gt;0,0,IF((OR((AF86&gt;AG86),(AH86&lt;AI86))),0,IF((AND((AH86&gt;=AI86),(AH86&lt;=AG86))),S86*((AH86-AI86)*12),IF((AND((AI86&lt;=AF86),(AG86&gt;=AF86))),((AG86-AF86)*12)*S86,IF(AH86&gt;AG86,12*S86,0)))))</f>
        <v>0</v>
      </c>
      <c r="U86" s="107">
        <f>IF(Q86=0,0,IF((AND((AJ86&gt;=AI86),(AJ86&lt;=AH86))),((AJ86-AI86)*12)*S86,0))</f>
        <v>0</v>
      </c>
      <c r="V86" s="107">
        <f>IF(U86&gt;0,U86,T86)</f>
        <v>0</v>
      </c>
      <c r="W86" s="105">
        <v>1</v>
      </c>
      <c r="X86" s="107">
        <f>W86*SUM(T86:U86)</f>
        <v>0</v>
      </c>
      <c r="Y86" s="105"/>
      <c r="Z86" s="107">
        <f>IF(AF86&gt;AG86,0,IF(AH86&lt;AI86,R86,IF((AND((AH86&gt;=AI86),(AH86&lt;=AG86))),(R86-V86),IF((AND((AI86&lt;=AF86),(AG86&gt;=AF86))),0,IF(AH86&gt;AG86,((AI86-AF86)*12)*S86,0)))))</f>
        <v>10066</v>
      </c>
      <c r="AA86" s="107">
        <f>Z86*W86</f>
        <v>10066</v>
      </c>
      <c r="AB86" s="105">
        <v>1</v>
      </c>
      <c r="AC86" s="107">
        <f>AA86*AB86</f>
        <v>10066</v>
      </c>
      <c r="AD86" s="107">
        <f>IF(Q86&gt;0,0,AC86+X86*AB86)*AB86</f>
        <v>10066</v>
      </c>
      <c r="AE86" s="107">
        <f>IF(Q86&gt;0,(P86-AC86)/2,IF(AF86&gt;=AI86,(((P86*W86)*AB86)-AD86)/2,((((P86*W86)*AB86)-AC86)+(((P86*W86)*AB86)-AD86))/2))</f>
        <v>0</v>
      </c>
      <c r="AF86" s="107">
        <f>$D86+(($E86-1)/12)</f>
        <v>1998.1666666666667</v>
      </c>
      <c r="AG86" s="107">
        <f>($R$5+1)-($R$2/12)</f>
        <v>2017.5</v>
      </c>
      <c r="AH86" s="107">
        <f>$I86+(($E86-1)/12)</f>
        <v>2005.1666666666667</v>
      </c>
      <c r="AI86" s="108">
        <f>$R$4+($R$3/12)</f>
        <v>2016.5</v>
      </c>
      <c r="AJ86" s="108">
        <f>$J86+(($K86-1)/12)</f>
        <v>-8.3333333333333329E-2</v>
      </c>
      <c r="AK86" s="108">
        <f>$I86+(($E86-1)/12)</f>
        <v>2005.1666666666667</v>
      </c>
      <c r="AL86" s="108">
        <f>$R$4+($R$3/12)</f>
        <v>2016.5</v>
      </c>
      <c r="AM86" s="108">
        <f>$J86+(($K86-1)/12)</f>
        <v>-8.3333333333333329E-2</v>
      </c>
    </row>
    <row r="87" spans="1:39" x14ac:dyDescent="0.25">
      <c r="A87">
        <v>26</v>
      </c>
      <c r="B87" t="s">
        <v>462</v>
      </c>
      <c r="C87" t="s">
        <v>784</v>
      </c>
      <c r="D87" s="34">
        <v>1998</v>
      </c>
      <c r="E87" s="34">
        <v>4</v>
      </c>
      <c r="F87" s="75"/>
      <c r="G87" s="34" t="s">
        <v>433</v>
      </c>
      <c r="H87" s="34">
        <v>20</v>
      </c>
      <c r="I87">
        <f>+D87+H87</f>
        <v>2018</v>
      </c>
      <c r="L87">
        <v>10</v>
      </c>
      <c r="M87">
        <f>+D87+L87</f>
        <v>2008</v>
      </c>
      <c r="N87" s="53" t="s">
        <v>788</v>
      </c>
      <c r="O87" s="32">
        <f>+R87</f>
        <v>50000</v>
      </c>
      <c r="P87" s="32">
        <v>50000</v>
      </c>
      <c r="Q87" s="32"/>
      <c r="R87" s="32">
        <f>+P87-P87*F87</f>
        <v>50000</v>
      </c>
      <c r="S87" s="107">
        <f>R87/H87/12</f>
        <v>208.33333333333334</v>
      </c>
      <c r="T87" s="107">
        <v>0</v>
      </c>
      <c r="U87" s="107">
        <f>IF(Q87=0,0,IF((AND((AJ87&gt;=AI87),(AJ87&lt;=AH87))),((AJ87-AI87)*12)*S87,0))</f>
        <v>0</v>
      </c>
      <c r="V87" s="107">
        <f>IF(U87&gt;0,U87,T87)</f>
        <v>0</v>
      </c>
      <c r="W87" s="105">
        <v>1</v>
      </c>
      <c r="X87" s="107">
        <f>W87*SUM(T87:U87)</f>
        <v>0</v>
      </c>
      <c r="Y87" s="105"/>
      <c r="Z87" s="107">
        <v>50000</v>
      </c>
      <c r="AA87" s="107">
        <f>Z87*W87</f>
        <v>50000</v>
      </c>
      <c r="AB87" s="105">
        <v>1</v>
      </c>
      <c r="AC87" s="107">
        <f>AA87*AB87</f>
        <v>50000</v>
      </c>
      <c r="AD87" s="107">
        <f>IF(Q87&gt;0,0,AC87+X87*AB87)*AB87</f>
        <v>50000</v>
      </c>
      <c r="AE87" s="107">
        <f>IF(Q87&gt;0,(P87-AC87)/2,IF(AF87&gt;=AI87,(((P87*W87)*AB87)-AD87)/2,((((P87*W87)*AB87)-AC87)+(((P87*W87)*AB87)-AD87))/2))</f>
        <v>0</v>
      </c>
      <c r="AF87" s="107">
        <f>$D87+(($E87-1)/12)</f>
        <v>1998.25</v>
      </c>
      <c r="AG87" s="107">
        <f>($R$5+1)-($R$2/12)</f>
        <v>2017.5</v>
      </c>
      <c r="AH87" s="107">
        <f>$I87+(($E87-1)/12)</f>
        <v>2018.25</v>
      </c>
      <c r="AI87" s="108">
        <f>$R$4+($R$3/12)</f>
        <v>2016.5</v>
      </c>
      <c r="AJ87" s="108">
        <f>$J87+(($K87-1)/12)</f>
        <v>-8.3333333333333329E-2</v>
      </c>
      <c r="AK87" s="108">
        <f>$I87+(($E87-1)/12)</f>
        <v>2018.25</v>
      </c>
      <c r="AL87" s="108">
        <f>$R$4+($R$3/12)</f>
        <v>2016.5</v>
      </c>
      <c r="AM87" s="108">
        <f>$J87+(($K87-1)/12)</f>
        <v>-8.3333333333333329E-2</v>
      </c>
    </row>
    <row r="88" spans="1:39" x14ac:dyDescent="0.25">
      <c r="A88">
        <v>27</v>
      </c>
      <c r="B88" t="s">
        <v>461</v>
      </c>
      <c r="C88" t="s">
        <v>784</v>
      </c>
      <c r="D88" s="34">
        <v>1998</v>
      </c>
      <c r="E88" s="34">
        <v>9</v>
      </c>
      <c r="F88" s="75"/>
      <c r="G88" s="34" t="s">
        <v>433</v>
      </c>
      <c r="H88" s="34">
        <v>7</v>
      </c>
      <c r="I88">
        <f>+D88+H88</f>
        <v>2005</v>
      </c>
      <c r="L88" s="53" t="s">
        <v>788</v>
      </c>
      <c r="M88" s="53" t="s">
        <v>788</v>
      </c>
      <c r="N88" s="53" t="s">
        <v>788</v>
      </c>
      <c r="O88" s="53" t="s">
        <v>788</v>
      </c>
      <c r="P88" s="32">
        <v>6087</v>
      </c>
      <c r="Q88" s="32"/>
      <c r="R88" s="32">
        <f>+P88-P88*F88</f>
        <v>6087</v>
      </c>
      <c r="S88" s="107">
        <f>R88/H88/12</f>
        <v>72.464285714285708</v>
      </c>
      <c r="T88" s="107">
        <f>IF(Q88&gt;0,0,IF((OR((AF88&gt;AG88),(AH88&lt;AI88))),0,IF((AND((AH88&gt;=AI88),(AH88&lt;=AG88))),S88*((AH88-AI88)*12),IF((AND((AI88&lt;=AF88),(AG88&gt;=AF88))),((AG88-AF88)*12)*S88,IF(AH88&gt;AG88,12*S88,0)))))</f>
        <v>0</v>
      </c>
      <c r="U88" s="107">
        <f>IF(Q88=0,0,IF((AND((AJ88&gt;=AI88),(AJ88&lt;=AH88))),((AJ88-AI88)*12)*S88,0))</f>
        <v>0</v>
      </c>
      <c r="V88" s="107">
        <f>IF(U88&gt;0,U88,T88)</f>
        <v>0</v>
      </c>
      <c r="W88" s="105">
        <v>1</v>
      </c>
      <c r="X88" s="107">
        <f>W88*SUM(T88:U88)</f>
        <v>0</v>
      </c>
      <c r="Y88" s="105"/>
      <c r="Z88" s="107">
        <f>IF(AF88&gt;AG88,0,IF(AH88&lt;AI88,R88,IF((AND((AH88&gt;=AI88),(AH88&lt;=AG88))),(R88-V88),IF((AND((AI88&lt;=AF88),(AG88&gt;=AF88))),0,IF(AH88&gt;AG88,((AI88-AF88)*12)*S88,0)))))</f>
        <v>6087</v>
      </c>
      <c r="AA88" s="107">
        <f>Z88*W88</f>
        <v>6087</v>
      </c>
      <c r="AB88" s="105">
        <v>1</v>
      </c>
      <c r="AC88" s="107">
        <f>AA88*AB88</f>
        <v>6087</v>
      </c>
      <c r="AD88" s="107">
        <f>IF(Q88&gt;0,0,AC88+X88*AB88)*AB88</f>
        <v>6087</v>
      </c>
      <c r="AE88" s="107">
        <f>IF(Q88&gt;0,(P88-AC88)/2,IF(AF88&gt;=AI88,(((P88*W88)*AB88)-AD88)/2,((((P88*W88)*AB88)-AC88)+(((P88*W88)*AB88)-AD88))/2))</f>
        <v>0</v>
      </c>
      <c r="AF88" s="107">
        <f>$D88+(($E88-1)/12)</f>
        <v>1998.6666666666667</v>
      </c>
      <c r="AG88" s="107">
        <f>($R$5+1)-($R$2/12)</f>
        <v>2017.5</v>
      </c>
      <c r="AH88" s="107">
        <f>$I88+(($E88-1)/12)</f>
        <v>2005.6666666666667</v>
      </c>
      <c r="AI88" s="108">
        <f>$R$4+($R$3/12)</f>
        <v>2016.5</v>
      </c>
      <c r="AJ88" s="108">
        <f>$J88+(($K88-1)/12)</f>
        <v>-8.3333333333333329E-2</v>
      </c>
      <c r="AK88" s="108">
        <f>$I88+(($E88-1)/12)</f>
        <v>2005.6666666666667</v>
      </c>
      <c r="AL88" s="108">
        <f>$R$4+($R$3/12)</f>
        <v>2016.5</v>
      </c>
      <c r="AM88" s="108">
        <f>$J88+(($K88-1)/12)</f>
        <v>-8.3333333333333329E-2</v>
      </c>
    </row>
    <row r="89" spans="1:39" x14ac:dyDescent="0.25">
      <c r="A89">
        <v>30</v>
      </c>
      <c r="B89" t="s">
        <v>465</v>
      </c>
      <c r="C89" t="s">
        <v>784</v>
      </c>
      <c r="D89" s="34">
        <v>1999</v>
      </c>
      <c r="E89" s="34">
        <v>8</v>
      </c>
      <c r="F89" s="75"/>
      <c r="G89" s="34" t="s">
        <v>433</v>
      </c>
      <c r="H89" s="34">
        <v>10</v>
      </c>
      <c r="I89">
        <f>+D89+H89</f>
        <v>2009</v>
      </c>
      <c r="L89" s="53" t="s">
        <v>788</v>
      </c>
      <c r="M89" s="53" t="s">
        <v>788</v>
      </c>
      <c r="N89" s="53" t="s">
        <v>788</v>
      </c>
      <c r="O89" s="53" t="s">
        <v>788</v>
      </c>
      <c r="P89" s="32">
        <v>10000</v>
      </c>
      <c r="Q89" s="32"/>
      <c r="R89" s="32">
        <f>+P89-P89*F89</f>
        <v>10000</v>
      </c>
      <c r="S89" s="107">
        <f>R89/H89/12</f>
        <v>83.333333333333329</v>
      </c>
      <c r="T89" s="107">
        <f>IF(Q89&gt;0,0,IF((OR((AF89&gt;AG89),(AH89&lt;AI89))),0,IF((AND((AH89&gt;=AI89),(AH89&lt;=AG89))),S89*((AH89-AI89)*12),IF((AND((AI89&lt;=AF89),(AG89&gt;=AF89))),((AG89-AF89)*12)*S89,IF(AH89&gt;AG89,12*S89,0)))))</f>
        <v>0</v>
      </c>
      <c r="U89" s="107">
        <f>IF(Q89=0,0,IF((AND((AJ89&gt;=AI89),(AJ89&lt;=AH89))),((AJ89-AI89)*12)*S89,0))</f>
        <v>0</v>
      </c>
      <c r="V89" s="107">
        <f>IF(U89&gt;0,U89,T89)</f>
        <v>0</v>
      </c>
      <c r="W89" s="105">
        <v>1</v>
      </c>
      <c r="X89" s="107">
        <f>W89*SUM(T89:U89)</f>
        <v>0</v>
      </c>
      <c r="Y89" s="105"/>
      <c r="Z89" s="107">
        <f>IF(AF89&gt;AG89,0,IF(AH89&lt;AI89,R89,IF((AND((AH89&gt;=AI89),(AH89&lt;=AG89))),(R89-V89),IF((AND((AI89&lt;=AF89),(AG89&gt;=AF89))),0,IF(AH89&gt;AG89,((AI89-AF89)*12)*S89,0)))))</f>
        <v>10000</v>
      </c>
      <c r="AA89" s="107">
        <f>Z89*W89</f>
        <v>10000</v>
      </c>
      <c r="AB89" s="105">
        <v>1</v>
      </c>
      <c r="AC89" s="107">
        <f>AA89*AB89</f>
        <v>10000</v>
      </c>
      <c r="AD89" s="107">
        <f>IF(Q89&gt;0,0,AC89+X89*AB89)*AB89</f>
        <v>10000</v>
      </c>
      <c r="AE89" s="107">
        <f>IF(Q89&gt;0,(P89-AC89)/2,IF(AF89&gt;=AI89,(((P89*W89)*AB89)-AD89)/2,((((P89*W89)*AB89)-AC89)+(((P89*W89)*AB89)-AD89))/2))</f>
        <v>0</v>
      </c>
      <c r="AF89" s="107">
        <f>$D89+(($E89-1)/12)</f>
        <v>1999.5833333333333</v>
      </c>
      <c r="AG89" s="107">
        <f>($R$5+1)-($R$2/12)</f>
        <v>2017.5</v>
      </c>
      <c r="AH89" s="107">
        <f>$I89+(($E89-1)/12)</f>
        <v>2009.5833333333333</v>
      </c>
      <c r="AI89" s="108">
        <f>$R$4+($R$3/12)</f>
        <v>2016.5</v>
      </c>
      <c r="AJ89" s="108">
        <f>$J89+(($K89-1)/12)</f>
        <v>-8.3333333333333329E-2</v>
      </c>
      <c r="AK89" s="108">
        <f>$I89+(($E89-1)/12)</f>
        <v>2009.5833333333333</v>
      </c>
      <c r="AL89" s="108">
        <f>$R$4+($R$3/12)</f>
        <v>2016.5</v>
      </c>
      <c r="AM89" s="108">
        <f>$J89+(($K89-1)/12)</f>
        <v>-8.3333333333333329E-2</v>
      </c>
    </row>
    <row r="90" spans="1:39" x14ac:dyDescent="0.25">
      <c r="A90">
        <v>34</v>
      </c>
      <c r="B90" t="s">
        <v>468</v>
      </c>
      <c r="C90" t="s">
        <v>784</v>
      </c>
      <c r="D90" s="34">
        <v>2000</v>
      </c>
      <c r="E90" s="34">
        <v>5</v>
      </c>
      <c r="F90" s="75"/>
      <c r="G90" s="34" t="s">
        <v>433</v>
      </c>
      <c r="H90" s="34">
        <v>7</v>
      </c>
      <c r="I90">
        <f>+D90+H90</f>
        <v>2007</v>
      </c>
      <c r="L90" s="53" t="s">
        <v>788</v>
      </c>
      <c r="M90" s="53" t="s">
        <v>788</v>
      </c>
      <c r="N90" s="53" t="s">
        <v>788</v>
      </c>
      <c r="O90" s="53" t="s">
        <v>788</v>
      </c>
      <c r="P90" s="32">
        <v>1904</v>
      </c>
      <c r="Q90" s="32"/>
      <c r="R90" s="32">
        <f>+P90-P90*F90</f>
        <v>1904</v>
      </c>
      <c r="S90" s="107">
        <f>R90/H90/12</f>
        <v>22.666666666666668</v>
      </c>
      <c r="T90" s="107">
        <f>IF(Q90&gt;0,0,IF((OR((AF90&gt;AG90),(AH90&lt;AI90))),0,IF((AND((AH90&gt;=AI90),(AH90&lt;=AG90))),S90*((AH90-AI90)*12),IF((AND((AI90&lt;=AF90),(AG90&gt;=AF90))),((AG90-AF90)*12)*S90,IF(AH90&gt;AG90,12*S90,0)))))</f>
        <v>0</v>
      </c>
      <c r="U90" s="107">
        <f>IF(Q90=0,0,IF((AND((AJ90&gt;=AI90),(AJ90&lt;=AH90))),((AJ90-AI90)*12)*S90,0))</f>
        <v>0</v>
      </c>
      <c r="V90" s="107">
        <f>IF(U90&gt;0,U90,T90)</f>
        <v>0</v>
      </c>
      <c r="W90" s="105">
        <v>1</v>
      </c>
      <c r="X90" s="107">
        <f>W90*SUM(T90:U90)</f>
        <v>0</v>
      </c>
      <c r="Y90" s="105"/>
      <c r="Z90" s="107">
        <f>IF(AF90&gt;AG90,0,IF(AH90&lt;AI90,R90,IF((AND((AH90&gt;=AI90),(AH90&lt;=AG90))),(R90-V90),IF((AND((AI90&lt;=AF90),(AG90&gt;=AF90))),0,IF(AH90&gt;AG90,((AI90-AF90)*12)*S90,0)))))</f>
        <v>1904</v>
      </c>
      <c r="AA90" s="107">
        <f>Z90*W90</f>
        <v>1904</v>
      </c>
      <c r="AB90" s="105">
        <v>1</v>
      </c>
      <c r="AC90" s="107">
        <f>AA90*AB90</f>
        <v>1904</v>
      </c>
      <c r="AD90" s="107">
        <f>IF(Q90&gt;0,0,AC90+X90*AB90)*AB90</f>
        <v>1904</v>
      </c>
      <c r="AE90" s="107">
        <f>IF(Q90&gt;0,(P90-AC90)/2,IF(AF90&gt;=AI90,(((P90*W90)*AB90)-AD90)/2,((((P90*W90)*AB90)-AC90)+(((P90*W90)*AB90)-AD90))/2))</f>
        <v>0</v>
      </c>
      <c r="AF90" s="107">
        <f>$D90+(($E90-1)/12)</f>
        <v>2000.3333333333333</v>
      </c>
      <c r="AG90" s="107">
        <f>($R$5+1)-($R$2/12)</f>
        <v>2017.5</v>
      </c>
      <c r="AH90" s="107">
        <f>$I90+(($E90-1)/12)</f>
        <v>2007.3333333333333</v>
      </c>
      <c r="AI90" s="108">
        <f>$R$4+($R$3/12)</f>
        <v>2016.5</v>
      </c>
      <c r="AJ90" s="108">
        <f>$J90+(($K90-1)/12)</f>
        <v>-8.3333333333333329E-2</v>
      </c>
      <c r="AK90" s="108">
        <f>$I90+(($E90-1)/12)</f>
        <v>2007.3333333333333</v>
      </c>
      <c r="AL90" s="108">
        <f>$R$4+($R$3/12)</f>
        <v>2016.5</v>
      </c>
      <c r="AM90" s="108">
        <f>$J90+(($K90-1)/12)</f>
        <v>-8.3333333333333329E-2</v>
      </c>
    </row>
    <row r="91" spans="1:39" x14ac:dyDescent="0.25">
      <c r="A91">
        <v>35</v>
      </c>
      <c r="B91" t="s">
        <v>469</v>
      </c>
      <c r="C91" t="s">
        <v>784</v>
      </c>
      <c r="D91" s="34">
        <v>2000</v>
      </c>
      <c r="E91" s="34">
        <v>6</v>
      </c>
      <c r="F91" s="75"/>
      <c r="G91" s="34" t="s">
        <v>433</v>
      </c>
      <c r="H91" s="34">
        <v>7</v>
      </c>
      <c r="I91">
        <f>+D91+H91</f>
        <v>2007</v>
      </c>
      <c r="L91" s="53" t="s">
        <v>788</v>
      </c>
      <c r="M91" s="53" t="s">
        <v>788</v>
      </c>
      <c r="N91" s="53" t="s">
        <v>788</v>
      </c>
      <c r="O91" s="53" t="s">
        <v>788</v>
      </c>
      <c r="P91" s="32">
        <v>2891</v>
      </c>
      <c r="Q91" s="32"/>
      <c r="R91" s="32">
        <f>+P91-P91*F91</f>
        <v>2891</v>
      </c>
      <c r="S91" s="107">
        <f>R91/H91/12</f>
        <v>34.416666666666664</v>
      </c>
      <c r="T91" s="107">
        <f>IF(Q91&gt;0,0,IF((OR((AF91&gt;AG91),(AH91&lt;AI91))),0,IF((AND((AH91&gt;=AI91),(AH91&lt;=AG91))),S91*((AH91-AI91)*12),IF((AND((AI91&lt;=AF91),(AG91&gt;=AF91))),((AG91-AF91)*12)*S91,IF(AH91&gt;AG91,12*S91,0)))))</f>
        <v>0</v>
      </c>
      <c r="U91" s="107">
        <f>IF(Q91=0,0,IF((AND((AJ91&gt;=AI91),(AJ91&lt;=AH91))),((AJ91-AI91)*12)*S91,0))</f>
        <v>0</v>
      </c>
      <c r="V91" s="107">
        <f>IF(U91&gt;0,U91,T91)</f>
        <v>0</v>
      </c>
      <c r="W91" s="105">
        <v>1</v>
      </c>
      <c r="X91" s="107">
        <f>W91*SUM(T91:U91)</f>
        <v>0</v>
      </c>
      <c r="Y91" s="105"/>
      <c r="Z91" s="107">
        <f>IF(AF91&gt;AG91,0,IF(AH91&lt;AI91,R91,IF((AND((AH91&gt;=AI91),(AH91&lt;=AG91))),(R91-V91),IF((AND((AI91&lt;=AF91),(AG91&gt;=AF91))),0,IF(AH91&gt;AG91,((AI91-AF91)*12)*S91,0)))))</f>
        <v>2891</v>
      </c>
      <c r="AA91" s="107">
        <f>Z91*W91</f>
        <v>2891</v>
      </c>
      <c r="AB91" s="105">
        <v>1</v>
      </c>
      <c r="AC91" s="107">
        <f>AA91*AB91</f>
        <v>2891</v>
      </c>
      <c r="AD91" s="107">
        <f>IF(Q91&gt;0,0,AC91+X91*AB91)*AB91</f>
        <v>2891</v>
      </c>
      <c r="AE91" s="107">
        <f>IF(Q91&gt;0,(P91-AC91)/2,IF(AF91&gt;=AI91,(((P91*W91)*AB91)-AD91)/2,((((P91*W91)*AB91)-AC91)+(((P91*W91)*AB91)-AD91))/2))</f>
        <v>0</v>
      </c>
      <c r="AF91" s="107">
        <f>$D91+(($E91-1)/12)</f>
        <v>2000.4166666666667</v>
      </c>
      <c r="AG91" s="107">
        <f>($R$5+1)-($R$2/12)</f>
        <v>2017.5</v>
      </c>
      <c r="AH91" s="107">
        <f>$I91+(($E91-1)/12)</f>
        <v>2007.4166666666667</v>
      </c>
      <c r="AI91" s="108">
        <f>$R$4+($R$3/12)</f>
        <v>2016.5</v>
      </c>
      <c r="AJ91" s="108">
        <f>$J91+(($K91-1)/12)</f>
        <v>-8.3333333333333329E-2</v>
      </c>
      <c r="AK91" s="108">
        <f>$I91+(($E91-1)/12)</f>
        <v>2007.4166666666667</v>
      </c>
      <c r="AL91" s="108">
        <f>$R$4+($R$3/12)</f>
        <v>2016.5</v>
      </c>
      <c r="AM91" s="108">
        <f>$J91+(($K91-1)/12)</f>
        <v>-8.3333333333333329E-2</v>
      </c>
    </row>
    <row r="92" spans="1:39" x14ac:dyDescent="0.25">
      <c r="A92">
        <v>36</v>
      </c>
      <c r="B92" t="s">
        <v>470</v>
      </c>
      <c r="C92" t="s">
        <v>784</v>
      </c>
      <c r="D92" s="34">
        <v>2000</v>
      </c>
      <c r="E92" s="34">
        <v>6</v>
      </c>
      <c r="F92" s="75"/>
      <c r="G92" s="34" t="s">
        <v>433</v>
      </c>
      <c r="H92" s="34">
        <v>7</v>
      </c>
      <c r="I92">
        <f>+D92+H92</f>
        <v>2007</v>
      </c>
      <c r="L92" s="53" t="s">
        <v>788</v>
      </c>
      <c r="M92" s="53" t="s">
        <v>788</v>
      </c>
      <c r="N92" s="53" t="s">
        <v>788</v>
      </c>
      <c r="O92" s="53" t="s">
        <v>788</v>
      </c>
      <c r="P92" s="32">
        <v>23835</v>
      </c>
      <c r="Q92" s="32"/>
      <c r="R92" s="32">
        <f>+P92-P92*F92</f>
        <v>23835</v>
      </c>
      <c r="S92" s="107">
        <f>R92/H92/12</f>
        <v>283.75</v>
      </c>
      <c r="T92" s="107">
        <f>IF(Q92&gt;0,0,IF((OR((AF92&gt;AG92),(AH92&lt;AI92))),0,IF((AND((AH92&gt;=AI92),(AH92&lt;=AG92))),S92*((AH92-AI92)*12),IF((AND((AI92&lt;=AF92),(AG92&gt;=AF92))),((AG92-AF92)*12)*S92,IF(AH92&gt;AG92,12*S92,0)))))</f>
        <v>0</v>
      </c>
      <c r="U92" s="107">
        <f>IF(Q92=0,0,IF((AND((AJ92&gt;=AI92),(AJ92&lt;=AH92))),((AJ92-AI92)*12)*S92,0))</f>
        <v>0</v>
      </c>
      <c r="V92" s="107">
        <f>IF(U92&gt;0,U92,T92)</f>
        <v>0</v>
      </c>
      <c r="W92" s="105">
        <v>1</v>
      </c>
      <c r="X92" s="107">
        <f>W92*SUM(T92:U92)</f>
        <v>0</v>
      </c>
      <c r="Y92" s="105"/>
      <c r="Z92" s="107">
        <f>IF(AF92&gt;AG92,0,IF(AH92&lt;AI92,R92,IF((AND((AH92&gt;=AI92),(AH92&lt;=AG92))),(R92-V92),IF((AND((AI92&lt;=AF92),(AG92&gt;=AF92))),0,IF(AH92&gt;AG92,((AI92-AF92)*12)*S92,0)))))</f>
        <v>23835</v>
      </c>
      <c r="AA92" s="107">
        <f>Z92*W92</f>
        <v>23835</v>
      </c>
      <c r="AB92" s="105">
        <v>1</v>
      </c>
      <c r="AC92" s="107">
        <f>AA92*AB92</f>
        <v>23835</v>
      </c>
      <c r="AD92" s="107">
        <f>IF(Q92&gt;0,0,AC92+X92*AB92)*AB92</f>
        <v>23835</v>
      </c>
      <c r="AE92" s="107">
        <f>IF(Q92&gt;0,(P92-AC92)/2,IF(AF92&gt;=AI92,(((P92*W92)*AB92)-AD92)/2,((((P92*W92)*AB92)-AC92)+(((P92*W92)*AB92)-AD92))/2))</f>
        <v>0</v>
      </c>
      <c r="AF92" s="107">
        <f>$D92+(($E92-1)/12)</f>
        <v>2000.4166666666667</v>
      </c>
      <c r="AG92" s="107">
        <f>($R$5+1)-($R$2/12)</f>
        <v>2017.5</v>
      </c>
      <c r="AH92" s="107">
        <f>$I92+(($E92-1)/12)</f>
        <v>2007.4166666666667</v>
      </c>
      <c r="AI92" s="108">
        <f>$R$4+($R$3/12)</f>
        <v>2016.5</v>
      </c>
      <c r="AJ92" s="108">
        <f>$J92+(($K92-1)/12)</f>
        <v>-8.3333333333333329E-2</v>
      </c>
      <c r="AK92" s="108">
        <f>$I92+(($E92-1)/12)</f>
        <v>2007.4166666666667</v>
      </c>
      <c r="AL92" s="108">
        <f>$R$4+($R$3/12)</f>
        <v>2016.5</v>
      </c>
      <c r="AM92" s="108">
        <f>$J92+(($K92-1)/12)</f>
        <v>-8.3333333333333329E-2</v>
      </c>
    </row>
    <row r="93" spans="1:39" x14ac:dyDescent="0.25">
      <c r="A93">
        <v>37</v>
      </c>
      <c r="B93" t="s">
        <v>471</v>
      </c>
      <c r="C93" t="s">
        <v>784</v>
      </c>
      <c r="D93" s="34">
        <v>2000</v>
      </c>
      <c r="E93" s="34">
        <v>6</v>
      </c>
      <c r="F93" s="75"/>
      <c r="G93" s="34" t="s">
        <v>433</v>
      </c>
      <c r="H93" s="34">
        <v>7</v>
      </c>
      <c r="I93">
        <f>+D93+H93</f>
        <v>2007</v>
      </c>
      <c r="L93" s="53" t="s">
        <v>788</v>
      </c>
      <c r="M93" s="53" t="s">
        <v>788</v>
      </c>
      <c r="N93" s="53" t="s">
        <v>788</v>
      </c>
      <c r="O93" s="53" t="s">
        <v>788</v>
      </c>
      <c r="P93" s="32">
        <v>12903</v>
      </c>
      <c r="Q93" s="32"/>
      <c r="R93" s="32">
        <f>+P93-P93*F93</f>
        <v>12903</v>
      </c>
      <c r="S93" s="107">
        <f>R93/H93/12</f>
        <v>153.60714285714286</v>
      </c>
      <c r="T93" s="107">
        <f>IF(Q93&gt;0,0,IF((OR((AF93&gt;AG93),(AH93&lt;AI93))),0,IF((AND((AH93&gt;=AI93),(AH93&lt;=AG93))),S93*((AH93-AI93)*12),IF((AND((AI93&lt;=AF93),(AG93&gt;=AF93))),((AG93-AF93)*12)*S93,IF(AH93&gt;AG93,12*S93,0)))))</f>
        <v>0</v>
      </c>
      <c r="U93" s="107">
        <f>IF(Q93=0,0,IF((AND((AJ93&gt;=AI93),(AJ93&lt;=AH93))),((AJ93-AI93)*12)*S93,0))</f>
        <v>0</v>
      </c>
      <c r="V93" s="107">
        <f>IF(U93&gt;0,U93,T93)</f>
        <v>0</v>
      </c>
      <c r="W93" s="105">
        <v>1</v>
      </c>
      <c r="X93" s="107">
        <f>W93*SUM(T93:U93)</f>
        <v>0</v>
      </c>
      <c r="Y93" s="105"/>
      <c r="Z93" s="107">
        <f>IF(AF93&gt;AG93,0,IF(AH93&lt;AI93,R93,IF((AND((AH93&gt;=AI93),(AH93&lt;=AG93))),(R93-V93),IF((AND((AI93&lt;=AF93),(AG93&gt;=AF93))),0,IF(AH93&gt;AG93,((AI93-AF93)*12)*S93,0)))))</f>
        <v>12903</v>
      </c>
      <c r="AA93" s="107">
        <f>Z93*W93</f>
        <v>12903</v>
      </c>
      <c r="AB93" s="105">
        <v>1</v>
      </c>
      <c r="AC93" s="107">
        <f>AA93*AB93</f>
        <v>12903</v>
      </c>
      <c r="AD93" s="107">
        <f>IF(Q93&gt;0,0,AC93+X93*AB93)*AB93</f>
        <v>12903</v>
      </c>
      <c r="AE93" s="107">
        <f>IF(Q93&gt;0,(P93-AC93)/2,IF(AF93&gt;=AI93,(((P93*W93)*AB93)-AD93)/2,((((P93*W93)*AB93)-AC93)+(((P93*W93)*AB93)-AD93))/2))</f>
        <v>0</v>
      </c>
      <c r="AF93" s="107">
        <f>$D93+(($E93-1)/12)</f>
        <v>2000.4166666666667</v>
      </c>
      <c r="AG93" s="107">
        <f>($R$5+1)-($R$2/12)</f>
        <v>2017.5</v>
      </c>
      <c r="AH93" s="107">
        <f>$I93+(($E93-1)/12)</f>
        <v>2007.4166666666667</v>
      </c>
      <c r="AI93" s="108">
        <f>$R$4+($R$3/12)</f>
        <v>2016.5</v>
      </c>
      <c r="AJ93" s="108">
        <f>$J93+(($K93-1)/12)</f>
        <v>-8.3333333333333329E-2</v>
      </c>
      <c r="AK93" s="108">
        <f>$I93+(($E93-1)/12)</f>
        <v>2007.4166666666667</v>
      </c>
      <c r="AL93" s="108">
        <f>$R$4+($R$3/12)</f>
        <v>2016.5</v>
      </c>
      <c r="AM93" s="108">
        <f>$J93+(($K93-1)/12)</f>
        <v>-8.3333333333333329E-2</v>
      </c>
    </row>
    <row r="94" spans="1:39" x14ac:dyDescent="0.25">
      <c r="A94">
        <v>43</v>
      </c>
      <c r="B94" t="s">
        <v>477</v>
      </c>
      <c r="C94" t="s">
        <v>784</v>
      </c>
      <c r="D94" s="34">
        <v>2000</v>
      </c>
      <c r="E94" s="34">
        <v>11</v>
      </c>
      <c r="F94" s="75"/>
      <c r="G94" s="34" t="s">
        <v>433</v>
      </c>
      <c r="H94" s="34">
        <v>10</v>
      </c>
      <c r="I94">
        <f>+D94+H94</f>
        <v>2010</v>
      </c>
      <c r="L94" s="53" t="s">
        <v>788</v>
      </c>
      <c r="M94" s="53" t="s">
        <v>788</v>
      </c>
      <c r="N94" s="53" t="s">
        <v>788</v>
      </c>
      <c r="O94" s="53" t="s">
        <v>788</v>
      </c>
      <c r="P94" s="32">
        <v>115000</v>
      </c>
      <c r="Q94" s="32"/>
      <c r="R94" s="32">
        <f>+P94-P94*F94</f>
        <v>115000</v>
      </c>
      <c r="S94" s="107">
        <f>R94/H94/12</f>
        <v>958.33333333333337</v>
      </c>
      <c r="T94" s="107">
        <f>IF(Q94&gt;0,0,IF((OR((AF94&gt;AG94),(AH94&lt;AI94))),0,IF((AND((AH94&gt;=AI94),(AH94&lt;=AG94))),S94*((AH94-AI94)*12),IF((AND((AI94&lt;=AF94),(AG94&gt;=AF94))),((AG94-AF94)*12)*S94,IF(AH94&gt;AG94,12*S94,0)))))</f>
        <v>0</v>
      </c>
      <c r="U94" s="107">
        <f>IF(Q94=0,0,IF((AND((AJ94&gt;=AI94),(AJ94&lt;=AH94))),((AJ94-AI94)*12)*S94,0))</f>
        <v>0</v>
      </c>
      <c r="V94" s="107">
        <f>IF(U94&gt;0,U94,T94)</f>
        <v>0</v>
      </c>
      <c r="W94" s="105">
        <v>1</v>
      </c>
      <c r="X94" s="107">
        <f>W94*SUM(T94:U94)</f>
        <v>0</v>
      </c>
      <c r="Y94" s="105"/>
      <c r="Z94" s="107">
        <f>IF(AF94&gt;AG94,0,IF(AH94&lt;AI94,R94,IF((AND((AH94&gt;=AI94),(AH94&lt;=AG94))),(R94-V94),IF((AND((AI94&lt;=AF94),(AG94&gt;=AF94))),0,IF(AH94&gt;AG94,((AI94-AF94)*12)*S94,0)))))</f>
        <v>115000</v>
      </c>
      <c r="AA94" s="107">
        <f>Z94*W94</f>
        <v>115000</v>
      </c>
      <c r="AB94" s="105">
        <v>1</v>
      </c>
      <c r="AC94" s="107">
        <f>AA94*AB94</f>
        <v>115000</v>
      </c>
      <c r="AD94" s="107">
        <f>IF(Q94&gt;0,0,AC94+X94*AB94)*AB94</f>
        <v>115000</v>
      </c>
      <c r="AE94" s="107">
        <f>IF(Q94&gt;0,(P94-AC94)/2,IF(AF94&gt;=AI94,(((P94*W94)*AB94)-AD94)/2,((((P94*W94)*AB94)-AC94)+(((P94*W94)*AB94)-AD94))/2))</f>
        <v>0</v>
      </c>
      <c r="AF94" s="107">
        <f>$D94+(($E94-1)/12)</f>
        <v>2000.8333333333333</v>
      </c>
      <c r="AG94" s="107">
        <f>($R$5+1)-($R$2/12)</f>
        <v>2017.5</v>
      </c>
      <c r="AH94" s="107">
        <f>$I94+(($E94-1)/12)</f>
        <v>2010.8333333333333</v>
      </c>
      <c r="AI94" s="108">
        <f>$R$4+($R$3/12)</f>
        <v>2016.5</v>
      </c>
      <c r="AJ94" s="108">
        <f>$J94+(($K94-1)/12)</f>
        <v>-8.3333333333333329E-2</v>
      </c>
      <c r="AK94" s="108">
        <f>$I94+(($E94-1)/12)</f>
        <v>2010.8333333333333</v>
      </c>
      <c r="AL94" s="108">
        <f>$R$4+($R$3/12)</f>
        <v>2016.5</v>
      </c>
      <c r="AM94" s="108">
        <f>$J94+(($K94-1)/12)</f>
        <v>-8.3333333333333329E-2</v>
      </c>
    </row>
    <row r="95" spans="1:39" x14ac:dyDescent="0.25">
      <c r="A95">
        <v>55</v>
      </c>
      <c r="B95" t="s">
        <v>487</v>
      </c>
      <c r="C95" t="s">
        <v>784</v>
      </c>
      <c r="D95" s="34">
        <v>2004</v>
      </c>
      <c r="E95" s="34">
        <v>6</v>
      </c>
      <c r="F95" s="75"/>
      <c r="G95" s="34" t="s">
        <v>433</v>
      </c>
      <c r="H95" s="34">
        <v>5</v>
      </c>
      <c r="I95">
        <f>+D95+H95</f>
        <v>2009</v>
      </c>
      <c r="L95" s="53" t="s">
        <v>788</v>
      </c>
      <c r="M95" s="53" t="s">
        <v>788</v>
      </c>
      <c r="N95" s="53" t="s">
        <v>788</v>
      </c>
      <c r="O95" s="53" t="s">
        <v>788</v>
      </c>
      <c r="P95" s="32">
        <v>1720</v>
      </c>
      <c r="Q95" s="32"/>
      <c r="R95" s="32">
        <f>+P95-P95*F95</f>
        <v>1720</v>
      </c>
      <c r="S95" s="107">
        <f>R95/H95/12</f>
        <v>28.666666666666668</v>
      </c>
      <c r="T95" s="107">
        <f>IF(Q95&gt;0,0,IF((OR((AF95&gt;AG95),(AH95&lt;AI95))),0,IF((AND((AH95&gt;=AI95),(AH95&lt;=AG95))),S95*((AH95-AI95)*12),IF((AND((AI95&lt;=AF95),(AG95&gt;=AF95))),((AG95-AF95)*12)*S95,IF(AH95&gt;AG95,12*S95,0)))))</f>
        <v>0</v>
      </c>
      <c r="U95" s="107">
        <f>IF(Q95=0,0,IF((AND((AJ95&gt;=AI95),(AJ95&lt;=AH95))),((AJ95-AI95)*12)*S95,0))</f>
        <v>0</v>
      </c>
      <c r="V95" s="107">
        <f>IF(U95&gt;0,U95,T95)</f>
        <v>0</v>
      </c>
      <c r="W95" s="105">
        <v>1</v>
      </c>
      <c r="X95" s="107">
        <f>W95*SUM(T95:U95)</f>
        <v>0</v>
      </c>
      <c r="Y95" s="105"/>
      <c r="Z95" s="107">
        <f>IF(AF95&gt;AG95,0,IF(AH95&lt;AI95,R95,IF((AND((AH95&gt;=AI95),(AH95&lt;=AG95))),(R95-V95),IF((AND((AI95&lt;=AF95),(AG95&gt;=AF95))),0,IF(AH95&gt;AG95,((AI95-AF95)*12)*S95,0)))))</f>
        <v>1720</v>
      </c>
      <c r="AA95" s="107">
        <f>Z95*W95</f>
        <v>1720</v>
      </c>
      <c r="AB95" s="105">
        <v>1</v>
      </c>
      <c r="AC95" s="107">
        <f>AA95*AB95</f>
        <v>1720</v>
      </c>
      <c r="AD95" s="107">
        <f>IF(Q95&gt;0,0,AC95+X95*AB95)*AB95</f>
        <v>1720</v>
      </c>
      <c r="AE95" s="107">
        <f>IF(Q95&gt;0,(P95-AC95)/2,IF(AF95&gt;=AI95,(((P95*W95)*AB95)-AD95)/2,((((P95*W95)*AB95)-AC95)+(((P95*W95)*AB95)-AD95))/2))</f>
        <v>0</v>
      </c>
      <c r="AF95" s="107">
        <f>$D95+(($E95-1)/12)</f>
        <v>2004.4166666666667</v>
      </c>
      <c r="AG95" s="107">
        <f>($R$5+1)-($R$2/12)</f>
        <v>2017.5</v>
      </c>
      <c r="AH95" s="107">
        <f>$I95+(($E95-1)/12)</f>
        <v>2009.4166666666667</v>
      </c>
      <c r="AI95" s="108">
        <f>$R$4+($R$3/12)</f>
        <v>2016.5</v>
      </c>
      <c r="AJ95" s="108">
        <f>$J95+(($K95-1)/12)</f>
        <v>-8.3333333333333329E-2</v>
      </c>
      <c r="AK95" s="108">
        <f>$I95+(($E95-1)/12)</f>
        <v>2009.4166666666667</v>
      </c>
      <c r="AL95" s="108">
        <f>$R$4+($R$3/12)</f>
        <v>2016.5</v>
      </c>
      <c r="AM95" s="108">
        <f>$J95+(($K95-1)/12)</f>
        <v>-8.3333333333333329E-2</v>
      </c>
    </row>
    <row r="96" spans="1:39" x14ac:dyDescent="0.25">
      <c r="A96">
        <v>57</v>
      </c>
      <c r="B96" t="s">
        <v>489</v>
      </c>
      <c r="C96" t="s">
        <v>784</v>
      </c>
      <c r="D96" s="34">
        <v>2008</v>
      </c>
      <c r="E96" s="34">
        <v>6</v>
      </c>
      <c r="F96" s="75"/>
      <c r="G96" s="34" t="s">
        <v>433</v>
      </c>
      <c r="H96" s="34">
        <v>7</v>
      </c>
      <c r="I96">
        <f>+D96+H96</f>
        <v>2015</v>
      </c>
      <c r="L96" s="53" t="s">
        <v>788</v>
      </c>
      <c r="M96" s="53" t="s">
        <v>788</v>
      </c>
      <c r="N96" s="53" t="s">
        <v>788</v>
      </c>
      <c r="O96" s="53" t="s">
        <v>788</v>
      </c>
      <c r="P96" s="32">
        <v>10000</v>
      </c>
      <c r="Q96" s="32"/>
      <c r="R96" s="32">
        <f>+P96-P96*F96</f>
        <v>10000</v>
      </c>
      <c r="S96" s="107">
        <f>R96/H96/12</f>
        <v>119.04761904761905</v>
      </c>
      <c r="T96" s="107">
        <f>IF(Q96&gt;0,0,IF((OR((AF96&gt;AG96),(AH96&lt;AI96))),0,IF((AND((AH96&gt;=AI96),(AH96&lt;=AG96))),S96*((AH96-AI96)*12),IF((AND((AI96&lt;=AF96),(AG96&gt;=AF96))),((AG96-AF96)*12)*S96,IF(AH96&gt;AG96,12*S96,0)))))</f>
        <v>0</v>
      </c>
      <c r="U96" s="107">
        <f>IF(Q96=0,0,IF((AND((AJ96&gt;=AI96),(AJ96&lt;=AH96))),((AJ96-AI96)*12)*S96,0))</f>
        <v>0</v>
      </c>
      <c r="V96" s="107">
        <f>IF(U96&gt;0,U96,T96)</f>
        <v>0</v>
      </c>
      <c r="W96" s="105">
        <v>1</v>
      </c>
      <c r="X96" s="107">
        <f>W96*SUM(T96:U96)</f>
        <v>0</v>
      </c>
      <c r="Y96" s="105"/>
      <c r="Z96" s="107">
        <f>IF(AF96&gt;AG96,0,IF(AH96&lt;AI96,R96,IF((AND((AH96&gt;=AI96),(AH96&lt;=AG96))),(R96-V96),IF((AND((AI96&lt;=AF96),(AG96&gt;=AF96))),0,IF(AH96&gt;AG96,((AI96-AF96)*12)*S96,0)))))</f>
        <v>10000</v>
      </c>
      <c r="AA96" s="107">
        <f>Z96*W96</f>
        <v>10000</v>
      </c>
      <c r="AB96" s="105">
        <v>1</v>
      </c>
      <c r="AC96" s="107">
        <f>AA96*AB96</f>
        <v>10000</v>
      </c>
      <c r="AD96" s="107">
        <f>IF(Q96&gt;0,0,AC96+X96*AB96)*AB96</f>
        <v>10000</v>
      </c>
      <c r="AE96" s="107">
        <f>IF(Q96&gt;0,(P96-AC96)/2,IF(AF96&gt;=AI96,(((P96*W96)*AB96)-AD96)/2,((((P96*W96)*AB96)-AC96)+(((P96*W96)*AB96)-AD96))/2))</f>
        <v>0</v>
      </c>
      <c r="AF96" s="107">
        <f>$D96+(($E96-1)/12)</f>
        <v>2008.4166666666667</v>
      </c>
      <c r="AG96" s="107">
        <f>($R$5+1)-($R$2/12)</f>
        <v>2017.5</v>
      </c>
      <c r="AH96" s="107">
        <f>$I96+(($E96-1)/12)</f>
        <v>2015.4166666666667</v>
      </c>
      <c r="AI96" s="108">
        <f>$R$4+($R$3/12)</f>
        <v>2016.5</v>
      </c>
      <c r="AJ96" s="108">
        <f>$J96+(($K96-1)/12)</f>
        <v>-8.3333333333333329E-2</v>
      </c>
      <c r="AK96" s="108">
        <f>$I96+(($E96-1)/12)</f>
        <v>2015.4166666666667</v>
      </c>
      <c r="AL96" s="108">
        <f>$R$4+($R$3/12)</f>
        <v>2016.5</v>
      </c>
      <c r="AM96" s="108">
        <f>$J96+(($K96-1)/12)</f>
        <v>-8.3333333333333329E-2</v>
      </c>
    </row>
    <row r="97" spans="1:39" x14ac:dyDescent="0.25">
      <c r="A97">
        <v>58</v>
      </c>
      <c r="B97" t="s">
        <v>490</v>
      </c>
      <c r="C97" t="s">
        <v>784</v>
      </c>
      <c r="D97" s="34">
        <v>2008</v>
      </c>
      <c r="E97" s="34">
        <v>12</v>
      </c>
      <c r="F97" s="75"/>
      <c r="G97" s="34" t="s">
        <v>433</v>
      </c>
      <c r="H97" s="34">
        <v>7</v>
      </c>
      <c r="I97">
        <f>+D97+H97</f>
        <v>2015</v>
      </c>
      <c r="L97" s="53" t="s">
        <v>788</v>
      </c>
      <c r="M97" s="53" t="s">
        <v>788</v>
      </c>
      <c r="N97" s="53" t="s">
        <v>788</v>
      </c>
      <c r="O97" s="53" t="s">
        <v>788</v>
      </c>
      <c r="P97" s="32">
        <v>10000</v>
      </c>
      <c r="Q97" s="32"/>
      <c r="R97" s="32">
        <f>+P97-P97*F97</f>
        <v>10000</v>
      </c>
      <c r="S97" s="107">
        <f>R97/H97/12</f>
        <v>119.04761904761905</v>
      </c>
      <c r="T97" s="107">
        <f>IF(Q97&gt;0,0,IF((OR((AF97&gt;AG97),(AH97&lt;AI97))),0,IF((AND((AH97&gt;=AI97),(AH97&lt;=AG97))),S97*((AH97-AI97)*12),IF((AND((AI97&lt;=AF97),(AG97&gt;=AF97))),((AG97-AF97)*12)*S97,IF(AH97&gt;AG97,12*S97,0)))))</f>
        <v>0</v>
      </c>
      <c r="U97" s="107">
        <f>IF(Q97=0,0,IF((AND((AJ97&gt;=AI97),(AJ97&lt;=AH97))),((AJ97-AI97)*12)*S97,0))</f>
        <v>0</v>
      </c>
      <c r="V97" s="107">
        <f>IF(U97&gt;0,U97,T97)</f>
        <v>0</v>
      </c>
      <c r="W97" s="105">
        <v>1</v>
      </c>
      <c r="X97" s="107">
        <f>W97*SUM(T97:U97)</f>
        <v>0</v>
      </c>
      <c r="Y97" s="105"/>
      <c r="Z97" s="107">
        <f>IF(AF97&gt;AG97,0,IF(AH97&lt;AI97,R97,IF((AND((AH97&gt;=AI97),(AH97&lt;=AG97))),(R97-V97),IF((AND((AI97&lt;=AF97),(AG97&gt;=AF97))),0,IF(AH97&gt;AG97,((AI97-AF97)*12)*S97,0)))))</f>
        <v>10000</v>
      </c>
      <c r="AA97" s="107">
        <f>Z97*W97</f>
        <v>10000</v>
      </c>
      <c r="AB97" s="105">
        <v>1</v>
      </c>
      <c r="AC97" s="107">
        <f>AA97*AB97</f>
        <v>10000</v>
      </c>
      <c r="AD97" s="107">
        <f>IF(Q97&gt;0,0,AC97+X97*AB97)*AB97</f>
        <v>10000</v>
      </c>
      <c r="AE97" s="107">
        <f>IF(Q97&gt;0,(P97-AC97)/2,IF(AF97&gt;=AI97,(((P97*W97)*AB97)-AD97)/2,((((P97*W97)*AB97)-AC97)+(((P97*W97)*AB97)-AD97))/2))</f>
        <v>0</v>
      </c>
      <c r="AF97" s="107">
        <f>$D97+(($E97-1)/12)</f>
        <v>2008.9166666666667</v>
      </c>
      <c r="AG97" s="107">
        <f>($R$5+1)-($R$2/12)</f>
        <v>2017.5</v>
      </c>
      <c r="AH97" s="107">
        <f>$I97+(($E97-1)/12)</f>
        <v>2015.9166666666667</v>
      </c>
      <c r="AI97" s="108">
        <f>$R$4+($R$3/12)</f>
        <v>2016.5</v>
      </c>
      <c r="AJ97" s="108">
        <f>$J97+(($K97-1)/12)</f>
        <v>-8.3333333333333329E-2</v>
      </c>
      <c r="AK97" s="108">
        <f>$I97+(($E97-1)/12)</f>
        <v>2015.9166666666667</v>
      </c>
      <c r="AL97" s="108">
        <f>$R$4+($R$3/12)</f>
        <v>2016.5</v>
      </c>
      <c r="AM97" s="108">
        <f>$J97+(($K97-1)/12)</f>
        <v>-8.3333333333333329E-2</v>
      </c>
    </row>
    <row r="98" spans="1:39" x14ac:dyDescent="0.25">
      <c r="A98">
        <v>59</v>
      </c>
      <c r="B98" t="s">
        <v>491</v>
      </c>
      <c r="C98" t="s">
        <v>784</v>
      </c>
      <c r="D98" s="34">
        <v>2008</v>
      </c>
      <c r="E98" s="34">
        <v>12</v>
      </c>
      <c r="F98" s="75"/>
      <c r="G98" s="34" t="s">
        <v>433</v>
      </c>
      <c r="H98" s="34">
        <v>7</v>
      </c>
      <c r="I98">
        <f>+D98+H98</f>
        <v>2015</v>
      </c>
      <c r="L98" s="53" t="s">
        <v>788</v>
      </c>
      <c r="M98" s="53" t="s">
        <v>788</v>
      </c>
      <c r="N98" s="53" t="s">
        <v>788</v>
      </c>
      <c r="O98" s="53" t="s">
        <v>788</v>
      </c>
      <c r="P98" s="32">
        <v>27193</v>
      </c>
      <c r="Q98" s="32"/>
      <c r="R98" s="32">
        <f>+P98-P98*F98</f>
        <v>27193</v>
      </c>
      <c r="S98" s="107">
        <f>R98/H98/12</f>
        <v>323.72619047619048</v>
      </c>
      <c r="T98" s="107">
        <f>IF(Q98&gt;0,0,IF((OR((AF98&gt;AG98),(AH98&lt;AI98))),0,IF((AND((AH98&gt;=AI98),(AH98&lt;=AG98))),S98*((AH98-AI98)*12),IF((AND((AI98&lt;=AF98),(AG98&gt;=AF98))),((AG98-AF98)*12)*S98,IF(AH98&gt;AG98,12*S98,0)))))</f>
        <v>0</v>
      </c>
      <c r="U98" s="107">
        <f>IF(Q98=0,0,IF((AND((AJ98&gt;=AI98),(AJ98&lt;=AH98))),((AJ98-AI98)*12)*S98,0))</f>
        <v>0</v>
      </c>
      <c r="V98" s="107">
        <f>IF(U98&gt;0,U98,T98)</f>
        <v>0</v>
      </c>
      <c r="W98" s="105">
        <v>1</v>
      </c>
      <c r="X98" s="107">
        <f>W98*SUM(T98:U98)</f>
        <v>0</v>
      </c>
      <c r="Y98" s="105"/>
      <c r="Z98" s="107">
        <f>IF(AF98&gt;AG98,0,IF(AH98&lt;AI98,R98,IF((AND((AH98&gt;=AI98),(AH98&lt;=AG98))),(R98-V98),IF((AND((AI98&lt;=AF98),(AG98&gt;=AF98))),0,IF(AH98&gt;AG98,((AI98-AF98)*12)*S98,0)))))</f>
        <v>27193</v>
      </c>
      <c r="AA98" s="107">
        <f>Z98*W98</f>
        <v>27193</v>
      </c>
      <c r="AB98" s="105">
        <v>1</v>
      </c>
      <c r="AC98" s="107">
        <f>AA98*AB98</f>
        <v>27193</v>
      </c>
      <c r="AD98" s="107">
        <f>IF(Q98&gt;0,0,AC98+X98*AB98)*AB98</f>
        <v>27193</v>
      </c>
      <c r="AE98" s="107">
        <f>IF(Q98&gt;0,(P98-AC98)/2,IF(AF98&gt;=AI98,(((P98*W98)*AB98)-AD98)/2,((((P98*W98)*AB98)-AC98)+(((P98*W98)*AB98)-AD98))/2))</f>
        <v>0</v>
      </c>
      <c r="AF98" s="107">
        <f>$D98+(($E98-1)/12)</f>
        <v>2008.9166666666667</v>
      </c>
      <c r="AG98" s="107">
        <f>($R$5+1)-($R$2/12)</f>
        <v>2017.5</v>
      </c>
      <c r="AH98" s="107">
        <f>$I98+(($E98-1)/12)</f>
        <v>2015.9166666666667</v>
      </c>
      <c r="AI98" s="108">
        <f>$R$4+($R$3/12)</f>
        <v>2016.5</v>
      </c>
      <c r="AJ98" s="108">
        <f>$J98+(($K98-1)/12)</f>
        <v>-8.3333333333333329E-2</v>
      </c>
      <c r="AK98" s="108">
        <f>$I98+(($E98-1)/12)</f>
        <v>2015.9166666666667</v>
      </c>
      <c r="AL98" s="108">
        <f>$R$4+($R$3/12)</f>
        <v>2016.5</v>
      </c>
      <c r="AM98" s="108">
        <f>$J98+(($K98-1)/12)</f>
        <v>-8.3333333333333329E-2</v>
      </c>
    </row>
    <row r="99" spans="1:39" x14ac:dyDescent="0.25">
      <c r="A99">
        <v>60</v>
      </c>
      <c r="B99" t="s">
        <v>492</v>
      </c>
      <c r="C99" t="s">
        <v>784</v>
      </c>
      <c r="D99" s="34">
        <v>2008</v>
      </c>
      <c r="E99" s="34">
        <v>7</v>
      </c>
      <c r="F99" s="75"/>
      <c r="G99" s="34" t="s">
        <v>433</v>
      </c>
      <c r="H99" s="34">
        <v>7</v>
      </c>
      <c r="I99">
        <f>+D99+H99</f>
        <v>2015</v>
      </c>
      <c r="L99" s="53" t="s">
        <v>788</v>
      </c>
      <c r="M99" s="53" t="s">
        <v>788</v>
      </c>
      <c r="N99" s="53" t="s">
        <v>788</v>
      </c>
      <c r="O99" s="53" t="s">
        <v>788</v>
      </c>
      <c r="P99" s="32">
        <v>31325</v>
      </c>
      <c r="Q99" s="32"/>
      <c r="R99" s="32">
        <f>+P99-P99*F99</f>
        <v>31325</v>
      </c>
      <c r="S99" s="107">
        <f>R99/H99/12</f>
        <v>372.91666666666669</v>
      </c>
      <c r="T99" s="107">
        <f>IF(Q99&gt;0,0,IF((OR((AF99&gt;AG99),(AH99&lt;AI99))),0,IF((AND((AH99&gt;=AI99),(AH99&lt;=AG99))),S99*((AH99-AI99)*12),IF((AND((AI99&lt;=AF99),(AG99&gt;=AF99))),((AG99-AF99)*12)*S99,IF(AH99&gt;AG99,12*S99,0)))))</f>
        <v>0</v>
      </c>
      <c r="U99" s="107">
        <f>IF(Q99=0,0,IF((AND((AJ99&gt;=AI99),(AJ99&lt;=AH99))),((AJ99-AI99)*12)*S99,0))</f>
        <v>0</v>
      </c>
      <c r="V99" s="107">
        <f>IF(U99&gt;0,U99,T99)</f>
        <v>0</v>
      </c>
      <c r="W99" s="105">
        <v>1</v>
      </c>
      <c r="X99" s="107">
        <f>W99*SUM(T99:U99)</f>
        <v>0</v>
      </c>
      <c r="Y99" s="105"/>
      <c r="Z99" s="107">
        <f>IF(AF99&gt;AG99,0,IF(AH99&lt;AI99,R99,IF((AND((AH99&gt;=AI99),(AH99&lt;=AG99))),(R99-V99),IF((AND((AI99&lt;=AF99),(AG99&gt;=AF99))),0,IF(AH99&gt;AG99,((AI99-AF99)*12)*S99,0)))))</f>
        <v>31325</v>
      </c>
      <c r="AA99" s="107">
        <f>Z99*W99</f>
        <v>31325</v>
      </c>
      <c r="AB99" s="105">
        <v>1</v>
      </c>
      <c r="AC99" s="107">
        <f>AA99*AB99</f>
        <v>31325</v>
      </c>
      <c r="AD99" s="107">
        <f>IF(Q99&gt;0,0,AC99+X99*AB99)*AB99</f>
        <v>31325</v>
      </c>
      <c r="AE99" s="107">
        <f>IF(Q99&gt;0,(P99-AC99)/2,IF(AF99&gt;=AI99,(((P99*W99)*AB99)-AD99)/2,((((P99*W99)*AB99)-AC99)+(((P99*W99)*AB99)-AD99))/2))</f>
        <v>0</v>
      </c>
      <c r="AF99" s="107">
        <f>$D99+(($E99-1)/12)</f>
        <v>2008.5</v>
      </c>
      <c r="AG99" s="107">
        <f>($R$5+1)-($R$2/12)</f>
        <v>2017.5</v>
      </c>
      <c r="AH99" s="107">
        <f>$I99+(($E99-1)/12)</f>
        <v>2015.5</v>
      </c>
      <c r="AI99" s="108">
        <f>$R$4+($R$3/12)</f>
        <v>2016.5</v>
      </c>
      <c r="AJ99" s="108">
        <f>$J99+(($K99-1)/12)</f>
        <v>-8.3333333333333329E-2</v>
      </c>
      <c r="AK99" s="108">
        <f>$I99+(($E99-1)/12)</f>
        <v>2015.5</v>
      </c>
      <c r="AL99" s="108">
        <f>$R$4+($R$3/12)</f>
        <v>2016.5</v>
      </c>
      <c r="AM99" s="108">
        <f>$J99+(($K99-1)/12)</f>
        <v>-8.3333333333333329E-2</v>
      </c>
    </row>
    <row r="100" spans="1:39" x14ac:dyDescent="0.25">
      <c r="A100">
        <v>61</v>
      </c>
      <c r="B100" t="s">
        <v>493</v>
      </c>
      <c r="C100" t="s">
        <v>784</v>
      </c>
      <c r="D100" s="34">
        <v>2008</v>
      </c>
      <c r="E100" s="34">
        <v>10</v>
      </c>
      <c r="F100" s="75"/>
      <c r="G100" s="34" t="s">
        <v>433</v>
      </c>
      <c r="H100" s="34">
        <v>7</v>
      </c>
      <c r="I100">
        <f>+D100+H100</f>
        <v>2015</v>
      </c>
      <c r="L100" s="53" t="s">
        <v>788</v>
      </c>
      <c r="M100" s="53" t="s">
        <v>788</v>
      </c>
      <c r="N100" s="53" t="s">
        <v>788</v>
      </c>
      <c r="O100" s="53" t="s">
        <v>788</v>
      </c>
      <c r="P100" s="32">
        <v>4290</v>
      </c>
      <c r="Q100" s="32"/>
      <c r="R100" s="32">
        <f>+P100-P100*F100</f>
        <v>4290</v>
      </c>
      <c r="S100" s="107">
        <f>R100/H100/12</f>
        <v>51.071428571428577</v>
      </c>
      <c r="T100" s="107">
        <f>IF(Q100&gt;0,0,IF((OR((AF100&gt;AG100),(AH100&lt;AI100))),0,IF((AND((AH100&gt;=AI100),(AH100&lt;=AG100))),S100*((AH100-AI100)*12),IF((AND((AI100&lt;=AF100),(AG100&gt;=AF100))),((AG100-AF100)*12)*S100,IF(AH100&gt;AG100,12*S100,0)))))</f>
        <v>0</v>
      </c>
      <c r="U100" s="107">
        <f>IF(Q100=0,0,IF((AND((AJ100&gt;=AI100),(AJ100&lt;=AH100))),((AJ100-AI100)*12)*S100,0))</f>
        <v>0</v>
      </c>
      <c r="V100" s="107">
        <f>IF(U100&gt;0,U100,T100)</f>
        <v>0</v>
      </c>
      <c r="W100" s="105">
        <v>1</v>
      </c>
      <c r="X100" s="107">
        <f>W100*SUM(T100:U100)</f>
        <v>0</v>
      </c>
      <c r="Y100" s="105"/>
      <c r="Z100" s="107">
        <f>IF(AF100&gt;AG100,0,IF(AH100&lt;AI100,R100,IF((AND((AH100&gt;=AI100),(AH100&lt;=AG100))),(R100-V100),IF((AND((AI100&lt;=AF100),(AG100&gt;=AF100))),0,IF(AH100&gt;AG100,((AI100-AF100)*12)*S100,0)))))</f>
        <v>4290</v>
      </c>
      <c r="AA100" s="107">
        <f>Z100*W100</f>
        <v>4290</v>
      </c>
      <c r="AB100" s="105">
        <v>1</v>
      </c>
      <c r="AC100" s="107">
        <f>AA100*AB100</f>
        <v>4290</v>
      </c>
      <c r="AD100" s="107">
        <f>IF(Q100&gt;0,0,AC100+X100*AB100)*AB100</f>
        <v>4290</v>
      </c>
      <c r="AE100" s="107">
        <f>IF(Q100&gt;0,(P100-AC100)/2,IF(AF100&gt;=AI100,(((P100*W100)*AB100)-AD100)/2,((((P100*W100)*AB100)-AC100)+(((P100*W100)*AB100)-AD100))/2))</f>
        <v>0</v>
      </c>
      <c r="AF100" s="107">
        <f>$D100+(($E100-1)/12)</f>
        <v>2008.75</v>
      </c>
      <c r="AG100" s="107">
        <f>($R$5+1)-($R$2/12)</f>
        <v>2017.5</v>
      </c>
      <c r="AH100" s="107">
        <f>$I100+(($E100-1)/12)</f>
        <v>2015.75</v>
      </c>
      <c r="AI100" s="108">
        <f>$R$4+($R$3/12)</f>
        <v>2016.5</v>
      </c>
      <c r="AJ100" s="108">
        <f>$J100+(($K100-1)/12)</f>
        <v>-8.3333333333333329E-2</v>
      </c>
      <c r="AK100" s="108">
        <f>$I100+(($E100-1)/12)</f>
        <v>2015.75</v>
      </c>
      <c r="AL100" s="108">
        <f>$R$4+($R$3/12)</f>
        <v>2016.5</v>
      </c>
      <c r="AM100" s="108">
        <f>$J100+(($K100-1)/12)</f>
        <v>-8.3333333333333329E-2</v>
      </c>
    </row>
    <row r="101" spans="1:39" x14ac:dyDescent="0.25">
      <c r="A101">
        <v>62</v>
      </c>
      <c r="B101" t="s">
        <v>494</v>
      </c>
      <c r="C101" t="s">
        <v>784</v>
      </c>
      <c r="D101" s="34">
        <v>2008</v>
      </c>
      <c r="E101" s="34">
        <v>5</v>
      </c>
      <c r="F101" s="75"/>
      <c r="G101" s="34" t="s">
        <v>433</v>
      </c>
      <c r="H101" s="34">
        <v>7</v>
      </c>
      <c r="I101">
        <f>+D101+H101</f>
        <v>2015</v>
      </c>
      <c r="L101" s="53" t="s">
        <v>788</v>
      </c>
      <c r="M101" s="53" t="s">
        <v>788</v>
      </c>
      <c r="N101" s="53" t="s">
        <v>788</v>
      </c>
      <c r="O101" s="53" t="s">
        <v>788</v>
      </c>
      <c r="P101" s="32">
        <v>6492</v>
      </c>
      <c r="Q101" s="32"/>
      <c r="R101" s="32">
        <f>+P101-P101*F101</f>
        <v>6492</v>
      </c>
      <c r="S101" s="107">
        <f>R101/H101/12</f>
        <v>77.285714285714292</v>
      </c>
      <c r="T101" s="107">
        <f>IF(Q101&gt;0,0,IF((OR((AF101&gt;AG101),(AH101&lt;AI101))),0,IF((AND((AH101&gt;=AI101),(AH101&lt;=AG101))),S101*((AH101-AI101)*12),IF((AND((AI101&lt;=AF101),(AG101&gt;=AF101))),((AG101-AF101)*12)*S101,IF(AH101&gt;AG101,12*S101,0)))))</f>
        <v>0</v>
      </c>
      <c r="U101" s="107">
        <f>IF(Q101=0,0,IF((AND((AJ101&gt;=AI101),(AJ101&lt;=AH101))),((AJ101-AI101)*12)*S101,0))</f>
        <v>0</v>
      </c>
      <c r="V101" s="107">
        <f>IF(U101&gt;0,U101,T101)</f>
        <v>0</v>
      </c>
      <c r="W101" s="105">
        <v>1</v>
      </c>
      <c r="X101" s="107">
        <f>W101*SUM(T101:U101)</f>
        <v>0</v>
      </c>
      <c r="Y101" s="105"/>
      <c r="Z101" s="107">
        <f>IF(AF101&gt;AG101,0,IF(AH101&lt;AI101,R101,IF((AND((AH101&gt;=AI101),(AH101&lt;=AG101))),(R101-V101),IF((AND((AI101&lt;=AF101),(AG101&gt;=AF101))),0,IF(AH101&gt;AG101,((AI101-AF101)*12)*S101,0)))))</f>
        <v>6492</v>
      </c>
      <c r="AA101" s="107">
        <f>Z101*W101</f>
        <v>6492</v>
      </c>
      <c r="AB101" s="105">
        <v>1</v>
      </c>
      <c r="AC101" s="107">
        <f>AA101*AB101</f>
        <v>6492</v>
      </c>
      <c r="AD101" s="107">
        <f>IF(Q101&gt;0,0,AC101+X101*AB101)*AB101</f>
        <v>6492</v>
      </c>
      <c r="AE101" s="107">
        <f>IF(Q101&gt;0,(P101-AC101)/2,IF(AF101&gt;=AI101,(((P101*W101)*AB101)-AD101)/2,((((P101*W101)*AB101)-AC101)+(((P101*W101)*AB101)-AD101))/2))</f>
        <v>0</v>
      </c>
      <c r="AF101" s="107">
        <f>$D101+(($E101-1)/12)</f>
        <v>2008.3333333333333</v>
      </c>
      <c r="AG101" s="107">
        <f>($R$5+1)-($R$2/12)</f>
        <v>2017.5</v>
      </c>
      <c r="AH101" s="107">
        <f>$I101+(($E101-1)/12)</f>
        <v>2015.3333333333333</v>
      </c>
      <c r="AI101" s="108">
        <f>$R$4+($R$3/12)</f>
        <v>2016.5</v>
      </c>
      <c r="AJ101" s="108">
        <f>$J101+(($K101-1)/12)</f>
        <v>-8.3333333333333329E-2</v>
      </c>
      <c r="AK101" s="108">
        <f>$I101+(($E101-1)/12)</f>
        <v>2015.3333333333333</v>
      </c>
      <c r="AL101" s="108">
        <f>$R$4+($R$3/12)</f>
        <v>2016.5</v>
      </c>
      <c r="AM101" s="108">
        <f>$J101+(($K101-1)/12)</f>
        <v>-8.3333333333333329E-2</v>
      </c>
    </row>
    <row r="102" spans="1:39" x14ac:dyDescent="0.25">
      <c r="A102">
        <v>74</v>
      </c>
      <c r="B102" t="s">
        <v>496</v>
      </c>
      <c r="C102" t="s">
        <v>784</v>
      </c>
      <c r="D102" s="34">
        <v>2009</v>
      </c>
      <c r="E102" s="34">
        <v>6</v>
      </c>
      <c r="F102" s="75"/>
      <c r="G102" s="34" t="s">
        <v>433</v>
      </c>
      <c r="H102" s="34">
        <v>7</v>
      </c>
      <c r="I102">
        <f>+D102+H102</f>
        <v>2016</v>
      </c>
      <c r="L102" s="53" t="s">
        <v>788</v>
      </c>
      <c r="M102" s="53" t="s">
        <v>788</v>
      </c>
      <c r="N102" s="53" t="s">
        <v>788</v>
      </c>
      <c r="O102" s="53" t="s">
        <v>788</v>
      </c>
      <c r="P102" s="32">
        <v>1079</v>
      </c>
      <c r="Q102" s="32"/>
      <c r="R102" s="32">
        <f>+P102-P102*F102</f>
        <v>1079</v>
      </c>
      <c r="S102" s="107">
        <f>R102/H102/12</f>
        <v>12.845238095238095</v>
      </c>
      <c r="T102" s="107">
        <f>IF(Q102&gt;0,0,IF((OR((AF102&gt;AG102),(AH102&lt;AI102))),0,IF((AND((AH102&gt;=AI102),(AH102&lt;=AG102))),S102*((AH102-AI102)*12),IF((AND((AI102&lt;=AF102),(AG102&gt;=AF102))),((AG102-AF102)*12)*S102,IF(AH102&gt;AG102,12*S102,0)))))</f>
        <v>0</v>
      </c>
      <c r="U102" s="107">
        <f>IF(Q102=0,0,IF((AND((AJ102&gt;=AI102),(AJ102&lt;=AH102))),((AJ102-AI102)*12)*S102,0))</f>
        <v>0</v>
      </c>
      <c r="V102" s="107">
        <f>IF(U102&gt;0,U102,T102)</f>
        <v>0</v>
      </c>
      <c r="W102" s="105">
        <v>1</v>
      </c>
      <c r="X102" s="107">
        <f>W102*SUM(T102:U102)</f>
        <v>0</v>
      </c>
      <c r="Y102" s="105"/>
      <c r="Z102" s="107">
        <f>IF(AF102&gt;AG102,0,IF(AH102&lt;AI102,R102,IF((AND((AH102&gt;=AI102),(AH102&lt;=AG102))),(R102-V102),IF((AND((AI102&lt;=AF102),(AG102&gt;=AF102))),0,IF(AH102&gt;AG102,((AI102-AF102)*12)*S102,0)))))</f>
        <v>1079</v>
      </c>
      <c r="AA102" s="107">
        <f>Z102*W102</f>
        <v>1079</v>
      </c>
      <c r="AB102" s="105">
        <v>1</v>
      </c>
      <c r="AC102" s="107">
        <f>AA102*AB102</f>
        <v>1079</v>
      </c>
      <c r="AD102" s="107">
        <f>IF(Q102&gt;0,0,AC102+X102*AB102)*AB102</f>
        <v>1079</v>
      </c>
      <c r="AE102" s="107">
        <f>IF(Q102&gt;0,(P102-AC102)/2,IF(AF102&gt;=AI102,(((P102*W102)*AB102)-AD102)/2,((((P102*W102)*AB102)-AC102)+(((P102*W102)*AB102)-AD102))/2))</f>
        <v>0</v>
      </c>
      <c r="AF102" s="107">
        <f>$D102+(($E102-1)/12)</f>
        <v>2009.4166666666667</v>
      </c>
      <c r="AG102" s="107">
        <f>($R$5+1)-($R$2/12)</f>
        <v>2017.5</v>
      </c>
      <c r="AH102" s="107">
        <f>$I102+(($E102-1)/12)</f>
        <v>2016.4166666666667</v>
      </c>
      <c r="AI102" s="108">
        <f>$R$4+($R$3/12)</f>
        <v>2016.5</v>
      </c>
      <c r="AJ102" s="108">
        <f>$J102+(($K102-1)/12)</f>
        <v>-8.3333333333333329E-2</v>
      </c>
      <c r="AK102" s="108">
        <f>$I102+(($E102-1)/12)</f>
        <v>2016.4166666666667</v>
      </c>
      <c r="AL102" s="108">
        <f>$R$4+($R$3/12)</f>
        <v>2016.5</v>
      </c>
      <c r="AM102" s="108">
        <f>$J102+(($K102-1)/12)</f>
        <v>-8.3333333333333329E-2</v>
      </c>
    </row>
    <row r="103" spans="1:39" x14ac:dyDescent="0.25">
      <c r="A103">
        <v>75</v>
      </c>
      <c r="B103" t="s">
        <v>497</v>
      </c>
      <c r="C103" t="s">
        <v>784</v>
      </c>
      <c r="D103" s="34">
        <v>2009</v>
      </c>
      <c r="E103" s="34">
        <v>8</v>
      </c>
      <c r="F103" s="75"/>
      <c r="G103" s="34" t="s">
        <v>433</v>
      </c>
      <c r="H103" s="34">
        <v>7</v>
      </c>
      <c r="I103">
        <f>+D103+H103</f>
        <v>2016</v>
      </c>
      <c r="L103" s="53" t="s">
        <v>788</v>
      </c>
      <c r="M103" s="53" t="s">
        <v>788</v>
      </c>
      <c r="N103" s="53" t="s">
        <v>788</v>
      </c>
      <c r="O103" s="53" t="s">
        <v>788</v>
      </c>
      <c r="P103" s="32">
        <v>7419</v>
      </c>
      <c r="Q103" s="32"/>
      <c r="R103" s="32">
        <f>+P103-P103*F103</f>
        <v>7419</v>
      </c>
      <c r="S103" s="107">
        <f>R103/H103/12</f>
        <v>88.321428571428569</v>
      </c>
      <c r="T103" s="107">
        <f>IF(Q103&gt;0,0,IF((OR((AF103&gt;AG103),(AH103&lt;AI103))),0,IF((AND((AH103&gt;=AI103),(AH103&lt;=AG103))),S103*((AH103-AI103)*12),IF((AND((AI103&lt;=AF103),(AG103&gt;=AF103))),((AG103-AF103)*12)*S103,IF(AH103&gt;AG103,12*S103,0)))))</f>
        <v>88.321428571348235</v>
      </c>
      <c r="U103" s="107">
        <f>IF(Q103=0,0,IF((AND((AJ103&gt;=AI103),(AJ103&lt;=AH103))),((AJ103-AI103)*12)*S103,0))</f>
        <v>0</v>
      </c>
      <c r="V103" s="107">
        <f>IF(U103&gt;0,U103,T103)</f>
        <v>88.321428571348235</v>
      </c>
      <c r="W103" s="105">
        <v>1</v>
      </c>
      <c r="X103" s="107">
        <f>W103*SUM(T103:U103)</f>
        <v>88.321428571348235</v>
      </c>
      <c r="Y103" s="105"/>
      <c r="Z103" s="107">
        <f>IF(AF103&gt;AG103,0,IF(AH103&lt;AI103,R103,IF((AND((AH103&gt;=AI103),(AH103&lt;=AG103))),(R103-V103),IF((AND((AI103&lt;=AF103),(AG103&gt;=AF103))),0,IF(AH103&gt;AG103,((AI103-AF103)*12)*S103,0)))))</f>
        <v>7330.6785714286516</v>
      </c>
      <c r="AA103" s="107">
        <f>Z103*W103</f>
        <v>7330.6785714286516</v>
      </c>
      <c r="AB103" s="105">
        <v>1</v>
      </c>
      <c r="AC103" s="107">
        <f>AA103*AB103</f>
        <v>7330.6785714286516</v>
      </c>
      <c r="AD103" s="107">
        <f>IF(Q103&gt;0,0,AC103+X103*AB103)*AB103</f>
        <v>7419</v>
      </c>
      <c r="AE103" s="107">
        <f>IF(Q103&gt;0,(P103-AC103)/2,IF(AF103&gt;=AI103,(((P103*W103)*AB103)-AD103)/2,((((P103*W103)*AB103)-AC103)+(((P103*W103)*AB103)-AD103))/2))</f>
        <v>44.160714285674203</v>
      </c>
      <c r="AF103" s="107">
        <f>$D103+(($E103-1)/12)</f>
        <v>2009.5833333333333</v>
      </c>
      <c r="AG103" s="107">
        <f>($R$5+1)-($R$2/12)</f>
        <v>2017.5</v>
      </c>
      <c r="AH103" s="107">
        <f>$I103+(($E103-1)/12)</f>
        <v>2016.5833333333333</v>
      </c>
      <c r="AI103" s="108">
        <f>$R$4+($R$3/12)</f>
        <v>2016.5</v>
      </c>
      <c r="AJ103" s="108">
        <f>$J103+(($K103-1)/12)</f>
        <v>-8.3333333333333329E-2</v>
      </c>
      <c r="AK103" s="108">
        <f>$I103+(($E103-1)/12)</f>
        <v>2016.5833333333333</v>
      </c>
      <c r="AL103" s="108">
        <f>$R$4+($R$3/12)</f>
        <v>2016.5</v>
      </c>
      <c r="AM103" s="108">
        <f>$J103+(($K103-1)/12)</f>
        <v>-8.3333333333333329E-2</v>
      </c>
    </row>
    <row r="104" spans="1:39" x14ac:dyDescent="0.25">
      <c r="A104">
        <v>76</v>
      </c>
      <c r="B104" t="s">
        <v>498</v>
      </c>
      <c r="C104" t="s">
        <v>784</v>
      </c>
      <c r="D104" s="34">
        <v>2009</v>
      </c>
      <c r="E104" s="34">
        <v>9</v>
      </c>
      <c r="F104" s="75"/>
      <c r="G104" s="34" t="s">
        <v>433</v>
      </c>
      <c r="H104" s="34">
        <v>7</v>
      </c>
      <c r="I104">
        <f>+D104+H104</f>
        <v>2016</v>
      </c>
      <c r="L104" s="53" t="s">
        <v>788</v>
      </c>
      <c r="M104" s="53" t="s">
        <v>788</v>
      </c>
      <c r="N104" s="53" t="s">
        <v>788</v>
      </c>
      <c r="O104" s="53" t="s">
        <v>788</v>
      </c>
      <c r="P104" s="32">
        <v>1419</v>
      </c>
      <c r="Q104" s="32"/>
      <c r="R104" s="32">
        <f>+P104-P104*F104</f>
        <v>1419</v>
      </c>
      <c r="S104" s="107">
        <f>R104/H104/12</f>
        <v>16.892857142857142</v>
      </c>
      <c r="T104" s="107">
        <f>IF(Q104&gt;0,0,IF((OR((AF104&gt;AG104),(AH104&lt;AI104))),0,IF((AND((AH104&gt;=AI104),(AH104&lt;=AG104))),S104*((AH104-AI104)*12),IF((AND((AI104&lt;=AF104),(AG104&gt;=AF104))),((AG104-AF104)*12)*S104,IF(AH104&gt;AG104,12*S104,0)))))</f>
        <v>33.785714285729647</v>
      </c>
      <c r="U104" s="107">
        <f>IF(Q104=0,0,IF((AND((AJ104&gt;=AI104),(AJ104&lt;=AH104))),((AJ104-AI104)*12)*S104,0))</f>
        <v>0</v>
      </c>
      <c r="V104" s="107">
        <f>IF(U104&gt;0,U104,T104)</f>
        <v>33.785714285729647</v>
      </c>
      <c r="W104" s="105">
        <v>1</v>
      </c>
      <c r="X104" s="107">
        <f>W104*SUM(T104:U104)</f>
        <v>33.785714285729647</v>
      </c>
      <c r="Y104" s="105"/>
      <c r="Z104" s="107">
        <f>IF(AF104&gt;AG104,0,IF(AH104&lt;AI104,R104,IF((AND((AH104&gt;=AI104),(AH104&lt;=AG104))),(R104-V104),IF((AND((AI104&lt;=AF104),(AG104&gt;=AF104))),0,IF(AH104&gt;AG104,((AI104-AF104)*12)*S104,0)))))</f>
        <v>1385.2142857142703</v>
      </c>
      <c r="AA104" s="107">
        <f>Z104*W104</f>
        <v>1385.2142857142703</v>
      </c>
      <c r="AB104" s="105">
        <v>1</v>
      </c>
      <c r="AC104" s="107">
        <f>AA104*AB104</f>
        <v>1385.2142857142703</v>
      </c>
      <c r="AD104" s="107">
        <f>IF(Q104&gt;0,0,AC104+X104*AB104)*AB104</f>
        <v>1419</v>
      </c>
      <c r="AE104" s="107">
        <f>IF(Q104&gt;0,(P104-AC104)/2,IF(AF104&gt;=AI104,(((P104*W104)*AB104)-AD104)/2,((((P104*W104)*AB104)-AC104)+(((P104*W104)*AB104)-AD104))/2))</f>
        <v>16.892857142864841</v>
      </c>
      <c r="AF104" s="107">
        <f>$D104+(($E104-1)/12)</f>
        <v>2009.6666666666667</v>
      </c>
      <c r="AG104" s="107">
        <f>($R$5+1)-($R$2/12)</f>
        <v>2017.5</v>
      </c>
      <c r="AH104" s="107">
        <f>$I104+(($E104-1)/12)</f>
        <v>2016.6666666666667</v>
      </c>
      <c r="AI104" s="108">
        <f>$R$4+($R$3/12)</f>
        <v>2016.5</v>
      </c>
      <c r="AJ104" s="108">
        <f>$J104+(($K104-1)/12)</f>
        <v>-8.3333333333333329E-2</v>
      </c>
      <c r="AK104" s="108">
        <f>$I104+(($E104-1)/12)</f>
        <v>2016.6666666666667</v>
      </c>
      <c r="AL104" s="108">
        <f>$R$4+($R$3/12)</f>
        <v>2016.5</v>
      </c>
      <c r="AM104" s="108">
        <f>$J104+(($K104-1)/12)</f>
        <v>-8.3333333333333329E-2</v>
      </c>
    </row>
    <row r="105" spans="1:39" x14ac:dyDescent="0.25">
      <c r="A105">
        <v>77</v>
      </c>
      <c r="B105" t="s">
        <v>499</v>
      </c>
      <c r="C105" t="s">
        <v>784</v>
      </c>
      <c r="D105" s="34">
        <v>2009</v>
      </c>
      <c r="E105" s="34">
        <v>8</v>
      </c>
      <c r="F105" s="75"/>
      <c r="G105" s="34" t="s">
        <v>433</v>
      </c>
      <c r="H105" s="34">
        <v>7</v>
      </c>
      <c r="I105">
        <f>+D105+H105</f>
        <v>2016</v>
      </c>
      <c r="L105" s="53" t="s">
        <v>788</v>
      </c>
      <c r="M105" s="53" t="s">
        <v>788</v>
      </c>
      <c r="N105" s="53" t="s">
        <v>788</v>
      </c>
      <c r="O105" s="53" t="s">
        <v>788</v>
      </c>
      <c r="P105" s="32">
        <v>2040</v>
      </c>
      <c r="Q105" s="32"/>
      <c r="R105" s="32">
        <f>+P105-P105*F105</f>
        <v>2040</v>
      </c>
      <c r="S105" s="107">
        <f>R105/H105/12</f>
        <v>24.285714285714288</v>
      </c>
      <c r="T105" s="107">
        <f>IF(Q105&gt;0,0,IF((OR((AF105&gt;AG105),(AH105&lt;AI105))),0,IF((AND((AH105&gt;=AI105),(AH105&lt;=AG105))),S105*((AH105-AI105)*12),IF((AND((AI105&lt;=AF105),(AG105&gt;=AF105))),((AG105-AF105)*12)*S105,IF(AH105&gt;AG105,12*S105,0)))))</f>
        <v>24.285714285692201</v>
      </c>
      <c r="U105" s="107">
        <f>IF(Q105=0,0,IF((AND((AJ105&gt;=AI105),(AJ105&lt;=AH105))),((AJ105-AI105)*12)*S105,0))</f>
        <v>0</v>
      </c>
      <c r="V105" s="107">
        <f>IF(U105&gt;0,U105,T105)</f>
        <v>24.285714285692201</v>
      </c>
      <c r="W105" s="105">
        <v>1</v>
      </c>
      <c r="X105" s="107">
        <f>W105*SUM(T105:U105)</f>
        <v>24.285714285692201</v>
      </c>
      <c r="Y105" s="105"/>
      <c r="Z105" s="107">
        <f>IF(AF105&gt;AG105,0,IF(AH105&lt;AI105,R105,IF((AND((AH105&gt;=AI105),(AH105&lt;=AG105))),(R105-V105),IF((AND((AI105&lt;=AF105),(AG105&gt;=AF105))),0,IF(AH105&gt;AG105,((AI105-AF105)*12)*S105,0)))))</f>
        <v>2015.7142857143078</v>
      </c>
      <c r="AA105" s="107">
        <f>Z105*W105</f>
        <v>2015.7142857143078</v>
      </c>
      <c r="AB105" s="105">
        <v>1</v>
      </c>
      <c r="AC105" s="107">
        <f>AA105*AB105</f>
        <v>2015.7142857143078</v>
      </c>
      <c r="AD105" s="107">
        <f>IF(Q105&gt;0,0,AC105+X105*AB105)*AB105</f>
        <v>2040</v>
      </c>
      <c r="AE105" s="107">
        <f>IF(Q105&gt;0,(P105-AC105)/2,IF(AF105&gt;=AI105,(((P105*W105)*AB105)-AD105)/2,((((P105*W105)*AB105)-AC105)+(((P105*W105)*AB105)-AD105))/2))</f>
        <v>12.142857142846083</v>
      </c>
      <c r="AF105" s="107">
        <f>$D105+(($E105-1)/12)</f>
        <v>2009.5833333333333</v>
      </c>
      <c r="AG105" s="107">
        <f>($R$5+1)-($R$2/12)</f>
        <v>2017.5</v>
      </c>
      <c r="AH105" s="107">
        <f>$I105+(($E105-1)/12)</f>
        <v>2016.5833333333333</v>
      </c>
      <c r="AI105" s="108">
        <f>$R$4+($R$3/12)</f>
        <v>2016.5</v>
      </c>
      <c r="AJ105" s="108">
        <f>$J105+(($K105-1)/12)</f>
        <v>-8.3333333333333329E-2</v>
      </c>
      <c r="AK105" s="108">
        <f>$I105+(($E105-1)/12)</f>
        <v>2016.5833333333333</v>
      </c>
      <c r="AL105" s="108">
        <f>$R$4+($R$3/12)</f>
        <v>2016.5</v>
      </c>
      <c r="AM105" s="108">
        <f>$J105+(($K105-1)/12)</f>
        <v>-8.3333333333333329E-2</v>
      </c>
    </row>
    <row r="106" spans="1:39" x14ac:dyDescent="0.25">
      <c r="A106">
        <v>81</v>
      </c>
      <c r="B106" t="s">
        <v>503</v>
      </c>
      <c r="C106" t="s">
        <v>784</v>
      </c>
      <c r="D106" s="34">
        <v>2009</v>
      </c>
      <c r="E106" s="34">
        <v>11</v>
      </c>
      <c r="F106" s="75"/>
      <c r="G106" s="34" t="s">
        <v>433</v>
      </c>
      <c r="H106" s="34">
        <v>7</v>
      </c>
      <c r="I106">
        <f>+D106+H106</f>
        <v>2016</v>
      </c>
      <c r="L106" s="53" t="s">
        <v>788</v>
      </c>
      <c r="M106" s="53" t="s">
        <v>788</v>
      </c>
      <c r="N106" s="53" t="s">
        <v>788</v>
      </c>
      <c r="O106" s="53" t="s">
        <v>788</v>
      </c>
      <c r="P106" s="32">
        <v>343</v>
      </c>
      <c r="Q106" s="32"/>
      <c r="R106" s="32">
        <f>+P106-P106*F106</f>
        <v>343</v>
      </c>
      <c r="S106" s="107">
        <f>R106/H106/12</f>
        <v>4.083333333333333</v>
      </c>
      <c r="T106" s="107">
        <f>IF(Q106&gt;0,0,IF((OR((AF106&gt;AG106),(AH106&lt;AI106))),0,IF((AND((AH106&gt;=AI106),(AH106&lt;=AG106))),S106*((AH106-AI106)*12),IF((AND((AI106&lt;=AF106),(AG106&gt;=AF106))),((AG106-AF106)*12)*S106,IF(AH106&gt;AG106,12*S106,0)))))</f>
        <v>16.33333333332962</v>
      </c>
      <c r="U106" s="107">
        <f>IF(Q106=0,0,IF((AND((AJ106&gt;=AI106),(AJ106&lt;=AH106))),((AJ106-AI106)*12)*S106,0))</f>
        <v>0</v>
      </c>
      <c r="V106" s="107">
        <f>IF(U106&gt;0,U106,T106)</f>
        <v>16.33333333332962</v>
      </c>
      <c r="W106" s="105">
        <v>1</v>
      </c>
      <c r="X106" s="107">
        <f>W106*SUM(T106:U106)</f>
        <v>16.33333333332962</v>
      </c>
      <c r="Y106" s="105"/>
      <c r="Z106" s="107">
        <f>IF(AF106&gt;AG106,0,IF(AH106&lt;AI106,R106,IF((AND((AH106&gt;=AI106),(AH106&lt;=AG106))),(R106-V106),IF((AND((AI106&lt;=AF106),(AG106&gt;=AF106))),0,IF(AH106&gt;AG106,((AI106-AF106)*12)*S106,0)))))</f>
        <v>326.66666666667038</v>
      </c>
      <c r="AA106" s="107">
        <f>Z106*W106</f>
        <v>326.66666666667038</v>
      </c>
      <c r="AB106" s="105">
        <v>1</v>
      </c>
      <c r="AC106" s="107">
        <f>AA106*AB106</f>
        <v>326.66666666667038</v>
      </c>
      <c r="AD106" s="107">
        <f>IF(Q106&gt;0,0,AC106+X106*AB106)*AB106</f>
        <v>343</v>
      </c>
      <c r="AE106" s="107">
        <f>IF(Q106&gt;0,(P106-AC106)/2,IF(AF106&gt;=AI106,(((P106*W106)*AB106)-AD106)/2,((((P106*W106)*AB106)-AC106)+(((P106*W106)*AB106)-AD106))/2))</f>
        <v>8.1666666666648098</v>
      </c>
      <c r="AF106" s="107">
        <f>$D106+(($E106-1)/12)</f>
        <v>2009.8333333333333</v>
      </c>
      <c r="AG106" s="107">
        <f>($R$5+1)-($R$2/12)</f>
        <v>2017.5</v>
      </c>
      <c r="AH106" s="107">
        <f>$I106+(($E106-1)/12)</f>
        <v>2016.8333333333333</v>
      </c>
      <c r="AI106" s="108">
        <f>$R$4+($R$3/12)</f>
        <v>2016.5</v>
      </c>
      <c r="AJ106" s="108">
        <f>$J106+(($K106-1)/12)</f>
        <v>-8.3333333333333329E-2</v>
      </c>
      <c r="AK106" s="108">
        <f>$I106+(($E106-1)/12)</f>
        <v>2016.8333333333333</v>
      </c>
      <c r="AL106" s="108">
        <f>$R$4+($R$3/12)</f>
        <v>2016.5</v>
      </c>
      <c r="AM106" s="108">
        <f>$J106+(($K106-1)/12)</f>
        <v>-8.3333333333333329E-2</v>
      </c>
    </row>
    <row r="107" spans="1:39" x14ac:dyDescent="0.25">
      <c r="A107">
        <v>82</v>
      </c>
      <c r="B107" t="s">
        <v>504</v>
      </c>
      <c r="C107" t="s">
        <v>784</v>
      </c>
      <c r="D107" s="34">
        <v>2009</v>
      </c>
      <c r="E107" s="34">
        <v>11</v>
      </c>
      <c r="F107" s="75"/>
      <c r="G107" s="34" t="s">
        <v>433</v>
      </c>
      <c r="H107" s="34">
        <v>5</v>
      </c>
      <c r="I107">
        <f>+D107+H107</f>
        <v>2014</v>
      </c>
      <c r="L107" s="53" t="s">
        <v>788</v>
      </c>
      <c r="M107" s="53" t="s">
        <v>788</v>
      </c>
      <c r="N107" s="53" t="s">
        <v>788</v>
      </c>
      <c r="O107" s="53" t="s">
        <v>788</v>
      </c>
      <c r="P107" s="32">
        <v>410</v>
      </c>
      <c r="Q107" s="32"/>
      <c r="R107" s="32">
        <f>+P107-P107*F107</f>
        <v>410</v>
      </c>
      <c r="S107" s="107">
        <f>R107/H107/12</f>
        <v>6.833333333333333</v>
      </c>
      <c r="T107" s="107">
        <f>IF(Q107&gt;0,0,IF((OR((AF107&gt;AG107),(AH107&lt;AI107))),0,IF((AND((AH107&gt;=AI107),(AH107&lt;=AG107))),S107*((AH107-AI107)*12),IF((AND((AI107&lt;=AF107),(AG107&gt;=AF107))),((AG107-AF107)*12)*S107,IF(AH107&gt;AG107,12*S107,0)))))</f>
        <v>0</v>
      </c>
      <c r="U107" s="107">
        <f>IF(Q107=0,0,IF((AND((AJ107&gt;=AI107),(AJ107&lt;=AH107))),((AJ107-AI107)*12)*S107,0))</f>
        <v>0</v>
      </c>
      <c r="V107" s="107">
        <f>IF(U107&gt;0,U107,T107)</f>
        <v>0</v>
      </c>
      <c r="W107" s="105">
        <v>1</v>
      </c>
      <c r="X107" s="107">
        <f>W107*SUM(T107:U107)</f>
        <v>0</v>
      </c>
      <c r="Y107" s="105"/>
      <c r="Z107" s="107">
        <f>IF(AF107&gt;AG107,0,IF(AH107&lt;AI107,R107,IF((AND((AH107&gt;=AI107),(AH107&lt;=AG107))),(R107-V107),IF((AND((AI107&lt;=AF107),(AG107&gt;=AF107))),0,IF(AH107&gt;AG107,((AI107-AF107)*12)*S107,0)))))</f>
        <v>410</v>
      </c>
      <c r="AA107" s="107">
        <f>Z107*W107</f>
        <v>410</v>
      </c>
      <c r="AB107" s="105">
        <v>1</v>
      </c>
      <c r="AC107" s="107">
        <f>AA107*AB107</f>
        <v>410</v>
      </c>
      <c r="AD107" s="107">
        <f>IF(Q107&gt;0,0,AC107+X107*AB107)*AB107</f>
        <v>410</v>
      </c>
      <c r="AE107" s="107">
        <f>IF(Q107&gt;0,(P107-AC107)/2,IF(AF107&gt;=AI107,(((P107*W107)*AB107)-AD107)/2,((((P107*W107)*AB107)-AC107)+(((P107*W107)*AB107)-AD107))/2))</f>
        <v>0</v>
      </c>
      <c r="AF107" s="107">
        <f>$D107+(($E107-1)/12)</f>
        <v>2009.8333333333333</v>
      </c>
      <c r="AG107" s="107">
        <f>($R$5+1)-($R$2/12)</f>
        <v>2017.5</v>
      </c>
      <c r="AH107" s="107">
        <f>$I107+(($E107-1)/12)</f>
        <v>2014.8333333333333</v>
      </c>
      <c r="AI107" s="108">
        <f>$R$4+($R$3/12)</f>
        <v>2016.5</v>
      </c>
      <c r="AJ107" s="108">
        <f>$J107+(($K107-1)/12)</f>
        <v>-8.3333333333333329E-2</v>
      </c>
      <c r="AK107" s="108">
        <f>$I107+(($E107-1)/12)</f>
        <v>2014.8333333333333</v>
      </c>
      <c r="AL107" s="108">
        <f>$R$4+($R$3/12)</f>
        <v>2016.5</v>
      </c>
      <c r="AM107" s="108">
        <f>$J107+(($K107-1)/12)</f>
        <v>-8.3333333333333329E-2</v>
      </c>
    </row>
    <row r="108" spans="1:39" x14ac:dyDescent="0.25">
      <c r="A108">
        <v>83</v>
      </c>
      <c r="B108" t="s">
        <v>505</v>
      </c>
      <c r="C108" t="s">
        <v>784</v>
      </c>
      <c r="D108" s="34">
        <v>2009</v>
      </c>
      <c r="E108" s="34">
        <v>11</v>
      </c>
      <c r="F108" s="75"/>
      <c r="G108" s="34" t="s">
        <v>433</v>
      </c>
      <c r="H108" s="34">
        <v>5</v>
      </c>
      <c r="I108">
        <f>+D108+H108</f>
        <v>2014</v>
      </c>
      <c r="L108" s="53" t="s">
        <v>788</v>
      </c>
      <c r="M108" s="53" t="s">
        <v>788</v>
      </c>
      <c r="N108" s="53" t="s">
        <v>788</v>
      </c>
      <c r="O108" s="53" t="s">
        <v>788</v>
      </c>
      <c r="P108" s="32">
        <v>1153</v>
      </c>
      <c r="Q108" s="32"/>
      <c r="R108" s="32">
        <f>+P108-P108*F108</f>
        <v>1153</v>
      </c>
      <c r="S108" s="107">
        <f>R108/H108/12</f>
        <v>19.216666666666665</v>
      </c>
      <c r="T108" s="107">
        <f>IF(Q108&gt;0,0,IF((OR((AF108&gt;AG108),(AH108&lt;AI108))),0,IF((AND((AH108&gt;=AI108),(AH108&lt;=AG108))),S108*((AH108-AI108)*12),IF((AND((AI108&lt;=AF108),(AG108&gt;=AF108))),((AG108-AF108)*12)*S108,IF(AH108&gt;AG108,12*S108,0)))))</f>
        <v>0</v>
      </c>
      <c r="U108" s="107">
        <f>IF(Q108=0,0,IF((AND((AJ108&gt;=AI108),(AJ108&lt;=AH108))),((AJ108-AI108)*12)*S108,0))</f>
        <v>0</v>
      </c>
      <c r="V108" s="107">
        <f>IF(U108&gt;0,U108,T108)</f>
        <v>0</v>
      </c>
      <c r="W108" s="105">
        <v>1</v>
      </c>
      <c r="X108" s="107">
        <f>W108*SUM(T108:U108)</f>
        <v>0</v>
      </c>
      <c r="Y108" s="105"/>
      <c r="Z108" s="107">
        <f>IF(AF108&gt;AG108,0,IF(AH108&lt;AI108,R108,IF((AND((AH108&gt;=AI108),(AH108&lt;=AG108))),(R108-V108),IF((AND((AI108&lt;=AF108),(AG108&gt;=AF108))),0,IF(AH108&gt;AG108,((AI108-AF108)*12)*S108,0)))))</f>
        <v>1153</v>
      </c>
      <c r="AA108" s="107">
        <f>Z108*W108</f>
        <v>1153</v>
      </c>
      <c r="AB108" s="105">
        <v>1</v>
      </c>
      <c r="AC108" s="107">
        <f>AA108*AB108</f>
        <v>1153</v>
      </c>
      <c r="AD108" s="107">
        <f>IF(Q108&gt;0,0,AC108+X108*AB108)*AB108</f>
        <v>1153</v>
      </c>
      <c r="AE108" s="107">
        <f>IF(Q108&gt;0,(P108-AC108)/2,IF(AF108&gt;=AI108,(((P108*W108)*AB108)-AD108)/2,((((P108*W108)*AB108)-AC108)+(((P108*W108)*AB108)-AD108))/2))</f>
        <v>0</v>
      </c>
      <c r="AF108" s="107">
        <f>$D108+(($E108-1)/12)</f>
        <v>2009.8333333333333</v>
      </c>
      <c r="AG108" s="107">
        <f>($R$5+1)-($R$2/12)</f>
        <v>2017.5</v>
      </c>
      <c r="AH108" s="107">
        <f>$I108+(($E108-1)/12)</f>
        <v>2014.8333333333333</v>
      </c>
      <c r="AI108" s="108">
        <f>$R$4+($R$3/12)</f>
        <v>2016.5</v>
      </c>
      <c r="AJ108" s="108">
        <f>$J108+(($K108-1)/12)</f>
        <v>-8.3333333333333329E-2</v>
      </c>
      <c r="AK108" s="108">
        <f>$I108+(($E108-1)/12)</f>
        <v>2014.8333333333333</v>
      </c>
      <c r="AL108" s="108">
        <f>$R$4+($R$3/12)</f>
        <v>2016.5</v>
      </c>
      <c r="AM108" s="108">
        <f>$J108+(($K108-1)/12)</f>
        <v>-8.3333333333333329E-2</v>
      </c>
    </row>
    <row r="109" spans="1:39" x14ac:dyDescent="0.25">
      <c r="A109">
        <v>84</v>
      </c>
      <c r="B109" t="s">
        <v>506</v>
      </c>
      <c r="C109" t="s">
        <v>784</v>
      </c>
      <c r="D109" s="34">
        <v>2009</v>
      </c>
      <c r="E109" s="34">
        <v>11</v>
      </c>
      <c r="F109" s="75"/>
      <c r="G109" s="34" t="s">
        <v>433</v>
      </c>
      <c r="H109" s="34">
        <v>7</v>
      </c>
      <c r="I109">
        <f>+D109+H109</f>
        <v>2016</v>
      </c>
      <c r="L109" s="53" t="s">
        <v>788</v>
      </c>
      <c r="M109" s="53" t="s">
        <v>788</v>
      </c>
      <c r="N109" s="53" t="s">
        <v>788</v>
      </c>
      <c r="O109" s="53" t="s">
        <v>788</v>
      </c>
      <c r="P109" s="32">
        <v>702</v>
      </c>
      <c r="Q109" s="32"/>
      <c r="R109" s="32">
        <f>+P109-P109*F109</f>
        <v>702</v>
      </c>
      <c r="S109" s="107">
        <f>R109/H109/12</f>
        <v>8.3571428571428577</v>
      </c>
      <c r="T109" s="107">
        <f>IF(Q109&gt;0,0,IF((OR((AF109&gt;AG109),(AH109&lt;AI109))),0,IF((AND((AH109&gt;=AI109),(AH109&lt;=AG109))),S109*((AH109-AI109)*12),IF((AND((AI109&lt;=AF109),(AG109&gt;=AF109))),((AG109-AF109)*12)*S109,IF(AH109&gt;AG109,12*S109,0)))))</f>
        <v>33.428571428563828</v>
      </c>
      <c r="U109" s="107">
        <f>IF(Q109=0,0,IF((AND((AJ109&gt;=AI109),(AJ109&lt;=AH109))),((AJ109-AI109)*12)*S109,0))</f>
        <v>0</v>
      </c>
      <c r="V109" s="107">
        <f>IF(U109&gt;0,U109,T109)</f>
        <v>33.428571428563828</v>
      </c>
      <c r="W109" s="105">
        <v>1</v>
      </c>
      <c r="X109" s="107">
        <f>W109*SUM(T109:U109)</f>
        <v>33.428571428563828</v>
      </c>
      <c r="Y109" s="105"/>
      <c r="Z109" s="107">
        <f>IF(AF109&gt;AG109,0,IF(AH109&lt;AI109,R109,IF((AND((AH109&gt;=AI109),(AH109&lt;=AG109))),(R109-V109),IF((AND((AI109&lt;=AF109),(AG109&gt;=AF109))),0,IF(AH109&gt;AG109,((AI109-AF109)*12)*S109,0)))))</f>
        <v>668.57142857143617</v>
      </c>
      <c r="AA109" s="107">
        <f>Z109*W109</f>
        <v>668.57142857143617</v>
      </c>
      <c r="AB109" s="105">
        <v>1</v>
      </c>
      <c r="AC109" s="107">
        <f>AA109*AB109</f>
        <v>668.57142857143617</v>
      </c>
      <c r="AD109" s="107">
        <f>IF(Q109&gt;0,0,AC109+X109*AB109)*AB109</f>
        <v>702</v>
      </c>
      <c r="AE109" s="107">
        <f>IF(Q109&gt;0,(P109-AC109)/2,IF(AF109&gt;=AI109,(((P109*W109)*AB109)-AD109)/2,((((P109*W109)*AB109)-AC109)+(((P109*W109)*AB109)-AD109))/2))</f>
        <v>16.714285714281914</v>
      </c>
      <c r="AF109" s="107">
        <f>$D109+(($E109-1)/12)</f>
        <v>2009.8333333333333</v>
      </c>
      <c r="AG109" s="107">
        <f>($R$5+1)-($R$2/12)</f>
        <v>2017.5</v>
      </c>
      <c r="AH109" s="107">
        <f>$I109+(($E109-1)/12)</f>
        <v>2016.8333333333333</v>
      </c>
      <c r="AI109" s="108">
        <f>$R$4+($R$3/12)</f>
        <v>2016.5</v>
      </c>
      <c r="AJ109" s="108">
        <f>$J109+(($K109-1)/12)</f>
        <v>-8.3333333333333329E-2</v>
      </c>
      <c r="AK109" s="108">
        <f>$I109+(($E109-1)/12)</f>
        <v>2016.8333333333333</v>
      </c>
      <c r="AL109" s="108">
        <f>$R$4+($R$3/12)</f>
        <v>2016.5</v>
      </c>
      <c r="AM109" s="108">
        <f>$J109+(($K109-1)/12)</f>
        <v>-8.3333333333333329E-2</v>
      </c>
    </row>
    <row r="110" spans="1:39" x14ac:dyDescent="0.25">
      <c r="A110">
        <v>85</v>
      </c>
      <c r="B110" t="s">
        <v>507</v>
      </c>
      <c r="C110" t="s">
        <v>784</v>
      </c>
      <c r="D110" s="34">
        <v>2009</v>
      </c>
      <c r="E110" s="34">
        <v>12</v>
      </c>
      <c r="F110" s="75"/>
      <c r="G110" s="34" t="s">
        <v>433</v>
      </c>
      <c r="H110" s="34">
        <v>10</v>
      </c>
      <c r="I110">
        <f>+D110+H110</f>
        <v>2019</v>
      </c>
      <c r="L110" s="53" t="s">
        <v>788</v>
      </c>
      <c r="M110" s="53" t="s">
        <v>788</v>
      </c>
      <c r="N110" s="53" t="s">
        <v>788</v>
      </c>
      <c r="O110" s="53" t="s">
        <v>788</v>
      </c>
      <c r="P110" s="32">
        <v>11111</v>
      </c>
      <c r="Q110" s="32"/>
      <c r="R110" s="32">
        <f>+P110-P110*F110</f>
        <v>11111</v>
      </c>
      <c r="S110" s="107">
        <f>R110/H110/12</f>
        <v>92.591666666666654</v>
      </c>
      <c r="T110" s="107">
        <f>IF(Q110&gt;0,0,IF((OR((AF110&gt;AG110),(AH110&lt;AI110))),0,IF((AND((AH110&gt;=AI110),(AH110&lt;=AG110))),S110*((AH110-AI110)*12),IF((AND((AI110&lt;=AF110),(AG110&gt;=AF110))),((AG110-AF110)*12)*S110,IF(AH110&gt;AG110,12*S110,0)))))</f>
        <v>1111.0999999999999</v>
      </c>
      <c r="U110" s="107">
        <f>IF(Q110=0,0,IF((AND((AJ110&gt;=AI110),(AJ110&lt;=AH110))),((AJ110-AI110)*12)*S110,0))</f>
        <v>0</v>
      </c>
      <c r="V110" s="107">
        <f>IF(U110&gt;0,U110,T110)</f>
        <v>1111.0999999999999</v>
      </c>
      <c r="W110" s="105">
        <v>1</v>
      </c>
      <c r="X110" s="107">
        <f>W110*SUM(T110:U110)</f>
        <v>1111.0999999999999</v>
      </c>
      <c r="Y110" s="105"/>
      <c r="Z110" s="107">
        <f>IF(AF110&gt;AG110,0,IF(AH110&lt;AI110,R110,IF((AND((AH110&gt;=AI110),(AH110&lt;=AG110))),(R110-V110),IF((AND((AI110&lt;=AF110),(AG110&gt;=AF110))),0,IF(AH110&gt;AG110,((AI110-AF110)*12)*S110,0)))))</f>
        <v>7314.7416666665813</v>
      </c>
      <c r="AA110" s="107">
        <f>Z110*W110</f>
        <v>7314.7416666665813</v>
      </c>
      <c r="AB110" s="105">
        <v>1</v>
      </c>
      <c r="AC110" s="107">
        <f>AA110*AB110</f>
        <v>7314.7416666665813</v>
      </c>
      <c r="AD110" s="107">
        <f>IF(Q110&gt;0,0,AC110+X110*AB110)*AB110</f>
        <v>8425.8416666665817</v>
      </c>
      <c r="AE110" s="107">
        <f>IF(Q110&gt;0,(P110-AC110)/2,IF(AF110&gt;=AI110,(((P110*W110)*AB110)-AD110)/2,((((P110*W110)*AB110)-AC110)+(((P110*W110)*AB110)-AD110))/2))</f>
        <v>3240.7083333334185</v>
      </c>
      <c r="AF110" s="107">
        <f>$D110+(($E110-1)/12)</f>
        <v>2009.9166666666667</v>
      </c>
      <c r="AG110" s="107">
        <f>($R$5+1)-($R$2/12)</f>
        <v>2017.5</v>
      </c>
      <c r="AH110" s="107">
        <f>$I110+(($E110-1)/12)</f>
        <v>2019.9166666666667</v>
      </c>
      <c r="AI110" s="108">
        <f>$R$4+($R$3/12)</f>
        <v>2016.5</v>
      </c>
      <c r="AJ110" s="108">
        <f>$J110+(($K110-1)/12)</f>
        <v>-8.3333333333333329E-2</v>
      </c>
      <c r="AK110" s="108">
        <f>$I110+(($E110-1)/12)</f>
        <v>2019.9166666666667</v>
      </c>
      <c r="AL110" s="108">
        <f>$R$4+($R$3/12)</f>
        <v>2016.5</v>
      </c>
      <c r="AM110" s="108">
        <f>$J110+(($K110-1)/12)</f>
        <v>-8.3333333333333329E-2</v>
      </c>
    </row>
    <row r="111" spans="1:39" x14ac:dyDescent="0.25">
      <c r="A111">
        <v>86</v>
      </c>
      <c r="B111" t="s">
        <v>503</v>
      </c>
      <c r="C111" t="s">
        <v>784</v>
      </c>
      <c r="D111" s="34">
        <v>2009</v>
      </c>
      <c r="E111" s="34">
        <v>12</v>
      </c>
      <c r="F111" s="75"/>
      <c r="G111" s="34" t="s">
        <v>433</v>
      </c>
      <c r="H111" s="34">
        <v>7</v>
      </c>
      <c r="I111">
        <f>+D111+H111</f>
        <v>2016</v>
      </c>
      <c r="L111" s="53" t="s">
        <v>788</v>
      </c>
      <c r="M111" s="53" t="s">
        <v>788</v>
      </c>
      <c r="N111" s="53" t="s">
        <v>788</v>
      </c>
      <c r="O111" s="53" t="s">
        <v>788</v>
      </c>
      <c r="P111" s="32">
        <v>332</v>
      </c>
      <c r="Q111" s="32"/>
      <c r="R111" s="32">
        <f>+P111-P111*F111</f>
        <v>332</v>
      </c>
      <c r="S111" s="107">
        <f>R111/H111/12</f>
        <v>3.9523809523809526</v>
      </c>
      <c r="T111" s="107">
        <f>IF(Q111&gt;0,0,IF((OR((AF111&gt;AG111),(AH111&lt;AI111))),0,IF((AND((AH111&gt;=AI111),(AH111&lt;=AG111))),S111*((AH111-AI111)*12),IF((AND((AI111&lt;=AF111),(AG111&gt;=AF111))),((AG111-AF111)*12)*S111,IF(AH111&gt;AG111,12*S111,0)))))</f>
        <v>19.761904761908358</v>
      </c>
      <c r="U111" s="107">
        <f>IF(Q111=0,0,IF((AND((AJ111&gt;=AI111),(AJ111&lt;=AH111))),((AJ111-AI111)*12)*S111,0))</f>
        <v>0</v>
      </c>
      <c r="V111" s="107">
        <f>IF(U111&gt;0,U111,T111)</f>
        <v>19.761904761908358</v>
      </c>
      <c r="W111" s="105">
        <v>1</v>
      </c>
      <c r="X111" s="107">
        <f>W111*SUM(T111:U111)</f>
        <v>19.761904761908358</v>
      </c>
      <c r="Y111" s="105"/>
      <c r="Z111" s="107">
        <f>IF(AF111&gt;AG111,0,IF(AH111&lt;AI111,R111,IF((AND((AH111&gt;=AI111),(AH111&lt;=AG111))),(R111-V111),IF((AND((AI111&lt;=AF111),(AG111&gt;=AF111))),0,IF(AH111&gt;AG111,((AI111-AF111)*12)*S111,0)))))</f>
        <v>312.23809523809166</v>
      </c>
      <c r="AA111" s="107">
        <f>Z111*W111</f>
        <v>312.23809523809166</v>
      </c>
      <c r="AB111" s="105">
        <v>1</v>
      </c>
      <c r="AC111" s="107">
        <f>AA111*AB111</f>
        <v>312.23809523809166</v>
      </c>
      <c r="AD111" s="107">
        <f>IF(Q111&gt;0,0,AC111+X111*AB111)*AB111</f>
        <v>332</v>
      </c>
      <c r="AE111" s="107">
        <f>IF(Q111&gt;0,(P111-AC111)/2,IF(AF111&gt;=AI111,(((P111*W111)*AB111)-AD111)/2,((((P111*W111)*AB111)-AC111)+(((P111*W111)*AB111)-AD111))/2))</f>
        <v>9.8809523809541702</v>
      </c>
      <c r="AF111" s="107">
        <f>$D111+(($E111-1)/12)</f>
        <v>2009.9166666666667</v>
      </c>
      <c r="AG111" s="107">
        <f>($R$5+1)-($R$2/12)</f>
        <v>2017.5</v>
      </c>
      <c r="AH111" s="107">
        <f>$I111+(($E111-1)/12)</f>
        <v>2016.9166666666667</v>
      </c>
      <c r="AI111" s="108">
        <f>$R$4+($R$3/12)</f>
        <v>2016.5</v>
      </c>
      <c r="AJ111" s="108">
        <f>$J111+(($K111-1)/12)</f>
        <v>-8.3333333333333329E-2</v>
      </c>
      <c r="AK111" s="108">
        <f>$I111+(($E111-1)/12)</f>
        <v>2016.9166666666667</v>
      </c>
      <c r="AL111" s="108">
        <f>$R$4+($R$3/12)</f>
        <v>2016.5</v>
      </c>
      <c r="AM111" s="108">
        <f>$J111+(($K111-1)/12)</f>
        <v>-8.3333333333333329E-2</v>
      </c>
    </row>
    <row r="112" spans="1:39" x14ac:dyDescent="0.25">
      <c r="A112">
        <v>87</v>
      </c>
      <c r="B112" t="s">
        <v>508</v>
      </c>
      <c r="C112" t="s">
        <v>784</v>
      </c>
      <c r="D112" s="34">
        <v>2009</v>
      </c>
      <c r="E112" s="34">
        <v>12</v>
      </c>
      <c r="F112" s="75"/>
      <c r="G112" s="34" t="s">
        <v>433</v>
      </c>
      <c r="H112" s="34">
        <v>7</v>
      </c>
      <c r="I112">
        <f>+D112+H112</f>
        <v>2016</v>
      </c>
      <c r="L112" s="53" t="s">
        <v>788</v>
      </c>
      <c r="M112" s="53" t="s">
        <v>788</v>
      </c>
      <c r="N112" s="53" t="s">
        <v>788</v>
      </c>
      <c r="O112" s="53" t="s">
        <v>788</v>
      </c>
      <c r="P112" s="32">
        <v>996</v>
      </c>
      <c r="Q112" s="32"/>
      <c r="R112" s="32">
        <f>+P112-P112*F112</f>
        <v>996</v>
      </c>
      <c r="S112" s="107">
        <f>R112/H112/12</f>
        <v>11.857142857142856</v>
      </c>
      <c r="T112" s="107">
        <f>IF(Q112&gt;0,0,IF((OR((AF112&gt;AG112),(AH112&lt;AI112))),0,IF((AND((AH112&gt;=AI112),(AH112&lt;=AG112))),S112*((AH112-AI112)*12),IF((AND((AI112&lt;=AF112),(AG112&gt;=AF112))),((AG112-AF112)*12)*S112,IF(AH112&gt;AG112,12*S112,0)))))</f>
        <v>59.285714285725064</v>
      </c>
      <c r="U112" s="107">
        <f>IF(Q112=0,0,IF((AND((AJ112&gt;=AI112),(AJ112&lt;=AH112))),((AJ112-AI112)*12)*S112,0))</f>
        <v>0</v>
      </c>
      <c r="V112" s="107">
        <f>IF(U112&gt;0,U112,T112)</f>
        <v>59.285714285725064</v>
      </c>
      <c r="W112" s="105">
        <v>1</v>
      </c>
      <c r="X112" s="107">
        <f>W112*SUM(T112:U112)</f>
        <v>59.285714285725064</v>
      </c>
      <c r="Y112" s="105"/>
      <c r="Z112" s="107">
        <f>IF(AF112&gt;AG112,0,IF(AH112&lt;AI112,R112,IF((AND((AH112&gt;=AI112),(AH112&lt;=AG112))),(R112-V112),IF((AND((AI112&lt;=AF112),(AG112&gt;=AF112))),0,IF(AH112&gt;AG112,((AI112-AF112)*12)*S112,0)))))</f>
        <v>936.71428571427498</v>
      </c>
      <c r="AA112" s="107">
        <f>Z112*W112</f>
        <v>936.71428571427498</v>
      </c>
      <c r="AB112" s="105">
        <v>1</v>
      </c>
      <c r="AC112" s="107">
        <f>AA112*AB112</f>
        <v>936.71428571427498</v>
      </c>
      <c r="AD112" s="107">
        <f>IF(Q112&gt;0,0,AC112+X112*AB112)*AB112</f>
        <v>996</v>
      </c>
      <c r="AE112" s="107">
        <f>IF(Q112&gt;0,(P112-AC112)/2,IF(AF112&gt;=AI112,(((P112*W112)*AB112)-AD112)/2,((((P112*W112)*AB112)-AC112)+(((P112*W112)*AB112)-AD112))/2))</f>
        <v>29.64285714286251</v>
      </c>
      <c r="AF112" s="107">
        <f>$D112+(($E112-1)/12)</f>
        <v>2009.9166666666667</v>
      </c>
      <c r="AG112" s="107">
        <f>($R$5+1)-($R$2/12)</f>
        <v>2017.5</v>
      </c>
      <c r="AH112" s="107">
        <f>$I112+(($E112-1)/12)</f>
        <v>2016.9166666666667</v>
      </c>
      <c r="AI112" s="108">
        <f>$R$4+($R$3/12)</f>
        <v>2016.5</v>
      </c>
      <c r="AJ112" s="108">
        <f>$J112+(($K112-1)/12)</f>
        <v>-8.3333333333333329E-2</v>
      </c>
      <c r="AK112" s="108">
        <f>$I112+(($E112-1)/12)</f>
        <v>2016.9166666666667</v>
      </c>
      <c r="AL112" s="108">
        <f>$R$4+($R$3/12)</f>
        <v>2016.5</v>
      </c>
      <c r="AM112" s="108">
        <f>$J112+(($K112-1)/12)</f>
        <v>-8.3333333333333329E-2</v>
      </c>
    </row>
    <row r="113" spans="1:39" x14ac:dyDescent="0.25">
      <c r="A113">
        <v>88</v>
      </c>
      <c r="B113" t="s">
        <v>509</v>
      </c>
      <c r="C113" t="s">
        <v>784</v>
      </c>
      <c r="D113" s="34">
        <v>2009</v>
      </c>
      <c r="E113" s="34">
        <v>12</v>
      </c>
      <c r="F113" s="75"/>
      <c r="G113" s="34" t="s">
        <v>433</v>
      </c>
      <c r="H113" s="34">
        <v>7</v>
      </c>
      <c r="I113">
        <f>+D113+H113</f>
        <v>2016</v>
      </c>
      <c r="L113" s="53" t="s">
        <v>788</v>
      </c>
      <c r="M113" s="53" t="s">
        <v>788</v>
      </c>
      <c r="N113" s="53" t="s">
        <v>788</v>
      </c>
      <c r="O113" s="53" t="s">
        <v>788</v>
      </c>
      <c r="P113" s="32">
        <v>2930</v>
      </c>
      <c r="Q113" s="32"/>
      <c r="R113" s="32">
        <f>+P113-P113*F113</f>
        <v>2930</v>
      </c>
      <c r="S113" s="107">
        <f>R113/H113/12</f>
        <v>34.88095238095238</v>
      </c>
      <c r="T113" s="107">
        <f>IF(Q113&gt;0,0,IF((OR((AF113&gt;AG113),(AH113&lt;AI113))),0,IF((AND((AH113&gt;=AI113),(AH113&lt;=AG113))),S113*((AH113-AI113)*12),IF((AND((AI113&lt;=AF113),(AG113&gt;=AF113))),((AG113-AF113)*12)*S113,IF(AH113&gt;AG113,12*S113,0)))))</f>
        <v>174.40476190479362</v>
      </c>
      <c r="U113" s="107">
        <f>IF(Q113=0,0,IF((AND((AJ113&gt;=AI113),(AJ113&lt;=AH113))),((AJ113-AI113)*12)*S113,0))</f>
        <v>0</v>
      </c>
      <c r="V113" s="107">
        <f>IF(U113&gt;0,U113,T113)</f>
        <v>174.40476190479362</v>
      </c>
      <c r="W113" s="105">
        <v>1</v>
      </c>
      <c r="X113" s="107">
        <f>W113*SUM(T113:U113)</f>
        <v>174.40476190479362</v>
      </c>
      <c r="Y113" s="105"/>
      <c r="Z113" s="107">
        <f>IF(AF113&gt;AG113,0,IF(AH113&lt;AI113,R113,IF((AND((AH113&gt;=AI113),(AH113&lt;=AG113))),(R113-V113),IF((AND((AI113&lt;=AF113),(AG113&gt;=AF113))),0,IF(AH113&gt;AG113,((AI113-AF113)*12)*S113,0)))))</f>
        <v>2755.5952380952062</v>
      </c>
      <c r="AA113" s="107">
        <f>Z113*W113</f>
        <v>2755.5952380952062</v>
      </c>
      <c r="AB113" s="105">
        <v>1</v>
      </c>
      <c r="AC113" s="107">
        <f>AA113*AB113</f>
        <v>2755.5952380952062</v>
      </c>
      <c r="AD113" s="107">
        <f>IF(Q113&gt;0,0,AC113+X113*AB113)*AB113</f>
        <v>2930</v>
      </c>
      <c r="AE113" s="107">
        <f>IF(Q113&gt;0,(P113-AC113)/2,IF(AF113&gt;=AI113,(((P113*W113)*AB113)-AD113)/2,((((P113*W113)*AB113)-AC113)+(((P113*W113)*AB113)-AD113))/2))</f>
        <v>87.202380952396879</v>
      </c>
      <c r="AF113" s="107">
        <f>$D113+(($E113-1)/12)</f>
        <v>2009.9166666666667</v>
      </c>
      <c r="AG113" s="107">
        <f>($R$5+1)-($R$2/12)</f>
        <v>2017.5</v>
      </c>
      <c r="AH113" s="107">
        <f>$I113+(($E113-1)/12)</f>
        <v>2016.9166666666667</v>
      </c>
      <c r="AI113" s="108">
        <f>$R$4+($R$3/12)</f>
        <v>2016.5</v>
      </c>
      <c r="AJ113" s="108">
        <f>$J113+(($K113-1)/12)</f>
        <v>-8.3333333333333329E-2</v>
      </c>
      <c r="AK113" s="108">
        <f>$I113+(($E113-1)/12)</f>
        <v>2016.9166666666667</v>
      </c>
      <c r="AL113" s="108">
        <f>$R$4+($R$3/12)</f>
        <v>2016.5</v>
      </c>
      <c r="AM113" s="108">
        <f>$J113+(($K113-1)/12)</f>
        <v>-8.3333333333333329E-2</v>
      </c>
    </row>
    <row r="114" spans="1:39" x14ac:dyDescent="0.25">
      <c r="A114">
        <v>89</v>
      </c>
      <c r="B114" t="s">
        <v>510</v>
      </c>
      <c r="C114" t="s">
        <v>784</v>
      </c>
      <c r="D114" s="34">
        <v>2009</v>
      </c>
      <c r="E114" s="34">
        <v>12</v>
      </c>
      <c r="F114" s="75"/>
      <c r="G114" s="34" t="s">
        <v>433</v>
      </c>
      <c r="H114" s="34">
        <v>5</v>
      </c>
      <c r="I114">
        <f>+D114+H114</f>
        <v>2014</v>
      </c>
      <c r="L114" s="53" t="s">
        <v>788</v>
      </c>
      <c r="M114" s="53" t="s">
        <v>788</v>
      </c>
      <c r="N114" s="53" t="s">
        <v>788</v>
      </c>
      <c r="O114" s="53" t="s">
        <v>788</v>
      </c>
      <c r="P114" s="32">
        <v>2140</v>
      </c>
      <c r="Q114" s="32"/>
      <c r="R114" s="32">
        <f>+P114-P114*F114</f>
        <v>2140</v>
      </c>
      <c r="S114" s="107">
        <f>R114/H114/12</f>
        <v>35.666666666666664</v>
      </c>
      <c r="T114" s="107">
        <f>IF(Q114&gt;0,0,IF((OR((AF114&gt;AG114),(AH114&lt;AI114))),0,IF((AND((AH114&gt;=AI114),(AH114&lt;=AG114))),S114*((AH114-AI114)*12),IF((AND((AI114&lt;=AF114),(AG114&gt;=AF114))),((AG114-AF114)*12)*S114,IF(AH114&gt;AG114,12*S114,0)))))</f>
        <v>0</v>
      </c>
      <c r="U114" s="107">
        <f>IF(Q114=0,0,IF((AND((AJ114&gt;=AI114),(AJ114&lt;=AH114))),((AJ114-AI114)*12)*S114,0))</f>
        <v>0</v>
      </c>
      <c r="V114" s="107">
        <f>IF(U114&gt;0,U114,T114)</f>
        <v>0</v>
      </c>
      <c r="W114" s="105">
        <v>1</v>
      </c>
      <c r="X114" s="107">
        <f>W114*SUM(T114:U114)</f>
        <v>0</v>
      </c>
      <c r="Y114" s="105"/>
      <c r="Z114" s="107">
        <f>IF(AF114&gt;AG114,0,IF(AH114&lt;AI114,R114,IF((AND((AH114&gt;=AI114),(AH114&lt;=AG114))),(R114-V114),IF((AND((AI114&lt;=AF114),(AG114&gt;=AF114))),0,IF(AH114&gt;AG114,((AI114-AF114)*12)*S114,0)))))</f>
        <v>2140</v>
      </c>
      <c r="AA114" s="107">
        <f>Z114*W114</f>
        <v>2140</v>
      </c>
      <c r="AB114" s="105">
        <v>1</v>
      </c>
      <c r="AC114" s="107">
        <f>AA114*AB114</f>
        <v>2140</v>
      </c>
      <c r="AD114" s="107">
        <f>IF(Q114&gt;0,0,AC114+X114*AB114)*AB114</f>
        <v>2140</v>
      </c>
      <c r="AE114" s="107">
        <f>IF(Q114&gt;0,(P114-AC114)/2,IF(AF114&gt;=AI114,(((P114*W114)*AB114)-AD114)/2,((((P114*W114)*AB114)-AC114)+(((P114*W114)*AB114)-AD114))/2))</f>
        <v>0</v>
      </c>
      <c r="AF114" s="107">
        <f>$D114+(($E114-1)/12)</f>
        <v>2009.9166666666667</v>
      </c>
      <c r="AG114" s="107">
        <f>($R$5+1)-($R$2/12)</f>
        <v>2017.5</v>
      </c>
      <c r="AH114" s="107">
        <f>$I114+(($E114-1)/12)</f>
        <v>2014.9166666666667</v>
      </c>
      <c r="AI114" s="108">
        <f>$R$4+($R$3/12)</f>
        <v>2016.5</v>
      </c>
      <c r="AJ114" s="108">
        <f>$J114+(($K114-1)/12)</f>
        <v>-8.3333333333333329E-2</v>
      </c>
      <c r="AK114" s="108">
        <f>$I114+(($E114-1)/12)</f>
        <v>2014.9166666666667</v>
      </c>
      <c r="AL114" s="108">
        <f>$R$4+($R$3/12)</f>
        <v>2016.5</v>
      </c>
      <c r="AM114" s="108">
        <f>$J114+(($K114-1)/12)</f>
        <v>-8.3333333333333329E-2</v>
      </c>
    </row>
    <row r="115" spans="1:39" x14ac:dyDescent="0.25">
      <c r="A115">
        <v>90</v>
      </c>
      <c r="B115" t="s">
        <v>511</v>
      </c>
      <c r="C115" t="s">
        <v>784</v>
      </c>
      <c r="D115" s="34">
        <v>2009</v>
      </c>
      <c r="E115" s="34">
        <v>12</v>
      </c>
      <c r="F115" s="75"/>
      <c r="G115" s="34" t="s">
        <v>433</v>
      </c>
      <c r="H115" s="34">
        <v>5</v>
      </c>
      <c r="I115">
        <f>+D115+H115</f>
        <v>2014</v>
      </c>
      <c r="L115" s="53" t="s">
        <v>788</v>
      </c>
      <c r="M115" s="53" t="s">
        <v>788</v>
      </c>
      <c r="N115" s="53" t="s">
        <v>788</v>
      </c>
      <c r="O115" s="53" t="s">
        <v>788</v>
      </c>
      <c r="P115" s="32">
        <v>359</v>
      </c>
      <c r="Q115" s="32"/>
      <c r="R115" s="32">
        <f>+P115-P115*F115</f>
        <v>359</v>
      </c>
      <c r="S115" s="107">
        <f>R115/H115/12</f>
        <v>5.9833333333333334</v>
      </c>
      <c r="T115" s="107">
        <f>IF(Q115&gt;0,0,IF((OR((AF115&gt;AG115),(AH115&lt;AI115))),0,IF((AND((AH115&gt;=AI115),(AH115&lt;=AG115))),S115*((AH115-AI115)*12),IF((AND((AI115&lt;=AF115),(AG115&gt;=AF115))),((AG115-AF115)*12)*S115,IF(AH115&gt;AG115,12*S115,0)))))</f>
        <v>0</v>
      </c>
      <c r="U115" s="107">
        <f>IF(Q115=0,0,IF((AND((AJ115&gt;=AI115),(AJ115&lt;=AH115))),((AJ115-AI115)*12)*S115,0))</f>
        <v>0</v>
      </c>
      <c r="V115" s="107">
        <f>IF(U115&gt;0,U115,T115)</f>
        <v>0</v>
      </c>
      <c r="W115" s="105">
        <v>1</v>
      </c>
      <c r="X115" s="107">
        <f>W115*SUM(T115:U115)</f>
        <v>0</v>
      </c>
      <c r="Y115" s="105"/>
      <c r="Z115" s="107">
        <f>IF(AF115&gt;AG115,0,IF(AH115&lt;AI115,R115,IF((AND((AH115&gt;=AI115),(AH115&lt;=AG115))),(R115-V115),IF((AND((AI115&lt;=AF115),(AG115&gt;=AF115))),0,IF(AH115&gt;AG115,((AI115-AF115)*12)*S115,0)))))</f>
        <v>359</v>
      </c>
      <c r="AA115" s="107">
        <f>Z115*W115</f>
        <v>359</v>
      </c>
      <c r="AB115" s="105">
        <v>1</v>
      </c>
      <c r="AC115" s="107">
        <f>AA115*AB115</f>
        <v>359</v>
      </c>
      <c r="AD115" s="107">
        <f>IF(Q115&gt;0,0,AC115+X115*AB115)*AB115</f>
        <v>359</v>
      </c>
      <c r="AE115" s="107">
        <f>IF(Q115&gt;0,(P115-AC115)/2,IF(AF115&gt;=AI115,(((P115*W115)*AB115)-AD115)/2,((((P115*W115)*AB115)-AC115)+(((P115*W115)*AB115)-AD115))/2))</f>
        <v>0</v>
      </c>
      <c r="AF115" s="107">
        <f>$D115+(($E115-1)/12)</f>
        <v>2009.9166666666667</v>
      </c>
      <c r="AG115" s="107">
        <f>($R$5+1)-($R$2/12)</f>
        <v>2017.5</v>
      </c>
      <c r="AH115" s="107">
        <f>$I115+(($E115-1)/12)</f>
        <v>2014.9166666666667</v>
      </c>
      <c r="AI115" s="108">
        <f>$R$4+($R$3/12)</f>
        <v>2016.5</v>
      </c>
      <c r="AJ115" s="108">
        <f>$J115+(($K115-1)/12)</f>
        <v>-8.3333333333333329E-2</v>
      </c>
      <c r="AK115" s="108">
        <f>$I115+(($E115-1)/12)</f>
        <v>2014.9166666666667</v>
      </c>
      <c r="AL115" s="108">
        <f>$R$4+($R$3/12)</f>
        <v>2016.5</v>
      </c>
      <c r="AM115" s="108">
        <f>$J115+(($K115-1)/12)</f>
        <v>-8.3333333333333329E-2</v>
      </c>
    </row>
    <row r="116" spans="1:39" x14ac:dyDescent="0.25">
      <c r="A116">
        <v>92</v>
      </c>
      <c r="B116" t="s">
        <v>490</v>
      </c>
      <c r="C116" t="s">
        <v>784</v>
      </c>
      <c r="D116" s="34">
        <v>2009</v>
      </c>
      <c r="E116" s="34">
        <v>3</v>
      </c>
      <c r="F116" s="75"/>
      <c r="G116" s="34" t="s">
        <v>433</v>
      </c>
      <c r="H116" s="34">
        <v>7</v>
      </c>
      <c r="I116">
        <f>+D116+H116</f>
        <v>2016</v>
      </c>
      <c r="L116" s="53" t="s">
        <v>788</v>
      </c>
      <c r="M116" s="53" t="s">
        <v>788</v>
      </c>
      <c r="N116" s="53" t="s">
        <v>788</v>
      </c>
      <c r="O116" s="53" t="s">
        <v>788</v>
      </c>
      <c r="P116" s="32">
        <v>42672</v>
      </c>
      <c r="Q116" s="32"/>
      <c r="R116" s="32">
        <f>+P116-P116*F116</f>
        <v>42672</v>
      </c>
      <c r="S116" s="107">
        <f>R116/H116/12</f>
        <v>508</v>
      </c>
      <c r="T116" s="107">
        <f>IF(Q116&gt;0,0,IF((OR((AF116&gt;AG116),(AH116&lt;AI116))),0,IF((AND((AH116&gt;=AI116),(AH116&lt;=AG116))),S116*((AH116-AI116)*12),IF((AND((AI116&lt;=AF116),(AG116&gt;=AF116))),((AG116-AF116)*12)*S116,IF(AH116&gt;AG116,12*S116,0)))))</f>
        <v>0</v>
      </c>
      <c r="U116" s="107">
        <f>IF(Q116=0,0,IF((AND((AJ116&gt;=AI116),(AJ116&lt;=AH116))),((AJ116-AI116)*12)*S116,0))</f>
        <v>0</v>
      </c>
      <c r="V116" s="107">
        <f>IF(U116&gt;0,U116,T116)</f>
        <v>0</v>
      </c>
      <c r="W116" s="105">
        <v>1</v>
      </c>
      <c r="X116" s="107">
        <f>W116*SUM(T116:U116)</f>
        <v>0</v>
      </c>
      <c r="Y116" s="105"/>
      <c r="Z116" s="107">
        <f>IF(AF116&gt;AG116,0,IF(AH116&lt;AI116,R116,IF((AND((AH116&gt;=AI116),(AH116&lt;=AG116))),(R116-V116),IF((AND((AI116&lt;=AF116),(AG116&gt;=AF116))),0,IF(AH116&gt;AG116,((AI116-AF116)*12)*S116,0)))))</f>
        <v>42672</v>
      </c>
      <c r="AA116" s="107">
        <f>Z116*W116</f>
        <v>42672</v>
      </c>
      <c r="AB116" s="105">
        <v>1</v>
      </c>
      <c r="AC116" s="107">
        <f>AA116*AB116</f>
        <v>42672</v>
      </c>
      <c r="AD116" s="107">
        <f>IF(Q116&gt;0,0,AC116+X116*AB116)*AB116</f>
        <v>42672</v>
      </c>
      <c r="AE116" s="107">
        <f>IF(Q116&gt;0,(P116-AC116)/2,IF(AF116&gt;=AI116,(((P116*W116)*AB116)-AD116)/2,((((P116*W116)*AB116)-AC116)+(((P116*W116)*AB116)-AD116))/2))</f>
        <v>0</v>
      </c>
      <c r="AF116" s="107">
        <f>$D116+(($E116-1)/12)</f>
        <v>2009.1666666666667</v>
      </c>
      <c r="AG116" s="107">
        <f>($R$5+1)-($R$2/12)</f>
        <v>2017.5</v>
      </c>
      <c r="AH116" s="107">
        <f>$I116+(($E116-1)/12)</f>
        <v>2016.1666666666667</v>
      </c>
      <c r="AI116" s="108">
        <f>$R$4+($R$3/12)</f>
        <v>2016.5</v>
      </c>
      <c r="AJ116" s="108">
        <f>$J116+(($K116-1)/12)</f>
        <v>-8.3333333333333329E-2</v>
      </c>
      <c r="AK116" s="108">
        <f>$I116+(($E116-1)/12)</f>
        <v>2016.1666666666667</v>
      </c>
      <c r="AL116" s="108">
        <f>$R$4+($R$3/12)</f>
        <v>2016.5</v>
      </c>
      <c r="AM116" s="108">
        <f>$J116+(($K116-1)/12)</f>
        <v>-8.3333333333333329E-2</v>
      </c>
    </row>
    <row r="117" spans="1:39" x14ac:dyDescent="0.25">
      <c r="A117">
        <v>94</v>
      </c>
      <c r="B117" t="s">
        <v>512</v>
      </c>
      <c r="C117" t="s">
        <v>784</v>
      </c>
      <c r="D117" s="34">
        <v>2009</v>
      </c>
      <c r="E117" s="34">
        <v>3</v>
      </c>
      <c r="F117" s="75"/>
      <c r="G117" s="34" t="s">
        <v>433</v>
      </c>
      <c r="H117" s="34">
        <v>7</v>
      </c>
      <c r="I117">
        <f>+D117+H117</f>
        <v>2016</v>
      </c>
      <c r="L117" s="53" t="s">
        <v>788</v>
      </c>
      <c r="M117" s="53" t="s">
        <v>788</v>
      </c>
      <c r="N117" s="53" t="s">
        <v>788</v>
      </c>
      <c r="O117" s="53" t="s">
        <v>788</v>
      </c>
      <c r="P117" s="32">
        <v>2867</v>
      </c>
      <c r="Q117" s="32"/>
      <c r="R117" s="32">
        <f>+P117-P117*F117</f>
        <v>2867</v>
      </c>
      <c r="S117" s="107">
        <f>R117/H117/12</f>
        <v>34.13095238095238</v>
      </c>
      <c r="T117" s="107">
        <f>IF(Q117&gt;0,0,IF((OR((AF117&gt;AG117),(AH117&lt;AI117))),0,IF((AND((AH117&gt;=AI117),(AH117&lt;=AG117))),S117*((AH117-AI117)*12),IF((AND((AI117&lt;=AF117),(AG117&gt;=AF117))),((AG117-AF117)*12)*S117,IF(AH117&gt;AG117,12*S117,0)))))</f>
        <v>0</v>
      </c>
      <c r="U117" s="107">
        <f>IF(Q117=0,0,IF((AND((AJ117&gt;=AI117),(AJ117&lt;=AH117))),((AJ117-AI117)*12)*S117,0))</f>
        <v>0</v>
      </c>
      <c r="V117" s="107">
        <f>IF(U117&gt;0,U117,T117)</f>
        <v>0</v>
      </c>
      <c r="W117" s="105">
        <v>1</v>
      </c>
      <c r="X117" s="107">
        <f>W117*SUM(T117:U117)</f>
        <v>0</v>
      </c>
      <c r="Y117" s="105"/>
      <c r="Z117" s="107">
        <f>IF(AF117&gt;AG117,0,IF(AH117&lt;AI117,R117,IF((AND((AH117&gt;=AI117),(AH117&lt;=AG117))),(R117-V117),IF((AND((AI117&lt;=AF117),(AG117&gt;=AF117))),0,IF(AH117&gt;AG117,((AI117-AF117)*12)*S117,0)))))</f>
        <v>2867</v>
      </c>
      <c r="AA117" s="107">
        <f>Z117*W117</f>
        <v>2867</v>
      </c>
      <c r="AB117" s="105">
        <v>1</v>
      </c>
      <c r="AC117" s="107">
        <f>AA117*AB117</f>
        <v>2867</v>
      </c>
      <c r="AD117" s="107">
        <f>IF(Q117&gt;0,0,AC117+X117*AB117)*AB117</f>
        <v>2867</v>
      </c>
      <c r="AE117" s="107">
        <f>IF(Q117&gt;0,(P117-AC117)/2,IF(AF117&gt;=AI117,(((P117*W117)*AB117)-AD117)/2,((((P117*W117)*AB117)-AC117)+(((P117*W117)*AB117)-AD117))/2))</f>
        <v>0</v>
      </c>
      <c r="AF117" s="107">
        <f>$D117+(($E117-1)/12)</f>
        <v>2009.1666666666667</v>
      </c>
      <c r="AG117" s="107">
        <f>($R$5+1)-($R$2/12)</f>
        <v>2017.5</v>
      </c>
      <c r="AH117" s="107">
        <f>$I117+(($E117-1)/12)</f>
        <v>2016.1666666666667</v>
      </c>
      <c r="AI117" s="108">
        <f>$R$4+($R$3/12)</f>
        <v>2016.5</v>
      </c>
      <c r="AJ117" s="108">
        <f>$J117+(($K117-1)/12)</f>
        <v>-8.3333333333333329E-2</v>
      </c>
      <c r="AK117" s="108">
        <f>$I117+(($E117-1)/12)</f>
        <v>2016.1666666666667</v>
      </c>
      <c r="AL117" s="108">
        <f>$R$4+($R$3/12)</f>
        <v>2016.5</v>
      </c>
      <c r="AM117" s="108">
        <f>$J117+(($K117-1)/12)</f>
        <v>-8.3333333333333329E-2</v>
      </c>
    </row>
    <row r="118" spans="1:39" x14ac:dyDescent="0.25">
      <c r="A118">
        <v>96</v>
      </c>
      <c r="B118" t="s">
        <v>514</v>
      </c>
      <c r="C118" t="s">
        <v>784</v>
      </c>
      <c r="D118" s="34">
        <v>2009</v>
      </c>
      <c r="E118" s="34">
        <v>5</v>
      </c>
      <c r="F118" s="75"/>
      <c r="G118" s="34" t="s">
        <v>433</v>
      </c>
      <c r="H118" s="34">
        <v>7</v>
      </c>
      <c r="I118">
        <f>+D118+H118</f>
        <v>2016</v>
      </c>
      <c r="L118" s="53" t="s">
        <v>788</v>
      </c>
      <c r="M118" s="53" t="s">
        <v>788</v>
      </c>
      <c r="N118" s="53" t="s">
        <v>788</v>
      </c>
      <c r="O118" s="53" t="s">
        <v>788</v>
      </c>
      <c r="P118" s="32">
        <v>1110</v>
      </c>
      <c r="Q118" s="32"/>
      <c r="R118" s="32">
        <f>+P118-P118*F118</f>
        <v>1110</v>
      </c>
      <c r="S118" s="107">
        <f>R118/H118/12</f>
        <v>13.214285714285715</v>
      </c>
      <c r="T118" s="107">
        <f>IF(Q118&gt;0,0,IF((OR((AF118&gt;AG118),(AH118&lt;AI118))),0,IF((AND((AH118&gt;=AI118),(AH118&lt;=AG118))),S118*((AH118-AI118)*12),IF((AND((AI118&lt;=AF118),(AG118&gt;=AF118))),((AG118-AF118)*12)*S118,IF(AH118&gt;AG118,12*S118,0)))))</f>
        <v>0</v>
      </c>
      <c r="U118" s="107">
        <f>IF(Q118=0,0,IF((AND((AJ118&gt;=AI118),(AJ118&lt;=AH118))),((AJ118-AI118)*12)*S118,0))</f>
        <v>0</v>
      </c>
      <c r="V118" s="107">
        <f>IF(U118&gt;0,U118,T118)</f>
        <v>0</v>
      </c>
      <c r="W118" s="105">
        <v>1</v>
      </c>
      <c r="X118" s="107">
        <f>W118*SUM(T118:U118)</f>
        <v>0</v>
      </c>
      <c r="Y118" s="105"/>
      <c r="Z118" s="107">
        <f>IF(AF118&gt;AG118,0,IF(AH118&lt;AI118,R118,IF((AND((AH118&gt;=AI118),(AH118&lt;=AG118))),(R118-V118),IF((AND((AI118&lt;=AF118),(AG118&gt;=AF118))),0,IF(AH118&gt;AG118,((AI118-AF118)*12)*S118,0)))))</f>
        <v>1110</v>
      </c>
      <c r="AA118" s="107">
        <f>Z118*W118</f>
        <v>1110</v>
      </c>
      <c r="AB118" s="105">
        <v>1</v>
      </c>
      <c r="AC118" s="107">
        <f>AA118*AB118</f>
        <v>1110</v>
      </c>
      <c r="AD118" s="107">
        <f>IF(Q118&gt;0,0,AC118+X118*AB118)*AB118</f>
        <v>1110</v>
      </c>
      <c r="AE118" s="107">
        <f>IF(Q118&gt;0,(P118-AC118)/2,IF(AF118&gt;=AI118,(((P118*W118)*AB118)-AD118)/2,((((P118*W118)*AB118)-AC118)+(((P118*W118)*AB118)-AD118))/2))</f>
        <v>0</v>
      </c>
      <c r="AF118" s="107">
        <f>$D118+(($E118-1)/12)</f>
        <v>2009.3333333333333</v>
      </c>
      <c r="AG118" s="107">
        <f>($R$5+1)-($R$2/12)</f>
        <v>2017.5</v>
      </c>
      <c r="AH118" s="107">
        <f>$I118+(($E118-1)/12)</f>
        <v>2016.3333333333333</v>
      </c>
      <c r="AI118" s="108">
        <f>$R$4+($R$3/12)</f>
        <v>2016.5</v>
      </c>
      <c r="AJ118" s="108">
        <f>$J118+(($K118-1)/12)</f>
        <v>-8.3333333333333329E-2</v>
      </c>
      <c r="AK118" s="108">
        <f>$I118+(($E118-1)/12)</f>
        <v>2016.3333333333333</v>
      </c>
      <c r="AL118" s="108">
        <f>$R$4+($R$3/12)</f>
        <v>2016.5</v>
      </c>
      <c r="AM118" s="108">
        <f>$J118+(($K118-1)/12)</f>
        <v>-8.3333333333333329E-2</v>
      </c>
    </row>
    <row r="119" spans="1:39" x14ac:dyDescent="0.25">
      <c r="A119">
        <v>97</v>
      </c>
      <c r="B119" t="s">
        <v>515</v>
      </c>
      <c r="C119" t="s">
        <v>784</v>
      </c>
      <c r="D119" s="34">
        <v>2009</v>
      </c>
      <c r="E119" s="34">
        <v>5</v>
      </c>
      <c r="F119" s="75"/>
      <c r="G119" s="34" t="s">
        <v>433</v>
      </c>
      <c r="H119" s="34">
        <v>7</v>
      </c>
      <c r="I119">
        <f>+D119+H119</f>
        <v>2016</v>
      </c>
      <c r="L119" s="53" t="s">
        <v>788</v>
      </c>
      <c r="M119" s="53" t="s">
        <v>788</v>
      </c>
      <c r="N119" s="53" t="s">
        <v>788</v>
      </c>
      <c r="O119" s="53" t="s">
        <v>788</v>
      </c>
      <c r="P119" s="32">
        <v>2473</v>
      </c>
      <c r="Q119" s="32"/>
      <c r="R119" s="32">
        <f>+P119-P119*F119</f>
        <v>2473</v>
      </c>
      <c r="S119" s="107">
        <f>R119/H119/12</f>
        <v>29.44047619047619</v>
      </c>
      <c r="T119" s="107">
        <f>IF(Q119&gt;0,0,IF((OR((AF119&gt;AG119),(AH119&lt;AI119))),0,IF((AND((AH119&gt;=AI119),(AH119&lt;=AG119))),S119*((AH119-AI119)*12),IF((AND((AI119&lt;=AF119),(AG119&gt;=AF119))),((AG119-AF119)*12)*S119,IF(AH119&gt;AG119,12*S119,0)))))</f>
        <v>0</v>
      </c>
      <c r="U119" s="107">
        <f>IF(Q119=0,0,IF((AND((AJ119&gt;=AI119),(AJ119&lt;=AH119))),((AJ119-AI119)*12)*S119,0))</f>
        <v>0</v>
      </c>
      <c r="V119" s="107">
        <f>IF(U119&gt;0,U119,T119)</f>
        <v>0</v>
      </c>
      <c r="W119" s="105">
        <v>1</v>
      </c>
      <c r="X119" s="107">
        <f>W119*SUM(T119:U119)</f>
        <v>0</v>
      </c>
      <c r="Y119" s="105"/>
      <c r="Z119" s="107">
        <f>IF(AF119&gt;AG119,0,IF(AH119&lt;AI119,R119,IF((AND((AH119&gt;=AI119),(AH119&lt;=AG119))),(R119-V119),IF((AND((AI119&lt;=AF119),(AG119&gt;=AF119))),0,IF(AH119&gt;AG119,((AI119-AF119)*12)*S119,0)))))</f>
        <v>2473</v>
      </c>
      <c r="AA119" s="107">
        <f>Z119*W119</f>
        <v>2473</v>
      </c>
      <c r="AB119" s="105">
        <v>1</v>
      </c>
      <c r="AC119" s="107">
        <f>AA119*AB119</f>
        <v>2473</v>
      </c>
      <c r="AD119" s="107">
        <f>IF(Q119&gt;0,0,AC119+X119*AB119)*AB119</f>
        <v>2473</v>
      </c>
      <c r="AE119" s="107">
        <f>IF(Q119&gt;0,(P119-AC119)/2,IF(AF119&gt;=AI119,(((P119*W119)*AB119)-AD119)/2,((((P119*W119)*AB119)-AC119)+(((P119*W119)*AB119)-AD119))/2))</f>
        <v>0</v>
      </c>
      <c r="AF119" s="107">
        <f>$D119+(($E119-1)/12)</f>
        <v>2009.3333333333333</v>
      </c>
      <c r="AG119" s="107">
        <f>($R$5+1)-($R$2/12)</f>
        <v>2017.5</v>
      </c>
      <c r="AH119" s="107">
        <f>$I119+(($E119-1)/12)</f>
        <v>2016.3333333333333</v>
      </c>
      <c r="AI119" s="108">
        <f>$R$4+($R$3/12)</f>
        <v>2016.5</v>
      </c>
      <c r="AJ119" s="108">
        <f>$J119+(($K119-1)/12)</f>
        <v>-8.3333333333333329E-2</v>
      </c>
      <c r="AK119" s="108">
        <f>$I119+(($E119-1)/12)</f>
        <v>2016.3333333333333</v>
      </c>
      <c r="AL119" s="108">
        <f>$R$4+($R$3/12)</f>
        <v>2016.5</v>
      </c>
      <c r="AM119" s="108">
        <f>$J119+(($K119-1)/12)</f>
        <v>-8.3333333333333329E-2</v>
      </c>
    </row>
    <row r="120" spans="1:39" x14ac:dyDescent="0.25">
      <c r="A120">
        <v>99</v>
      </c>
      <c r="B120" t="s">
        <v>499</v>
      </c>
      <c r="C120" t="s">
        <v>784</v>
      </c>
      <c r="D120" s="34">
        <v>2009</v>
      </c>
      <c r="E120" s="34">
        <v>7</v>
      </c>
      <c r="F120" s="75"/>
      <c r="G120" s="34" t="s">
        <v>433</v>
      </c>
      <c r="H120" s="34">
        <v>7</v>
      </c>
      <c r="I120">
        <f>+D120+H120</f>
        <v>2016</v>
      </c>
      <c r="L120" s="53" t="s">
        <v>788</v>
      </c>
      <c r="M120" s="53" t="s">
        <v>788</v>
      </c>
      <c r="N120" s="53" t="s">
        <v>788</v>
      </c>
      <c r="O120" s="53" t="s">
        <v>788</v>
      </c>
      <c r="P120" s="32">
        <v>2834</v>
      </c>
      <c r="Q120" s="32"/>
      <c r="R120" s="32">
        <f>+P120-P120*F120</f>
        <v>2834</v>
      </c>
      <c r="S120" s="107">
        <f>R120/H120/12</f>
        <v>33.738095238095234</v>
      </c>
      <c r="T120" s="107">
        <f>IF(Q120&gt;0,0,IF((OR((AF120&gt;AG120),(AH120&lt;AI120))),0,IF((AND((AH120&gt;=AI120),(AH120&lt;=AG120))),S120*((AH120-AI120)*12),IF((AND((AI120&lt;=AF120),(AG120&gt;=AF120))),((AG120-AF120)*12)*S120,IF(AH120&gt;AG120,12*S120,0)))))</f>
        <v>0</v>
      </c>
      <c r="U120" s="107">
        <f>IF(Q120=0,0,IF((AND((AJ120&gt;=AI120),(AJ120&lt;=AH120))),((AJ120-AI120)*12)*S120,0))</f>
        <v>0</v>
      </c>
      <c r="V120" s="107">
        <f>IF(U120&gt;0,U120,T120)</f>
        <v>0</v>
      </c>
      <c r="W120" s="105">
        <v>1</v>
      </c>
      <c r="X120" s="107">
        <f>W120*SUM(T120:U120)</f>
        <v>0</v>
      </c>
      <c r="Y120" s="105"/>
      <c r="Z120" s="107">
        <f>IF(AF120&gt;AG120,0,IF(AH120&lt;AI120,R120,IF((AND((AH120&gt;=AI120),(AH120&lt;=AG120))),(R120-V120),IF((AND((AI120&lt;=AF120),(AG120&gt;=AF120))),0,IF(AH120&gt;AG120,((AI120-AF120)*12)*S120,0)))))</f>
        <v>2834</v>
      </c>
      <c r="AA120" s="107">
        <f>Z120*W120</f>
        <v>2834</v>
      </c>
      <c r="AB120" s="105">
        <v>1</v>
      </c>
      <c r="AC120" s="107">
        <f>AA120*AB120</f>
        <v>2834</v>
      </c>
      <c r="AD120" s="107">
        <f>IF(Q120&gt;0,0,AC120+X120*AB120)*AB120</f>
        <v>2834</v>
      </c>
      <c r="AE120" s="107">
        <f>IF(Q120&gt;0,(P120-AC120)/2,IF(AF120&gt;=AI120,(((P120*W120)*AB120)-AD120)/2,((((P120*W120)*AB120)-AC120)+(((P120*W120)*AB120)-AD120))/2))</f>
        <v>0</v>
      </c>
      <c r="AF120" s="107">
        <f>$D120+(($E120-1)/12)</f>
        <v>2009.5</v>
      </c>
      <c r="AG120" s="107">
        <f>($R$5+1)-($R$2/12)</f>
        <v>2017.5</v>
      </c>
      <c r="AH120" s="107">
        <f>$I120+(($E120-1)/12)</f>
        <v>2016.5</v>
      </c>
      <c r="AI120" s="108">
        <f>$R$4+($R$3/12)</f>
        <v>2016.5</v>
      </c>
      <c r="AJ120" s="108">
        <f>$J120+(($K120-1)/12)</f>
        <v>-8.3333333333333329E-2</v>
      </c>
      <c r="AK120" s="108">
        <f>$I120+(($E120-1)/12)</f>
        <v>2016.5</v>
      </c>
      <c r="AL120" s="108">
        <f>$R$4+($R$3/12)</f>
        <v>2016.5</v>
      </c>
      <c r="AM120" s="108">
        <f>$J120+(($K120-1)/12)</f>
        <v>-8.3333333333333329E-2</v>
      </c>
    </row>
    <row r="121" spans="1:39" x14ac:dyDescent="0.25">
      <c r="A121">
        <v>106</v>
      </c>
      <c r="B121" t="s">
        <v>519</v>
      </c>
      <c r="C121" t="s">
        <v>784</v>
      </c>
      <c r="D121" s="34">
        <v>2010</v>
      </c>
      <c r="E121" s="34">
        <v>1</v>
      </c>
      <c r="F121" s="75"/>
      <c r="G121" s="34" t="s">
        <v>433</v>
      </c>
      <c r="H121" s="34">
        <v>7</v>
      </c>
      <c r="I121">
        <f>+D121+H121</f>
        <v>2017</v>
      </c>
      <c r="L121" s="53" t="s">
        <v>788</v>
      </c>
      <c r="M121" s="53" t="s">
        <v>788</v>
      </c>
      <c r="N121" s="53" t="s">
        <v>788</v>
      </c>
      <c r="O121" s="53" t="s">
        <v>788</v>
      </c>
      <c r="P121" s="32">
        <v>3192</v>
      </c>
      <c r="Q121" s="32"/>
      <c r="R121" s="32">
        <f>+P121-P121*F121</f>
        <v>3192</v>
      </c>
      <c r="S121" s="107">
        <f>R121/H121/12</f>
        <v>38</v>
      </c>
      <c r="T121" s="107">
        <f>IF(Q121&gt;0,0,IF((OR((AF121&gt;AG121),(AH121&lt;AI121))),0,IF((AND((AH121&gt;=AI121),(AH121&lt;=AG121))),S121*((AH121-AI121)*12),IF((AND((AI121&lt;=AF121),(AG121&gt;=AF121))),((AG121-AF121)*12)*S121,IF(AH121&gt;AG121,12*S121,0)))))</f>
        <v>228</v>
      </c>
      <c r="U121" s="107">
        <f>IF(Q121=0,0,IF((AND((AJ121&gt;=AI121),(AJ121&lt;=AH121))),((AJ121-AI121)*12)*S121,0))</f>
        <v>0</v>
      </c>
      <c r="V121" s="107">
        <f>IF(U121&gt;0,U121,T121)</f>
        <v>228</v>
      </c>
      <c r="W121" s="105">
        <v>1</v>
      </c>
      <c r="X121" s="107">
        <f>W121*SUM(T121:U121)</f>
        <v>228</v>
      </c>
      <c r="Y121" s="105"/>
      <c r="Z121" s="107">
        <f>IF(AF121&gt;AG121,0,IF(AH121&lt;AI121,R121,IF((AND((AH121&gt;=AI121),(AH121&lt;=AG121))),(R121-V121),IF((AND((AI121&lt;=AF121),(AG121&gt;=AF121))),0,IF(AH121&gt;AG121,((AI121-AF121)*12)*S121,0)))))</f>
        <v>2964</v>
      </c>
      <c r="AA121" s="107">
        <f>Z121*W121</f>
        <v>2964</v>
      </c>
      <c r="AB121" s="105">
        <v>1</v>
      </c>
      <c r="AC121" s="107">
        <f>AA121*AB121</f>
        <v>2964</v>
      </c>
      <c r="AD121" s="107">
        <f>IF(Q121&gt;0,0,AC121+X121*AB121)*AB121</f>
        <v>3192</v>
      </c>
      <c r="AE121" s="107">
        <f>IF(Q121&gt;0,(P121-AC121)/2,IF(AF121&gt;=AI121,(((P121*W121)*AB121)-AD121)/2,((((P121*W121)*AB121)-AC121)+(((P121*W121)*AB121)-AD121))/2))</f>
        <v>114</v>
      </c>
      <c r="AF121" s="107">
        <f>$D121+(($E121-1)/12)</f>
        <v>2010</v>
      </c>
      <c r="AG121" s="107">
        <f>($R$5+1)-($R$2/12)</f>
        <v>2017.5</v>
      </c>
      <c r="AH121" s="107">
        <f>$I121+(($E121-1)/12)</f>
        <v>2017</v>
      </c>
      <c r="AI121" s="108">
        <f>$R$4+($R$3/12)</f>
        <v>2016.5</v>
      </c>
      <c r="AJ121" s="108">
        <f>$J121+(($K121-1)/12)</f>
        <v>-8.3333333333333329E-2</v>
      </c>
      <c r="AK121" s="108">
        <f>$I121+(($E121-1)/12)</f>
        <v>2017</v>
      </c>
      <c r="AL121" s="108">
        <f>$R$4+($R$3/12)</f>
        <v>2016.5</v>
      </c>
      <c r="AM121" s="108">
        <f>$J121+(($K121-1)/12)</f>
        <v>-8.3333333333333329E-2</v>
      </c>
    </row>
    <row r="122" spans="1:39" x14ac:dyDescent="0.25">
      <c r="A122">
        <v>108</v>
      </c>
      <c r="B122" t="s">
        <v>521</v>
      </c>
      <c r="C122" t="s">
        <v>784</v>
      </c>
      <c r="D122" s="34">
        <v>2010</v>
      </c>
      <c r="E122" s="34">
        <v>3</v>
      </c>
      <c r="F122" s="75"/>
      <c r="G122" s="34" t="s">
        <v>433</v>
      </c>
      <c r="H122" s="34">
        <v>7</v>
      </c>
      <c r="I122">
        <f>+D122+H122</f>
        <v>2017</v>
      </c>
      <c r="L122" s="53" t="s">
        <v>788</v>
      </c>
      <c r="M122" s="53" t="s">
        <v>788</v>
      </c>
      <c r="N122" s="53" t="s">
        <v>788</v>
      </c>
      <c r="O122" s="53" t="s">
        <v>788</v>
      </c>
      <c r="P122" s="32">
        <v>932</v>
      </c>
      <c r="Q122" s="32"/>
      <c r="R122" s="32">
        <f>+P122-P122*F122</f>
        <v>932</v>
      </c>
      <c r="S122" s="107">
        <f>R122/H122/12</f>
        <v>11.095238095238095</v>
      </c>
      <c r="T122" s="107">
        <f>IF(Q122&gt;0,0,IF((OR((AF122&gt;AG122),(AH122&lt;AI122))),0,IF((AND((AH122&gt;=AI122),(AH122&lt;=AG122))),S122*((AH122-AI122)*12),IF((AND((AI122&lt;=AF122),(AG122&gt;=AF122))),((AG122-AF122)*12)*S122,IF(AH122&gt;AG122,12*S122,0)))))</f>
        <v>88.761904761914849</v>
      </c>
      <c r="U122" s="107">
        <f>IF(Q122=0,0,IF((AND((AJ122&gt;=AI122),(AJ122&lt;=AH122))),((AJ122-AI122)*12)*S122,0))</f>
        <v>0</v>
      </c>
      <c r="V122" s="107">
        <f>IF(U122&gt;0,U122,T122)</f>
        <v>88.761904761914849</v>
      </c>
      <c r="W122" s="105">
        <v>1</v>
      </c>
      <c r="X122" s="107">
        <f>W122*SUM(T122:U122)</f>
        <v>88.761904761914849</v>
      </c>
      <c r="Y122" s="105"/>
      <c r="Z122" s="107">
        <f>IF(AF122&gt;AG122,0,IF(AH122&lt;AI122,R122,IF((AND((AH122&gt;=AI122),(AH122&lt;=AG122))),(R122-V122),IF((AND((AI122&lt;=AF122),(AG122&gt;=AF122))),0,IF(AH122&gt;AG122,((AI122-AF122)*12)*S122,0)))))</f>
        <v>843.23809523808518</v>
      </c>
      <c r="AA122" s="107">
        <f>Z122*W122</f>
        <v>843.23809523808518</v>
      </c>
      <c r="AB122" s="105">
        <v>1</v>
      </c>
      <c r="AC122" s="107">
        <f>AA122*AB122</f>
        <v>843.23809523808518</v>
      </c>
      <c r="AD122" s="107">
        <f>IF(Q122&gt;0,0,AC122+X122*AB122)*AB122</f>
        <v>932</v>
      </c>
      <c r="AE122" s="107">
        <f>IF(Q122&gt;0,(P122-AC122)/2,IF(AF122&gt;=AI122,(((P122*W122)*AB122)-AD122)/2,((((P122*W122)*AB122)-AC122)+(((P122*W122)*AB122)-AD122))/2))</f>
        <v>44.38095238095741</v>
      </c>
      <c r="AF122" s="107">
        <f>$D122+(($E122-1)/12)</f>
        <v>2010.1666666666667</v>
      </c>
      <c r="AG122" s="107">
        <f>($R$5+1)-($R$2/12)</f>
        <v>2017.5</v>
      </c>
      <c r="AH122" s="107">
        <f>$I122+(($E122-1)/12)</f>
        <v>2017.1666666666667</v>
      </c>
      <c r="AI122" s="108">
        <f>$R$4+($R$3/12)</f>
        <v>2016.5</v>
      </c>
      <c r="AJ122" s="108">
        <f>$J122+(($K122-1)/12)</f>
        <v>-8.3333333333333329E-2</v>
      </c>
      <c r="AK122" s="108">
        <f>$I122+(($E122-1)/12)</f>
        <v>2017.1666666666667</v>
      </c>
      <c r="AL122" s="108">
        <f>$R$4+($R$3/12)</f>
        <v>2016.5</v>
      </c>
      <c r="AM122" s="108">
        <f>$J122+(($K122-1)/12)</f>
        <v>-8.3333333333333329E-2</v>
      </c>
    </row>
    <row r="123" spans="1:39" x14ac:dyDescent="0.25">
      <c r="A123">
        <v>110</v>
      </c>
      <c r="B123" t="s">
        <v>523</v>
      </c>
      <c r="C123" t="s">
        <v>784</v>
      </c>
      <c r="D123" s="34">
        <v>2010</v>
      </c>
      <c r="E123" s="34">
        <v>6</v>
      </c>
      <c r="F123" s="75"/>
      <c r="G123" s="34" t="s">
        <v>433</v>
      </c>
      <c r="H123" s="34">
        <v>7</v>
      </c>
      <c r="I123">
        <f>+D123+H123</f>
        <v>2017</v>
      </c>
      <c r="L123" s="53" t="s">
        <v>788</v>
      </c>
      <c r="M123" s="53" t="s">
        <v>788</v>
      </c>
      <c r="N123" s="53" t="s">
        <v>788</v>
      </c>
      <c r="O123" s="53" t="s">
        <v>788</v>
      </c>
      <c r="P123" s="32">
        <v>864</v>
      </c>
      <c r="Q123" s="32"/>
      <c r="R123" s="32">
        <f>+P123-P123*F123</f>
        <v>864</v>
      </c>
      <c r="S123" s="107">
        <f>R123/H123/12</f>
        <v>10.285714285714286</v>
      </c>
      <c r="T123" s="107">
        <f>IF(Q123&gt;0,0,IF((OR((AF123&gt;AG123),(AH123&lt;AI123))),0,IF((AND((AH123&gt;=AI123),(AH123&lt;=AG123))),S123*((AH123-AI123)*12),IF((AND((AI123&lt;=AF123),(AG123&gt;=AF123))),((AG123-AF123)*12)*S123,IF(AH123&gt;AG123,12*S123,0)))))</f>
        <v>113.1428571428665</v>
      </c>
      <c r="U123" s="107">
        <f>IF(Q123=0,0,IF((AND((AJ123&gt;=AI123),(AJ123&lt;=AH123))),((AJ123-AI123)*12)*S123,0))</f>
        <v>0</v>
      </c>
      <c r="V123" s="107">
        <f>IF(U123&gt;0,U123,T123)</f>
        <v>113.1428571428665</v>
      </c>
      <c r="W123" s="105">
        <v>1</v>
      </c>
      <c r="X123" s="107">
        <f>W123*SUM(T123:U123)</f>
        <v>113.1428571428665</v>
      </c>
      <c r="Y123" s="105"/>
      <c r="Z123" s="107">
        <f>IF(AF123&gt;AG123,0,IF(AH123&lt;AI123,R123,IF((AND((AH123&gt;=AI123),(AH123&lt;=AG123))),(R123-V123),IF((AND((AI123&lt;=AF123),(AG123&gt;=AF123))),0,IF(AH123&gt;AG123,((AI123-AF123)*12)*S123,0)))))</f>
        <v>750.85714285713345</v>
      </c>
      <c r="AA123" s="107">
        <f>Z123*W123</f>
        <v>750.85714285713345</v>
      </c>
      <c r="AB123" s="105">
        <v>1</v>
      </c>
      <c r="AC123" s="107">
        <f>AA123*AB123</f>
        <v>750.85714285713345</v>
      </c>
      <c r="AD123" s="107">
        <f>IF(Q123&gt;0,0,AC123+X123*AB123)*AB123</f>
        <v>864</v>
      </c>
      <c r="AE123" s="107">
        <f>IF(Q123&gt;0,(P123-AC123)/2,IF(AF123&gt;=AI123,(((P123*W123)*AB123)-AD123)/2,((((P123*W123)*AB123)-AC123)+(((P123*W123)*AB123)-AD123))/2))</f>
        <v>56.571428571433273</v>
      </c>
      <c r="AF123" s="107">
        <f>$D123+(($E123-1)/12)</f>
        <v>2010.4166666666667</v>
      </c>
      <c r="AG123" s="107">
        <f>($R$5+1)-($R$2/12)</f>
        <v>2017.5</v>
      </c>
      <c r="AH123" s="107">
        <f>$I123+(($E123-1)/12)</f>
        <v>2017.4166666666667</v>
      </c>
      <c r="AI123" s="108">
        <f>$R$4+($R$3/12)</f>
        <v>2016.5</v>
      </c>
      <c r="AJ123" s="108">
        <f>$J123+(($K123-1)/12)</f>
        <v>-8.3333333333333329E-2</v>
      </c>
      <c r="AK123" s="108">
        <f>$I123+(($E123-1)/12)</f>
        <v>2017.4166666666667</v>
      </c>
      <c r="AL123" s="108">
        <f>$R$4+($R$3/12)</f>
        <v>2016.5</v>
      </c>
      <c r="AM123" s="108">
        <f>$J123+(($K123-1)/12)</f>
        <v>-8.3333333333333329E-2</v>
      </c>
    </row>
    <row r="124" spans="1:39" x14ac:dyDescent="0.25">
      <c r="A124">
        <v>111</v>
      </c>
      <c r="B124" t="s">
        <v>524</v>
      </c>
      <c r="C124" t="s">
        <v>784</v>
      </c>
      <c r="D124" s="34">
        <v>2010</v>
      </c>
      <c r="E124" s="34">
        <v>6</v>
      </c>
      <c r="F124" s="75"/>
      <c r="G124" s="34" t="s">
        <v>433</v>
      </c>
      <c r="H124" s="34">
        <v>7</v>
      </c>
      <c r="I124">
        <f>+D124+H124</f>
        <v>2017</v>
      </c>
      <c r="L124" s="53" t="s">
        <v>788</v>
      </c>
      <c r="M124" s="53" t="s">
        <v>788</v>
      </c>
      <c r="N124" s="53" t="s">
        <v>788</v>
      </c>
      <c r="O124" s="53" t="s">
        <v>788</v>
      </c>
      <c r="P124" s="32">
        <v>3455</v>
      </c>
      <c r="Q124" s="32"/>
      <c r="R124" s="32">
        <f>+P124-P124*F124</f>
        <v>3455</v>
      </c>
      <c r="S124" s="107">
        <f>R124/H124/12</f>
        <v>41.13095238095238</v>
      </c>
      <c r="T124" s="107">
        <f>IF(Q124&gt;0,0,IF((OR((AF124&gt;AG124),(AH124&lt;AI124))),0,IF((AND((AH124&gt;=AI124),(AH124&lt;=AG124))),S124*((AH124-AI124)*12),IF((AND((AI124&lt;=AF124),(AG124&gt;=AF124))),((AG124-AF124)*12)*S124,IF(AH124&gt;AG124,12*S124,0)))))</f>
        <v>452.44047619051361</v>
      </c>
      <c r="U124" s="107">
        <f>IF(Q124=0,0,IF((AND((AJ124&gt;=AI124),(AJ124&lt;=AH124))),((AJ124-AI124)*12)*S124,0))</f>
        <v>0</v>
      </c>
      <c r="V124" s="107">
        <f>IF(U124&gt;0,U124,T124)</f>
        <v>452.44047619051361</v>
      </c>
      <c r="W124" s="105">
        <v>1</v>
      </c>
      <c r="X124" s="107">
        <f>W124*SUM(T124:U124)</f>
        <v>452.44047619051361</v>
      </c>
      <c r="Y124" s="105"/>
      <c r="Z124" s="107">
        <f>IF(AF124&gt;AG124,0,IF(AH124&lt;AI124,R124,IF((AND((AH124&gt;=AI124),(AH124&lt;=AG124))),(R124-V124),IF((AND((AI124&lt;=AF124),(AG124&gt;=AF124))),0,IF(AH124&gt;AG124,((AI124-AF124)*12)*S124,0)))))</f>
        <v>3002.5595238094866</v>
      </c>
      <c r="AA124" s="107">
        <f>Z124*W124</f>
        <v>3002.5595238094866</v>
      </c>
      <c r="AB124" s="105">
        <v>1</v>
      </c>
      <c r="AC124" s="107">
        <f>AA124*AB124</f>
        <v>3002.5595238094866</v>
      </c>
      <c r="AD124" s="107">
        <f>IF(Q124&gt;0,0,AC124+X124*AB124)*AB124</f>
        <v>3455</v>
      </c>
      <c r="AE124" s="107">
        <f>IF(Q124&gt;0,(P124-AC124)/2,IF(AF124&gt;=AI124,(((P124*W124)*AB124)-AD124)/2,((((P124*W124)*AB124)-AC124)+(((P124*W124)*AB124)-AD124))/2))</f>
        <v>226.22023809525672</v>
      </c>
      <c r="AF124" s="107">
        <f>$D124+(($E124-1)/12)</f>
        <v>2010.4166666666667</v>
      </c>
      <c r="AG124" s="107">
        <f>($R$5+1)-($R$2/12)</f>
        <v>2017.5</v>
      </c>
      <c r="AH124" s="107">
        <f>$I124+(($E124-1)/12)</f>
        <v>2017.4166666666667</v>
      </c>
      <c r="AI124" s="108">
        <f>$R$4+($R$3/12)</f>
        <v>2016.5</v>
      </c>
      <c r="AJ124" s="108">
        <f>$J124+(($K124-1)/12)</f>
        <v>-8.3333333333333329E-2</v>
      </c>
      <c r="AK124" s="108">
        <f>$I124+(($E124-1)/12)</f>
        <v>2017.4166666666667</v>
      </c>
      <c r="AL124" s="108">
        <f>$R$4+($R$3/12)</f>
        <v>2016.5</v>
      </c>
      <c r="AM124" s="108">
        <f>$J124+(($K124-1)/12)</f>
        <v>-8.3333333333333329E-2</v>
      </c>
    </row>
    <row r="125" spans="1:39" x14ac:dyDescent="0.25">
      <c r="A125">
        <v>112</v>
      </c>
      <c r="B125" t="s">
        <v>525</v>
      </c>
      <c r="C125" t="s">
        <v>784</v>
      </c>
      <c r="D125" s="34">
        <v>2010</v>
      </c>
      <c r="E125" s="34">
        <v>10</v>
      </c>
      <c r="F125" s="75"/>
      <c r="G125" s="34" t="s">
        <v>433</v>
      </c>
      <c r="H125" s="34">
        <v>7</v>
      </c>
      <c r="I125">
        <f>+D125+H125</f>
        <v>2017</v>
      </c>
      <c r="L125" s="53" t="s">
        <v>788</v>
      </c>
      <c r="M125" s="53" t="s">
        <v>788</v>
      </c>
      <c r="N125" s="53" t="s">
        <v>788</v>
      </c>
      <c r="O125" s="53" t="s">
        <v>788</v>
      </c>
      <c r="P125" s="32">
        <v>4686</v>
      </c>
      <c r="Q125" s="32"/>
      <c r="R125" s="32">
        <f>+P125-P125*F125</f>
        <v>4686</v>
      </c>
      <c r="S125" s="107">
        <f>R125/H125/12</f>
        <v>55.785714285714285</v>
      </c>
      <c r="T125" s="107">
        <f>IF(Q125&gt;0,0,IF((OR((AF125&gt;AG125),(AH125&lt;AI125))),0,IF((AND((AH125&gt;=AI125),(AH125&lt;=AG125))),S125*((AH125-AI125)*12),IF((AND((AI125&lt;=AF125),(AG125&gt;=AF125))),((AG125-AF125)*12)*S125,IF(AH125&gt;AG125,12*S125,0)))))</f>
        <v>669.42857142857144</v>
      </c>
      <c r="U125" s="107">
        <f>IF(Q125=0,0,IF((AND((AJ125&gt;=AI125),(AJ125&lt;=AH125))),((AJ125-AI125)*12)*S125,0))</f>
        <v>0</v>
      </c>
      <c r="V125" s="107">
        <f>IF(U125&gt;0,U125,T125)</f>
        <v>669.42857142857144</v>
      </c>
      <c r="W125" s="105">
        <v>1</v>
      </c>
      <c r="X125" s="107">
        <f>W125*SUM(T125:U125)</f>
        <v>669.42857142857144</v>
      </c>
      <c r="Y125" s="105"/>
      <c r="Z125" s="107">
        <f>IF(AF125&gt;AG125,0,IF(AH125&lt;AI125,R125,IF((AND((AH125&gt;=AI125),(AH125&lt;=AG125))),(R125-V125),IF((AND((AI125&lt;=AF125),(AG125&gt;=AF125))),0,IF(AH125&gt;AG125,((AI125-AF125)*12)*S125,0)))))</f>
        <v>3849.2142857142858</v>
      </c>
      <c r="AA125" s="107">
        <f>Z125*W125</f>
        <v>3849.2142857142858</v>
      </c>
      <c r="AB125" s="105">
        <v>1</v>
      </c>
      <c r="AC125" s="107">
        <f>AA125*AB125</f>
        <v>3849.2142857142858</v>
      </c>
      <c r="AD125" s="107">
        <f>IF(Q125&gt;0,0,AC125+X125*AB125)*AB125</f>
        <v>4518.6428571428569</v>
      </c>
      <c r="AE125" s="107">
        <f>IF(Q125&gt;0,(P125-AC125)/2,IF(AF125&gt;=AI125,(((P125*W125)*AB125)-AD125)/2,((((P125*W125)*AB125)-AC125)+(((P125*W125)*AB125)-AD125))/2))</f>
        <v>502.07142857142867</v>
      </c>
      <c r="AF125" s="107">
        <f>$D125+(($E125-1)/12)</f>
        <v>2010.75</v>
      </c>
      <c r="AG125" s="107">
        <f>($R$5+1)-($R$2/12)</f>
        <v>2017.5</v>
      </c>
      <c r="AH125" s="107">
        <f>$I125+(($E125-1)/12)</f>
        <v>2017.75</v>
      </c>
      <c r="AI125" s="108">
        <f>$R$4+($R$3/12)</f>
        <v>2016.5</v>
      </c>
      <c r="AJ125" s="108">
        <f>$J125+(($K125-1)/12)</f>
        <v>-8.3333333333333329E-2</v>
      </c>
      <c r="AK125" s="108">
        <f>$I125+(($E125-1)/12)</f>
        <v>2017.75</v>
      </c>
      <c r="AL125" s="108">
        <f>$R$4+($R$3/12)</f>
        <v>2016.5</v>
      </c>
      <c r="AM125" s="108">
        <f>$J125+(($K125-1)/12)</f>
        <v>-8.3333333333333329E-2</v>
      </c>
    </row>
    <row r="126" spans="1:39" x14ac:dyDescent="0.25">
      <c r="A126">
        <v>114</v>
      </c>
      <c r="B126" t="s">
        <v>789</v>
      </c>
      <c r="C126" t="s">
        <v>784</v>
      </c>
      <c r="D126" s="34">
        <v>2010</v>
      </c>
      <c r="E126" s="34">
        <v>12</v>
      </c>
      <c r="F126" s="75"/>
      <c r="G126" s="34" t="s">
        <v>433</v>
      </c>
      <c r="H126" s="34">
        <v>7</v>
      </c>
      <c r="I126">
        <f>+D126+H126</f>
        <v>2017</v>
      </c>
      <c r="L126">
        <v>10</v>
      </c>
      <c r="M126">
        <f>+D126+L126</f>
        <v>2020</v>
      </c>
      <c r="N126" s="53" t="s">
        <v>788</v>
      </c>
      <c r="O126" s="32">
        <v>48612</v>
      </c>
      <c r="P126" s="32">
        <v>60946</v>
      </c>
      <c r="Q126" s="32"/>
      <c r="R126" s="32">
        <f>+P126-P126*F126</f>
        <v>60946</v>
      </c>
      <c r="S126" s="107">
        <f>R126/H126/12</f>
        <v>725.54761904761915</v>
      </c>
      <c r="T126" s="107">
        <f>(60946-48612)/3</f>
        <v>4111.333333333333</v>
      </c>
      <c r="U126" s="107">
        <f>IF(Q126=0,0,IF((AND((AJ126&gt;=AI126),(AJ126&lt;=AH126))),((AJ126-AI126)*12)*S126,0))</f>
        <v>0</v>
      </c>
      <c r="V126" s="107">
        <f>IF(U126&gt;0,U126,T126)</f>
        <v>4111.333333333333</v>
      </c>
      <c r="W126" s="105">
        <v>1</v>
      </c>
      <c r="X126" s="107">
        <f>W126*SUM(T126:U126)</f>
        <v>4111.333333333333</v>
      </c>
      <c r="Y126" s="105"/>
      <c r="Z126" s="107">
        <f>IF(AF126&gt;AG126,0,IF(AH126&lt;AI126,R126,IF((AND((AH126&gt;=AI126),(AH126&lt;=AG126))),(R126-V126),IF((AND((AI126&lt;=AF126),(AG126&gt;=AF126))),0,IF(AH126&gt;AG126,((AI126-AF126)*12)*S126,0)))))</f>
        <v>48611.690476189826</v>
      </c>
      <c r="AA126" s="107">
        <f>Z126*W126</f>
        <v>48611.690476189826</v>
      </c>
      <c r="AB126" s="105">
        <v>1</v>
      </c>
      <c r="AC126" s="107">
        <f>AA126*AB126</f>
        <v>48611.690476189826</v>
      </c>
      <c r="AD126" s="107">
        <f>IF(Q126&gt;0,0,AC126+X126*AB126)*AB126</f>
        <v>52723.023809523162</v>
      </c>
      <c r="AE126" s="107">
        <f>IF(Q126&gt;0,(P126-AC126)/2,IF(AF126&gt;=AI126,(((P126*W126)*AB126)-AD126)/2,((((P126*W126)*AB126)-AC126)+(((P126*W126)*AB126)-AD126))/2))</f>
        <v>10278.642857143506</v>
      </c>
      <c r="AF126" s="107">
        <f>$D126+(($E126-1)/12)</f>
        <v>2010.9166666666667</v>
      </c>
      <c r="AG126" s="107">
        <f>($R$5+1)-($R$2/12)</f>
        <v>2017.5</v>
      </c>
      <c r="AH126" s="107">
        <f>$I126+(($E126-1)/12)</f>
        <v>2017.9166666666667</v>
      </c>
      <c r="AI126" s="108">
        <f>$R$4+($R$3/12)</f>
        <v>2016.5</v>
      </c>
      <c r="AJ126" s="108">
        <f>$J126+(($K126-1)/12)</f>
        <v>-8.3333333333333329E-2</v>
      </c>
      <c r="AK126" s="108">
        <f>$I126+(($E126-1)/12)</f>
        <v>2017.9166666666667</v>
      </c>
      <c r="AL126" s="108">
        <f>$R$4+($R$3/12)</f>
        <v>2016.5</v>
      </c>
      <c r="AM126" s="108">
        <f>$J126+(($K126-1)/12)</f>
        <v>-8.3333333333333329E-2</v>
      </c>
    </row>
    <row r="127" spans="1:39" x14ac:dyDescent="0.25">
      <c r="A127">
        <v>124</v>
      </c>
      <c r="B127" t="s">
        <v>530</v>
      </c>
      <c r="C127" t="s">
        <v>784</v>
      </c>
      <c r="D127" s="34">
        <v>2011</v>
      </c>
      <c r="E127" s="34">
        <v>10</v>
      </c>
      <c r="F127" s="75"/>
      <c r="G127" s="34" t="s">
        <v>433</v>
      </c>
      <c r="H127" s="34">
        <v>5</v>
      </c>
      <c r="I127">
        <f>+D127+H127</f>
        <v>2016</v>
      </c>
      <c r="L127" s="53" t="s">
        <v>788</v>
      </c>
      <c r="M127" s="53" t="s">
        <v>788</v>
      </c>
      <c r="N127" s="53" t="s">
        <v>788</v>
      </c>
      <c r="O127" s="53" t="s">
        <v>788</v>
      </c>
      <c r="P127" s="32">
        <v>1856</v>
      </c>
      <c r="Q127" s="32"/>
      <c r="R127" s="32">
        <f>+P127-P127*F127</f>
        <v>1856</v>
      </c>
      <c r="S127" s="107">
        <f>R127/H127/12</f>
        <v>30.933333333333334</v>
      </c>
      <c r="T127" s="107">
        <f>IF(Q127&gt;0,0,IF((OR((AF127&gt;AG127),(AH127&lt;AI127))),0,IF((AND((AH127&gt;=AI127),(AH127&lt;=AG127))),S127*((AH127-AI127)*12),IF((AND((AI127&lt;=AF127),(AG127&gt;=AF127))),((AG127-AF127)*12)*S127,IF(AH127&gt;AG127,12*S127,0)))))</f>
        <v>92.8</v>
      </c>
      <c r="U127" s="107">
        <f>IF(Q127=0,0,IF((AND((AJ127&gt;=AI127),(AJ127&lt;=AH127))),((AJ127-AI127)*12)*S127,0))</f>
        <v>0</v>
      </c>
      <c r="V127" s="107">
        <f>IF(U127&gt;0,U127,T127)</f>
        <v>92.8</v>
      </c>
      <c r="W127" s="105">
        <v>1</v>
      </c>
      <c r="X127" s="107">
        <f>W127*SUM(T127:U127)</f>
        <v>92.8</v>
      </c>
      <c r="Y127" s="105"/>
      <c r="Z127" s="107">
        <f>IF(AF127&gt;AG127,0,IF(AH127&lt;AI127,R127,IF((AND((AH127&gt;=AI127),(AH127&lt;=AG127))),(R127-V127),IF((AND((AI127&lt;=AF127),(AG127&gt;=AF127))),0,IF(AH127&gt;AG127,((AI127-AF127)*12)*S127,0)))))</f>
        <v>1763.2</v>
      </c>
      <c r="AA127" s="107">
        <f>Z127*W127</f>
        <v>1763.2</v>
      </c>
      <c r="AB127" s="105">
        <v>1</v>
      </c>
      <c r="AC127" s="107">
        <f>AA127*AB127</f>
        <v>1763.2</v>
      </c>
      <c r="AD127" s="107">
        <f>IF(Q127&gt;0,0,AC127+X127*AB127)*AB127</f>
        <v>1856</v>
      </c>
      <c r="AE127" s="107">
        <f>IF(Q127&gt;0,(P127-AC127)/2,IF(AF127&gt;=AI127,(((P127*W127)*AB127)-AD127)/2,((((P127*W127)*AB127)-AC127)+(((P127*W127)*AB127)-AD127))/2))</f>
        <v>46.399999999999977</v>
      </c>
      <c r="AF127" s="107">
        <f>$D127+(($E127-1)/12)</f>
        <v>2011.75</v>
      </c>
      <c r="AG127" s="107">
        <f>($R$5+1)-($R$2/12)</f>
        <v>2017.5</v>
      </c>
      <c r="AH127" s="107">
        <f>$I127+(($E127-1)/12)</f>
        <v>2016.75</v>
      </c>
      <c r="AI127" s="108">
        <f>$R$4+($R$3/12)</f>
        <v>2016.5</v>
      </c>
      <c r="AJ127" s="108">
        <f>$J127+(($K127-1)/12)</f>
        <v>-8.3333333333333329E-2</v>
      </c>
      <c r="AK127" s="108">
        <f>$I127+(($E127-1)/12)</f>
        <v>2016.75</v>
      </c>
      <c r="AL127" s="108">
        <f>$R$4+($R$3/12)</f>
        <v>2016.5</v>
      </c>
      <c r="AM127" s="108">
        <f>$J127+(($K127-1)/12)</f>
        <v>-8.3333333333333329E-2</v>
      </c>
    </row>
    <row r="128" spans="1:39" x14ac:dyDescent="0.25">
      <c r="A128">
        <v>125</v>
      </c>
      <c r="B128" t="s">
        <v>531</v>
      </c>
      <c r="C128" t="s">
        <v>784</v>
      </c>
      <c r="D128" s="34">
        <v>2011</v>
      </c>
      <c r="E128" s="34">
        <v>10</v>
      </c>
      <c r="F128" s="75"/>
      <c r="G128" s="34" t="s">
        <v>433</v>
      </c>
      <c r="H128" s="34">
        <v>5</v>
      </c>
      <c r="I128">
        <f>+D128+H128</f>
        <v>2016</v>
      </c>
      <c r="L128" s="53" t="s">
        <v>788</v>
      </c>
      <c r="M128" s="53" t="s">
        <v>788</v>
      </c>
      <c r="N128" s="53" t="s">
        <v>788</v>
      </c>
      <c r="O128" s="53" t="s">
        <v>788</v>
      </c>
      <c r="P128" s="32">
        <v>1856</v>
      </c>
      <c r="Q128" s="32"/>
      <c r="R128" s="32">
        <f>+P128-P128*F128</f>
        <v>1856</v>
      </c>
      <c r="S128" s="107">
        <f>R128/H128/12</f>
        <v>30.933333333333334</v>
      </c>
      <c r="T128" s="107">
        <f>IF(Q128&gt;0,0,IF((OR((AF128&gt;AG128),(AH128&lt;AI128))),0,IF((AND((AH128&gt;=AI128),(AH128&lt;=AG128))),S128*((AH128-AI128)*12),IF((AND((AI128&lt;=AF128),(AG128&gt;=AF128))),((AG128-AF128)*12)*S128,IF(AH128&gt;AG128,12*S128,0)))))</f>
        <v>92.8</v>
      </c>
      <c r="U128" s="107">
        <f>IF(Q128=0,0,IF((AND((AJ128&gt;=AI128),(AJ128&lt;=AH128))),((AJ128-AI128)*12)*S128,0))</f>
        <v>0</v>
      </c>
      <c r="V128" s="107">
        <f>IF(U128&gt;0,U128,T128)</f>
        <v>92.8</v>
      </c>
      <c r="W128" s="105">
        <v>1</v>
      </c>
      <c r="X128" s="107">
        <f>W128*SUM(T128:U128)</f>
        <v>92.8</v>
      </c>
      <c r="Y128" s="105"/>
      <c r="Z128" s="107">
        <f>IF(AF128&gt;AG128,0,IF(AH128&lt;AI128,R128,IF((AND((AH128&gt;=AI128),(AH128&lt;=AG128))),(R128-V128),IF((AND((AI128&lt;=AF128),(AG128&gt;=AF128))),0,IF(AH128&gt;AG128,((AI128-AF128)*12)*S128,0)))))</f>
        <v>1763.2</v>
      </c>
      <c r="AA128" s="107">
        <f>Z128*W128</f>
        <v>1763.2</v>
      </c>
      <c r="AB128" s="105">
        <v>1</v>
      </c>
      <c r="AC128" s="107">
        <f>AA128*AB128</f>
        <v>1763.2</v>
      </c>
      <c r="AD128" s="107">
        <f>IF(Q128&gt;0,0,AC128+X128*AB128)*AB128</f>
        <v>1856</v>
      </c>
      <c r="AE128" s="107">
        <f>IF(Q128&gt;0,(P128-AC128)/2,IF(AF128&gt;=AI128,(((P128*W128)*AB128)-AD128)/2,((((P128*W128)*AB128)-AC128)+(((P128*W128)*AB128)-AD128))/2))</f>
        <v>46.399999999999977</v>
      </c>
      <c r="AF128" s="107">
        <f>$D128+(($E128-1)/12)</f>
        <v>2011.75</v>
      </c>
      <c r="AG128" s="107">
        <f>($R$5+1)-($R$2/12)</f>
        <v>2017.5</v>
      </c>
      <c r="AH128" s="107">
        <f>$I128+(($E128-1)/12)</f>
        <v>2016.75</v>
      </c>
      <c r="AI128" s="108">
        <f>$R$4+($R$3/12)</f>
        <v>2016.5</v>
      </c>
      <c r="AJ128" s="108">
        <f>$J128+(($K128-1)/12)</f>
        <v>-8.3333333333333329E-2</v>
      </c>
      <c r="AK128" s="108">
        <f>$I128+(($E128-1)/12)</f>
        <v>2016.75</v>
      </c>
      <c r="AL128" s="108">
        <f>$R$4+($R$3/12)</f>
        <v>2016.5</v>
      </c>
      <c r="AM128" s="108">
        <f>$J128+(($K128-1)/12)</f>
        <v>-8.3333333333333329E-2</v>
      </c>
    </row>
    <row r="129" spans="1:39" x14ac:dyDescent="0.25">
      <c r="A129">
        <v>126</v>
      </c>
      <c r="B129" t="s">
        <v>532</v>
      </c>
      <c r="C129" t="s">
        <v>784</v>
      </c>
      <c r="D129" s="34">
        <v>2011</v>
      </c>
      <c r="E129" s="34">
        <v>10</v>
      </c>
      <c r="F129" s="75"/>
      <c r="G129" s="34" t="s">
        <v>433</v>
      </c>
      <c r="H129" s="34">
        <v>5</v>
      </c>
      <c r="I129">
        <f>+D129+H129</f>
        <v>2016</v>
      </c>
      <c r="L129" s="53" t="s">
        <v>788</v>
      </c>
      <c r="M129" s="53" t="s">
        <v>788</v>
      </c>
      <c r="N129" s="53" t="s">
        <v>788</v>
      </c>
      <c r="O129" s="53" t="s">
        <v>788</v>
      </c>
      <c r="P129" s="32">
        <v>395</v>
      </c>
      <c r="Q129" s="32"/>
      <c r="R129" s="32">
        <f>+P129-P129*F129</f>
        <v>395</v>
      </c>
      <c r="S129" s="107">
        <f>R129/H129/12</f>
        <v>6.583333333333333</v>
      </c>
      <c r="T129" s="107">
        <f>IF(Q129&gt;0,0,IF((OR((AF129&gt;AG129),(AH129&lt;AI129))),0,IF((AND((AH129&gt;=AI129),(AH129&lt;=AG129))),S129*((AH129-AI129)*12),IF((AND((AI129&lt;=AF129),(AG129&gt;=AF129))),((AG129-AF129)*12)*S129,IF(AH129&gt;AG129,12*S129,0)))))</f>
        <v>19.75</v>
      </c>
      <c r="U129" s="107">
        <f>IF(Q129=0,0,IF((AND((AJ129&gt;=AI129),(AJ129&lt;=AH129))),((AJ129-AI129)*12)*S129,0))</f>
        <v>0</v>
      </c>
      <c r="V129" s="107">
        <f>IF(U129&gt;0,U129,T129)</f>
        <v>19.75</v>
      </c>
      <c r="W129" s="105">
        <v>1</v>
      </c>
      <c r="X129" s="107">
        <f>W129*SUM(T129:U129)</f>
        <v>19.75</v>
      </c>
      <c r="Y129" s="105"/>
      <c r="Z129" s="107">
        <f>IF(AF129&gt;AG129,0,IF(AH129&lt;AI129,R129,IF((AND((AH129&gt;=AI129),(AH129&lt;=AG129))),(R129-V129),IF((AND((AI129&lt;=AF129),(AG129&gt;=AF129))),0,IF(AH129&gt;AG129,((AI129-AF129)*12)*S129,0)))))</f>
        <v>375.25</v>
      </c>
      <c r="AA129" s="107">
        <f>Z129*W129</f>
        <v>375.25</v>
      </c>
      <c r="AB129" s="105">
        <v>1</v>
      </c>
      <c r="AC129" s="107">
        <f>AA129*AB129</f>
        <v>375.25</v>
      </c>
      <c r="AD129" s="107">
        <f>IF(Q129&gt;0,0,AC129+X129*AB129)*AB129</f>
        <v>395</v>
      </c>
      <c r="AE129" s="107">
        <f>IF(Q129&gt;0,(P129-AC129)/2,IF(AF129&gt;=AI129,(((P129*W129)*AB129)-AD129)/2,((((P129*W129)*AB129)-AC129)+(((P129*W129)*AB129)-AD129))/2))</f>
        <v>9.875</v>
      </c>
      <c r="AF129" s="107">
        <f>$D129+(($E129-1)/12)</f>
        <v>2011.75</v>
      </c>
      <c r="AG129" s="107">
        <f>($R$5+1)-($R$2/12)</f>
        <v>2017.5</v>
      </c>
      <c r="AH129" s="107">
        <f>$I129+(($E129-1)/12)</f>
        <v>2016.75</v>
      </c>
      <c r="AI129" s="108">
        <f>$R$4+($R$3/12)</f>
        <v>2016.5</v>
      </c>
      <c r="AJ129" s="108">
        <f>$J129+(($K129-1)/12)</f>
        <v>-8.3333333333333329E-2</v>
      </c>
      <c r="AK129" s="108">
        <f>$I129+(($E129-1)/12)</f>
        <v>2016.75</v>
      </c>
      <c r="AL129" s="108">
        <f>$R$4+($R$3/12)</f>
        <v>2016.5</v>
      </c>
      <c r="AM129" s="108">
        <f>$J129+(($K129-1)/12)</f>
        <v>-8.3333333333333329E-2</v>
      </c>
    </row>
    <row r="130" spans="1:39" x14ac:dyDescent="0.25">
      <c r="A130">
        <v>127</v>
      </c>
      <c r="B130" t="s">
        <v>533</v>
      </c>
      <c r="C130" t="s">
        <v>784</v>
      </c>
      <c r="D130" s="34">
        <v>2011</v>
      </c>
      <c r="E130" s="34">
        <v>10</v>
      </c>
      <c r="F130" s="75"/>
      <c r="G130" s="34" t="s">
        <v>433</v>
      </c>
      <c r="H130" s="34">
        <v>5</v>
      </c>
      <c r="I130">
        <f>+D130+H130</f>
        <v>2016</v>
      </c>
      <c r="L130" s="53" t="s">
        <v>788</v>
      </c>
      <c r="M130" s="53" t="s">
        <v>788</v>
      </c>
      <c r="N130" s="53" t="s">
        <v>788</v>
      </c>
      <c r="O130" s="53" t="s">
        <v>788</v>
      </c>
      <c r="P130" s="32">
        <v>395</v>
      </c>
      <c r="Q130" s="32"/>
      <c r="R130" s="32">
        <f>+P130-P130*F130</f>
        <v>395</v>
      </c>
      <c r="S130" s="107">
        <f>R130/H130/12</f>
        <v>6.583333333333333</v>
      </c>
      <c r="T130" s="107">
        <f>IF(Q130&gt;0,0,IF((OR((AF130&gt;AG130),(AH130&lt;AI130))),0,IF((AND((AH130&gt;=AI130),(AH130&lt;=AG130))),S130*((AH130-AI130)*12),IF((AND((AI130&lt;=AF130),(AG130&gt;=AF130))),((AG130-AF130)*12)*S130,IF(AH130&gt;AG130,12*S130,0)))))</f>
        <v>19.75</v>
      </c>
      <c r="U130" s="107">
        <f>IF(Q130=0,0,IF((AND((AJ130&gt;=AI130),(AJ130&lt;=AH130))),((AJ130-AI130)*12)*S130,0))</f>
        <v>0</v>
      </c>
      <c r="V130" s="107">
        <f>IF(U130&gt;0,U130,T130)</f>
        <v>19.75</v>
      </c>
      <c r="W130" s="105">
        <v>1</v>
      </c>
      <c r="X130" s="107">
        <f>W130*SUM(T130:U130)</f>
        <v>19.75</v>
      </c>
      <c r="Y130" s="105"/>
      <c r="Z130" s="107">
        <f>IF(AF130&gt;AG130,0,IF(AH130&lt;AI130,R130,IF((AND((AH130&gt;=AI130),(AH130&lt;=AG130))),(R130-V130),IF((AND((AI130&lt;=AF130),(AG130&gt;=AF130))),0,IF(AH130&gt;AG130,((AI130-AF130)*12)*S130,0)))))</f>
        <v>375.25</v>
      </c>
      <c r="AA130" s="107">
        <f>Z130*W130</f>
        <v>375.25</v>
      </c>
      <c r="AB130" s="105">
        <v>1</v>
      </c>
      <c r="AC130" s="107">
        <f>AA130*AB130</f>
        <v>375.25</v>
      </c>
      <c r="AD130" s="107">
        <f>IF(Q130&gt;0,0,AC130+X130*AB130)*AB130</f>
        <v>395</v>
      </c>
      <c r="AE130" s="107">
        <f>IF(Q130&gt;0,(P130-AC130)/2,IF(AF130&gt;=AI130,(((P130*W130)*AB130)-AD130)/2,((((P130*W130)*AB130)-AC130)+(((P130*W130)*AB130)-AD130))/2))</f>
        <v>9.875</v>
      </c>
      <c r="AF130" s="107">
        <f>$D130+(($E130-1)/12)</f>
        <v>2011.75</v>
      </c>
      <c r="AG130" s="107">
        <f>($R$5+1)-($R$2/12)</f>
        <v>2017.5</v>
      </c>
      <c r="AH130" s="107">
        <f>$I130+(($E130-1)/12)</f>
        <v>2016.75</v>
      </c>
      <c r="AI130" s="108">
        <f>$R$4+($R$3/12)</f>
        <v>2016.5</v>
      </c>
      <c r="AJ130" s="108">
        <f>$J130+(($K130-1)/12)</f>
        <v>-8.3333333333333329E-2</v>
      </c>
      <c r="AK130" s="108">
        <f>$I130+(($E130-1)/12)</f>
        <v>2016.75</v>
      </c>
      <c r="AL130" s="108">
        <f>$R$4+($R$3/12)</f>
        <v>2016.5</v>
      </c>
      <c r="AM130" s="108">
        <f>$J130+(($K130-1)/12)</f>
        <v>-8.3333333333333329E-2</v>
      </c>
    </row>
    <row r="131" spans="1:39" x14ac:dyDescent="0.25">
      <c r="A131">
        <v>128</v>
      </c>
      <c r="B131" t="s">
        <v>534</v>
      </c>
      <c r="C131" t="s">
        <v>784</v>
      </c>
      <c r="D131" s="34">
        <v>2011</v>
      </c>
      <c r="E131" s="34">
        <v>1</v>
      </c>
      <c r="F131" s="75"/>
      <c r="G131" s="34" t="s">
        <v>433</v>
      </c>
      <c r="H131" s="34">
        <v>7</v>
      </c>
      <c r="I131">
        <f>+D131+H131</f>
        <v>2018</v>
      </c>
      <c r="L131" s="53" t="s">
        <v>788</v>
      </c>
      <c r="M131" s="53" t="s">
        <v>788</v>
      </c>
      <c r="N131" s="53" t="s">
        <v>788</v>
      </c>
      <c r="O131" s="53" t="s">
        <v>788</v>
      </c>
      <c r="P131" s="32">
        <v>2070</v>
      </c>
      <c r="Q131" s="32"/>
      <c r="R131" s="32">
        <f>+P131-P131*F131</f>
        <v>2070</v>
      </c>
      <c r="S131" s="107">
        <f>R131/H131/12</f>
        <v>24.642857142857142</v>
      </c>
      <c r="T131" s="107">
        <f>IF(Q131&gt;0,0,IF((OR((AF131&gt;AG131),(AH131&lt;AI131))),0,IF((AND((AH131&gt;=AI131),(AH131&lt;=AG131))),S131*((AH131-AI131)*12),IF((AND((AI131&lt;=AF131),(AG131&gt;=AF131))),((AG131-AF131)*12)*S131,IF(AH131&gt;AG131,12*S131,0)))))</f>
        <v>295.71428571428572</v>
      </c>
      <c r="U131" s="107">
        <f>IF(Q131=0,0,IF((AND((AJ131&gt;=AI131),(AJ131&lt;=AH131))),((AJ131-AI131)*12)*S131,0))</f>
        <v>0</v>
      </c>
      <c r="V131" s="107">
        <f>IF(U131&gt;0,U131,T131)</f>
        <v>295.71428571428572</v>
      </c>
      <c r="W131" s="105">
        <v>1</v>
      </c>
      <c r="X131" s="107">
        <f>W131*SUM(T131:U131)</f>
        <v>295.71428571428572</v>
      </c>
      <c r="Y131" s="105"/>
      <c r="Z131" s="107">
        <f>IF(AF131&gt;AG131,0,IF(AH131&lt;AI131,R131,IF((AND((AH131&gt;=AI131),(AH131&lt;=AG131))),(R131-V131),IF((AND((AI131&lt;=AF131),(AG131&gt;=AF131))),0,IF(AH131&gt;AG131,((AI131-AF131)*12)*S131,0)))))</f>
        <v>1626.4285714285713</v>
      </c>
      <c r="AA131" s="107">
        <f>Z131*W131</f>
        <v>1626.4285714285713</v>
      </c>
      <c r="AB131" s="105">
        <v>1</v>
      </c>
      <c r="AC131" s="107">
        <f>AA131*AB131</f>
        <v>1626.4285714285713</v>
      </c>
      <c r="AD131" s="107">
        <f>IF(Q131&gt;0,0,AC131+X131*AB131)*AB131</f>
        <v>1922.1428571428571</v>
      </c>
      <c r="AE131" s="107">
        <f>IF(Q131&gt;0,(P131-AC131)/2,IF(AF131&gt;=AI131,(((P131*W131)*AB131)-AD131)/2,((((P131*W131)*AB131)-AC131)+(((P131*W131)*AB131)-AD131))/2))</f>
        <v>295.71428571428578</v>
      </c>
      <c r="AF131" s="107">
        <f>$D131+(($E131-1)/12)</f>
        <v>2011</v>
      </c>
      <c r="AG131" s="107">
        <f>($R$5+1)-($R$2/12)</f>
        <v>2017.5</v>
      </c>
      <c r="AH131" s="107">
        <f>$I131+(($E131-1)/12)</f>
        <v>2018</v>
      </c>
      <c r="AI131" s="108">
        <f>$R$4+($R$3/12)</f>
        <v>2016.5</v>
      </c>
      <c r="AJ131" s="108">
        <f>$J131+(($K131-1)/12)</f>
        <v>-8.3333333333333329E-2</v>
      </c>
      <c r="AK131" s="108">
        <f>$I131+(($E131-1)/12)</f>
        <v>2018</v>
      </c>
      <c r="AL131" s="108">
        <f>$R$4+($R$3/12)</f>
        <v>2016.5</v>
      </c>
      <c r="AM131" s="108">
        <f>$J131+(($K131-1)/12)</f>
        <v>-8.3333333333333329E-2</v>
      </c>
    </row>
    <row r="132" spans="1:39" x14ac:dyDescent="0.25">
      <c r="A132">
        <v>129</v>
      </c>
      <c r="B132" t="s">
        <v>535</v>
      </c>
      <c r="C132" t="s">
        <v>784</v>
      </c>
      <c r="D132" s="34">
        <v>2011</v>
      </c>
      <c r="E132" s="34">
        <v>1</v>
      </c>
      <c r="F132" s="75"/>
      <c r="G132" s="34" t="s">
        <v>433</v>
      </c>
      <c r="H132" s="34">
        <v>5</v>
      </c>
      <c r="I132">
        <f>+D132+H132</f>
        <v>2016</v>
      </c>
      <c r="L132" s="53" t="s">
        <v>788</v>
      </c>
      <c r="M132" s="53" t="s">
        <v>788</v>
      </c>
      <c r="N132" s="53" t="s">
        <v>788</v>
      </c>
      <c r="O132" s="53" t="s">
        <v>788</v>
      </c>
      <c r="P132" s="32">
        <v>283</v>
      </c>
      <c r="Q132" s="32"/>
      <c r="R132" s="32">
        <f>+P132-P132*F132</f>
        <v>283</v>
      </c>
      <c r="S132" s="107">
        <f>R132/H132/12</f>
        <v>4.7166666666666668</v>
      </c>
      <c r="T132" s="107">
        <f>IF(Q132&gt;0,0,IF((OR((AF132&gt;AG132),(AH132&lt;AI132))),0,IF((AND((AH132&gt;=AI132),(AH132&lt;=AG132))),S132*((AH132-AI132)*12),IF((AND((AI132&lt;=AF132),(AG132&gt;=AF132))),((AG132-AF132)*12)*S132,IF(AH132&gt;AG132,12*S132,0)))))</f>
        <v>0</v>
      </c>
      <c r="U132" s="107">
        <f>IF(Q132=0,0,IF((AND((AJ132&gt;=AI132),(AJ132&lt;=AH132))),((AJ132-AI132)*12)*S132,0))</f>
        <v>0</v>
      </c>
      <c r="V132" s="107">
        <f>IF(U132&gt;0,U132,T132)</f>
        <v>0</v>
      </c>
      <c r="W132" s="105">
        <v>1</v>
      </c>
      <c r="X132" s="107">
        <f>W132*SUM(T132:U132)</f>
        <v>0</v>
      </c>
      <c r="Y132" s="105"/>
      <c r="Z132" s="107">
        <f>IF(AF132&gt;AG132,0,IF(AH132&lt;AI132,R132,IF((AND((AH132&gt;=AI132),(AH132&lt;=AG132))),(R132-V132),IF((AND((AI132&lt;=AF132),(AG132&gt;=AF132))),0,IF(AH132&gt;AG132,((AI132-AF132)*12)*S132,0)))))</f>
        <v>283</v>
      </c>
      <c r="AA132" s="107">
        <f>Z132*W132</f>
        <v>283</v>
      </c>
      <c r="AB132" s="105">
        <v>1</v>
      </c>
      <c r="AC132" s="107">
        <f>AA132*AB132</f>
        <v>283</v>
      </c>
      <c r="AD132" s="107">
        <f>IF(Q132&gt;0,0,AC132+X132*AB132)*AB132</f>
        <v>283</v>
      </c>
      <c r="AE132" s="107">
        <f>IF(Q132&gt;0,(P132-AC132)/2,IF(AF132&gt;=AI132,(((P132*W132)*AB132)-AD132)/2,((((P132*W132)*AB132)-AC132)+(((P132*W132)*AB132)-AD132))/2))</f>
        <v>0</v>
      </c>
      <c r="AF132" s="107">
        <f>$D132+(($E132-1)/12)</f>
        <v>2011</v>
      </c>
      <c r="AG132" s="107">
        <f>($R$5+1)-($R$2/12)</f>
        <v>2017.5</v>
      </c>
      <c r="AH132" s="107">
        <f>$I132+(($E132-1)/12)</f>
        <v>2016</v>
      </c>
      <c r="AI132" s="108">
        <f>$R$4+($R$3/12)</f>
        <v>2016.5</v>
      </c>
      <c r="AJ132" s="108">
        <f>$J132+(($K132-1)/12)</f>
        <v>-8.3333333333333329E-2</v>
      </c>
      <c r="AK132" s="108">
        <f>$I132+(($E132-1)/12)</f>
        <v>2016</v>
      </c>
      <c r="AL132" s="108">
        <f>$R$4+($R$3/12)</f>
        <v>2016.5</v>
      </c>
      <c r="AM132" s="108">
        <f>$J132+(($K132-1)/12)</f>
        <v>-8.3333333333333329E-2</v>
      </c>
    </row>
    <row r="133" spans="1:39" x14ac:dyDescent="0.25">
      <c r="A133">
        <v>130</v>
      </c>
      <c r="B133" t="s">
        <v>536</v>
      </c>
      <c r="C133" t="s">
        <v>784</v>
      </c>
      <c r="D133" s="34">
        <v>2011</v>
      </c>
      <c r="E133" s="34">
        <v>1</v>
      </c>
      <c r="F133" s="75"/>
      <c r="G133" s="34" t="s">
        <v>433</v>
      </c>
      <c r="H133" s="34">
        <v>5</v>
      </c>
      <c r="I133">
        <f>+D133+H133</f>
        <v>2016</v>
      </c>
      <c r="L133" s="53" t="s">
        <v>788</v>
      </c>
      <c r="M133" s="53" t="s">
        <v>788</v>
      </c>
      <c r="N133" s="53" t="s">
        <v>788</v>
      </c>
      <c r="O133" s="53" t="s">
        <v>788</v>
      </c>
      <c r="P133" s="32">
        <v>8575</v>
      </c>
      <c r="Q133" s="32"/>
      <c r="R133" s="32">
        <f>+P133-P133*F133</f>
        <v>8575</v>
      </c>
      <c r="S133" s="107">
        <f>R133/H133/12</f>
        <v>142.91666666666666</v>
      </c>
      <c r="T133" s="107">
        <f>IF(Q133&gt;0,0,IF((OR((AF133&gt;AG133),(AH133&lt;AI133))),0,IF((AND((AH133&gt;=AI133),(AH133&lt;=AG133))),S133*((AH133-AI133)*12),IF((AND((AI133&lt;=AF133),(AG133&gt;=AF133))),((AG133-AF133)*12)*S133,IF(AH133&gt;AG133,12*S133,0)))))</f>
        <v>0</v>
      </c>
      <c r="U133" s="107">
        <f>IF(Q133=0,0,IF((AND((AJ133&gt;=AI133),(AJ133&lt;=AH133))),((AJ133-AI133)*12)*S133,0))</f>
        <v>0</v>
      </c>
      <c r="V133" s="107">
        <f>IF(U133&gt;0,U133,T133)</f>
        <v>0</v>
      </c>
      <c r="W133" s="105">
        <v>1</v>
      </c>
      <c r="X133" s="107">
        <f>W133*SUM(T133:U133)</f>
        <v>0</v>
      </c>
      <c r="Y133" s="105"/>
      <c r="Z133" s="107">
        <f>IF(AF133&gt;AG133,0,IF(AH133&lt;AI133,R133,IF((AND((AH133&gt;=AI133),(AH133&lt;=AG133))),(R133-V133),IF((AND((AI133&lt;=AF133),(AG133&gt;=AF133))),0,IF(AH133&gt;AG133,((AI133-AF133)*12)*S133,0)))))</f>
        <v>8575</v>
      </c>
      <c r="AA133" s="107">
        <f>Z133*W133</f>
        <v>8575</v>
      </c>
      <c r="AB133" s="105">
        <v>1</v>
      </c>
      <c r="AC133" s="107">
        <f>AA133*AB133</f>
        <v>8575</v>
      </c>
      <c r="AD133" s="107">
        <f>IF(Q133&gt;0,0,AC133+X133*AB133)*AB133</f>
        <v>8575</v>
      </c>
      <c r="AE133" s="107">
        <f>IF(Q133&gt;0,(P133-AC133)/2,IF(AF133&gt;=AI133,(((P133*W133)*AB133)-AD133)/2,((((P133*W133)*AB133)-AC133)+(((P133*W133)*AB133)-AD133))/2))</f>
        <v>0</v>
      </c>
      <c r="AF133" s="107">
        <f>$D133+(($E133-1)/12)</f>
        <v>2011</v>
      </c>
      <c r="AG133" s="107">
        <f>($R$5+1)-($R$2/12)</f>
        <v>2017.5</v>
      </c>
      <c r="AH133" s="107">
        <f>$I133+(($E133-1)/12)</f>
        <v>2016</v>
      </c>
      <c r="AI133" s="108">
        <f>$R$4+($R$3/12)</f>
        <v>2016.5</v>
      </c>
      <c r="AJ133" s="108">
        <f>$J133+(($K133-1)/12)</f>
        <v>-8.3333333333333329E-2</v>
      </c>
      <c r="AK133" s="108">
        <f>$I133+(($E133-1)/12)</f>
        <v>2016</v>
      </c>
      <c r="AL133" s="108">
        <f>$R$4+($R$3/12)</f>
        <v>2016.5</v>
      </c>
      <c r="AM133" s="108">
        <f>$J133+(($K133-1)/12)</f>
        <v>-8.3333333333333329E-2</v>
      </c>
    </row>
    <row r="134" spans="1:39" x14ac:dyDescent="0.25">
      <c r="A134">
        <v>134</v>
      </c>
      <c r="B134" t="s">
        <v>539</v>
      </c>
      <c r="C134" t="s">
        <v>784</v>
      </c>
      <c r="D134" s="34">
        <v>2011</v>
      </c>
      <c r="E134" s="34">
        <v>3</v>
      </c>
      <c r="F134" s="75"/>
      <c r="G134" s="34" t="s">
        <v>433</v>
      </c>
      <c r="H134" s="34">
        <v>5</v>
      </c>
      <c r="I134">
        <f>+D134+H134</f>
        <v>2016</v>
      </c>
      <c r="L134" s="53" t="s">
        <v>788</v>
      </c>
      <c r="M134" s="53" t="s">
        <v>788</v>
      </c>
      <c r="N134" s="53" t="s">
        <v>788</v>
      </c>
      <c r="O134" s="53" t="s">
        <v>788</v>
      </c>
      <c r="P134" s="32">
        <v>540</v>
      </c>
      <c r="Q134" s="32"/>
      <c r="R134" s="32">
        <f>+P134-P134*F134</f>
        <v>540</v>
      </c>
      <c r="S134" s="107">
        <f>R134/H134/12</f>
        <v>9</v>
      </c>
      <c r="T134" s="107">
        <f>IF(Q134&gt;0,0,IF((OR((AF134&gt;AG134),(AH134&lt;AI134))),0,IF((AND((AH134&gt;=AI134),(AH134&lt;=AG134))),S134*((AH134-AI134)*12),IF((AND((AI134&lt;=AF134),(AG134&gt;=AF134))),((AG134-AF134)*12)*S134,IF(AH134&gt;AG134,12*S134,0)))))</f>
        <v>0</v>
      </c>
      <c r="U134" s="107">
        <f>IF(Q134=0,0,IF((AND((AJ134&gt;=AI134),(AJ134&lt;=AH134))),((AJ134-AI134)*12)*S134,0))</f>
        <v>0</v>
      </c>
      <c r="V134" s="107">
        <f>IF(U134&gt;0,U134,T134)</f>
        <v>0</v>
      </c>
      <c r="W134" s="105">
        <v>1</v>
      </c>
      <c r="X134" s="107">
        <f>W134*SUM(T134:U134)</f>
        <v>0</v>
      </c>
      <c r="Y134" s="105"/>
      <c r="Z134" s="107">
        <f>IF(AF134&gt;AG134,0,IF(AH134&lt;AI134,R134,IF((AND((AH134&gt;=AI134),(AH134&lt;=AG134))),(R134-V134),IF((AND((AI134&lt;=AF134),(AG134&gt;=AF134))),0,IF(AH134&gt;AG134,((AI134-AF134)*12)*S134,0)))))</f>
        <v>540</v>
      </c>
      <c r="AA134" s="107">
        <f>Z134*W134</f>
        <v>540</v>
      </c>
      <c r="AB134" s="105">
        <v>1</v>
      </c>
      <c r="AC134" s="107">
        <f>AA134*AB134</f>
        <v>540</v>
      </c>
      <c r="AD134" s="107">
        <f>IF(Q134&gt;0,0,AC134+X134*AB134)*AB134</f>
        <v>540</v>
      </c>
      <c r="AE134" s="107">
        <f>IF(Q134&gt;0,(P134-AC134)/2,IF(AF134&gt;=AI134,(((P134*W134)*AB134)-AD134)/2,((((P134*W134)*AB134)-AC134)+(((P134*W134)*AB134)-AD134))/2))</f>
        <v>0</v>
      </c>
      <c r="AF134" s="107">
        <f>$D134+(($E134-1)/12)</f>
        <v>2011.1666666666667</v>
      </c>
      <c r="AG134" s="107">
        <f>($R$5+1)-($R$2/12)</f>
        <v>2017.5</v>
      </c>
      <c r="AH134" s="107">
        <f>$I134+(($E134-1)/12)</f>
        <v>2016.1666666666667</v>
      </c>
      <c r="AI134" s="108">
        <f>$R$4+($R$3/12)</f>
        <v>2016.5</v>
      </c>
      <c r="AJ134" s="108">
        <f>$J134+(($K134-1)/12)</f>
        <v>-8.3333333333333329E-2</v>
      </c>
      <c r="AK134" s="108">
        <f>$I134+(($E134-1)/12)</f>
        <v>2016.1666666666667</v>
      </c>
      <c r="AL134" s="108">
        <f>$R$4+($R$3/12)</f>
        <v>2016.5</v>
      </c>
      <c r="AM134" s="108">
        <f>$J134+(($K134-1)/12)</f>
        <v>-8.3333333333333329E-2</v>
      </c>
    </row>
    <row r="135" spans="1:39" x14ac:dyDescent="0.25">
      <c r="A135">
        <v>142</v>
      </c>
      <c r="B135" t="s">
        <v>541</v>
      </c>
      <c r="C135" t="s">
        <v>784</v>
      </c>
      <c r="D135" s="34">
        <v>2011</v>
      </c>
      <c r="E135" s="34">
        <v>1</v>
      </c>
      <c r="F135" s="75"/>
      <c r="G135" s="34" t="s">
        <v>433</v>
      </c>
      <c r="H135" s="34">
        <v>5</v>
      </c>
      <c r="I135">
        <f>+D135+H135</f>
        <v>2016</v>
      </c>
      <c r="L135" s="53" t="s">
        <v>788</v>
      </c>
      <c r="M135" s="53" t="s">
        <v>788</v>
      </c>
      <c r="N135" s="53" t="s">
        <v>788</v>
      </c>
      <c r="O135" s="53" t="s">
        <v>788</v>
      </c>
      <c r="P135" s="32">
        <v>6992</v>
      </c>
      <c r="Q135" s="32"/>
      <c r="R135" s="32">
        <f>+P135-P135*F135</f>
        <v>6992</v>
      </c>
      <c r="S135" s="107">
        <f>R135/H135/12</f>
        <v>116.53333333333335</v>
      </c>
      <c r="T135" s="107">
        <f>IF(Q135&gt;0,0,IF((OR((AF135&gt;AG135),(AH135&lt;AI135))),0,IF((AND((AH135&gt;=AI135),(AH135&lt;=AG135))),S135*((AH135-AI135)*12),IF((AND((AI135&lt;=AF135),(AG135&gt;=AF135))),((AG135-AF135)*12)*S135,IF(AH135&gt;AG135,12*S135,0)))))</f>
        <v>0</v>
      </c>
      <c r="U135" s="107">
        <f>IF(Q135=0,0,IF((AND((AJ135&gt;=AI135),(AJ135&lt;=AH135))),((AJ135-AI135)*12)*S135,0))</f>
        <v>0</v>
      </c>
      <c r="V135" s="107">
        <f>IF(U135&gt;0,U135,T135)</f>
        <v>0</v>
      </c>
      <c r="W135" s="105">
        <v>1</v>
      </c>
      <c r="X135" s="107">
        <f>W135*SUM(T135:U135)</f>
        <v>0</v>
      </c>
      <c r="Y135" s="105"/>
      <c r="Z135" s="107">
        <f>IF(AF135&gt;AG135,0,IF(AH135&lt;AI135,R135,IF((AND((AH135&gt;=AI135),(AH135&lt;=AG135))),(R135-V135),IF((AND((AI135&lt;=AF135),(AG135&gt;=AF135))),0,IF(AH135&gt;AG135,((AI135-AF135)*12)*S135,0)))))</f>
        <v>6992</v>
      </c>
      <c r="AA135" s="107">
        <f>Z135*W135</f>
        <v>6992</v>
      </c>
      <c r="AB135" s="105">
        <v>1</v>
      </c>
      <c r="AC135" s="107">
        <f>AA135*AB135</f>
        <v>6992</v>
      </c>
      <c r="AD135" s="107">
        <f>IF(Q135&gt;0,0,AC135+X135*AB135)*AB135</f>
        <v>6992</v>
      </c>
      <c r="AE135" s="107">
        <f>IF(Q135&gt;0,(P135-AC135)/2,IF(AF135&gt;=AI135,(((P135*W135)*AB135)-AD135)/2,((((P135*W135)*AB135)-AC135)+(((P135*W135)*AB135)-AD135))/2))</f>
        <v>0</v>
      </c>
      <c r="AF135" s="107">
        <f>$D135+(($E135-1)/12)</f>
        <v>2011</v>
      </c>
      <c r="AG135" s="107">
        <f>($R$5+1)-($R$2/12)</f>
        <v>2017.5</v>
      </c>
      <c r="AH135" s="107">
        <f>$I135+(($E135-1)/12)</f>
        <v>2016</v>
      </c>
      <c r="AI135" s="108">
        <f>$R$4+($R$3/12)</f>
        <v>2016.5</v>
      </c>
      <c r="AJ135" s="108">
        <f>$J135+(($K135-1)/12)</f>
        <v>-8.3333333333333329E-2</v>
      </c>
      <c r="AK135" s="108">
        <f>$I135+(($E135-1)/12)</f>
        <v>2016</v>
      </c>
      <c r="AL135" s="108">
        <f>$R$4+($R$3/12)</f>
        <v>2016.5</v>
      </c>
      <c r="AM135" s="108">
        <f>$J135+(($K135-1)/12)</f>
        <v>-8.3333333333333329E-2</v>
      </c>
    </row>
    <row r="136" spans="1:39" x14ac:dyDescent="0.25">
      <c r="A136">
        <v>146</v>
      </c>
      <c r="B136" t="s">
        <v>543</v>
      </c>
      <c r="C136" t="s">
        <v>784</v>
      </c>
      <c r="D136" s="34">
        <v>2012</v>
      </c>
      <c r="E136" s="34">
        <v>10</v>
      </c>
      <c r="F136" s="75"/>
      <c r="G136" s="34" t="s">
        <v>433</v>
      </c>
      <c r="H136" s="34">
        <v>5</v>
      </c>
      <c r="I136">
        <f>+D136+H136</f>
        <v>2017</v>
      </c>
      <c r="L136" s="53" t="s">
        <v>788</v>
      </c>
      <c r="M136" s="53" t="s">
        <v>788</v>
      </c>
      <c r="N136" s="53" t="s">
        <v>788</v>
      </c>
      <c r="O136" s="53" t="s">
        <v>788</v>
      </c>
      <c r="P136" s="32">
        <v>22230</v>
      </c>
      <c r="Q136" s="32"/>
      <c r="R136" s="32">
        <f>+P136-P136*F136</f>
        <v>22230</v>
      </c>
      <c r="S136" s="107">
        <f>R136/H136/12</f>
        <v>370.5</v>
      </c>
      <c r="T136" s="107">
        <f>IF(Q136&gt;0,0,IF((OR((AF136&gt;AG136),(AH136&lt;AI136))),0,IF((AND((AH136&gt;=AI136),(AH136&lt;=AG136))),S136*((AH136-AI136)*12),IF((AND((AI136&lt;=AF136),(AG136&gt;=AF136))),((AG136-AF136)*12)*S136,IF(AH136&gt;AG136,12*S136,0)))))</f>
        <v>4446</v>
      </c>
      <c r="U136" s="107">
        <f>IF(Q136=0,0,IF((AND((AJ136&gt;=AI136),(AJ136&lt;=AH136))),((AJ136-AI136)*12)*S136,0))</f>
        <v>0</v>
      </c>
      <c r="V136" s="107">
        <f>IF(U136&gt;0,U136,T136)</f>
        <v>4446</v>
      </c>
      <c r="W136" s="105">
        <v>1</v>
      </c>
      <c r="X136" s="107">
        <f>W136*SUM(T136:U136)</f>
        <v>4446</v>
      </c>
      <c r="Y136" s="105"/>
      <c r="Z136" s="107">
        <f>IF(AF136&gt;AG136,0,IF(AH136&lt;AI136,R136,IF((AND((AH136&gt;=AI136),(AH136&lt;=AG136))),(R136-V136),IF((AND((AI136&lt;=AF136),(AG136&gt;=AF136))),0,IF(AH136&gt;AG136,((AI136-AF136)*12)*S136,0)))))</f>
        <v>16672.5</v>
      </c>
      <c r="AA136" s="107">
        <f>Z136*W136</f>
        <v>16672.5</v>
      </c>
      <c r="AB136" s="105">
        <v>1</v>
      </c>
      <c r="AC136" s="107">
        <f>AA136*AB136</f>
        <v>16672.5</v>
      </c>
      <c r="AD136" s="107">
        <f>IF(Q136&gt;0,0,AC136+X136*AB136)*AB136</f>
        <v>21118.5</v>
      </c>
      <c r="AE136" s="107">
        <f>IF(Q136&gt;0,(P136-AC136)/2,IF(AF136&gt;=AI136,(((P136*W136)*AB136)-AD136)/2,((((P136*W136)*AB136)-AC136)+(((P136*W136)*AB136)-AD136))/2))</f>
        <v>3334.5</v>
      </c>
      <c r="AF136" s="107">
        <f>$D136+(($E136-1)/12)</f>
        <v>2012.75</v>
      </c>
      <c r="AG136" s="107">
        <f>($R$5+1)-($R$2/12)</f>
        <v>2017.5</v>
      </c>
      <c r="AH136" s="107">
        <f>$I136+(($E136-1)/12)</f>
        <v>2017.75</v>
      </c>
      <c r="AI136" s="108">
        <f>$R$4+($R$3/12)</f>
        <v>2016.5</v>
      </c>
      <c r="AJ136" s="108">
        <f>$J136+(($K136-1)/12)</f>
        <v>-8.3333333333333329E-2</v>
      </c>
      <c r="AK136" s="108">
        <f>$I136+(($E136-1)/12)</f>
        <v>2017.75</v>
      </c>
      <c r="AL136" s="108">
        <f>$R$4+($R$3/12)</f>
        <v>2016.5</v>
      </c>
      <c r="AM136" s="108">
        <f>$J136+(($K136-1)/12)</f>
        <v>-8.3333333333333329E-2</v>
      </c>
    </row>
    <row r="137" spans="1:39" x14ac:dyDescent="0.25">
      <c r="A137">
        <v>147</v>
      </c>
      <c r="B137" t="s">
        <v>544</v>
      </c>
      <c r="C137" t="s">
        <v>784</v>
      </c>
      <c r="D137" s="34">
        <v>2012</v>
      </c>
      <c r="E137" s="34">
        <v>1</v>
      </c>
      <c r="F137" s="75"/>
      <c r="G137" s="34" t="s">
        <v>433</v>
      </c>
      <c r="H137" s="34">
        <v>5</v>
      </c>
      <c r="I137">
        <f>+D137+H137</f>
        <v>2017</v>
      </c>
      <c r="L137" s="53" t="s">
        <v>788</v>
      </c>
      <c r="M137" s="53" t="s">
        <v>788</v>
      </c>
      <c r="N137" s="53" t="s">
        <v>788</v>
      </c>
      <c r="O137" s="53" t="s">
        <v>788</v>
      </c>
      <c r="P137" s="32">
        <v>601</v>
      </c>
      <c r="Q137" s="32"/>
      <c r="R137" s="32">
        <f>+P137-P137*F137</f>
        <v>601</v>
      </c>
      <c r="S137" s="107">
        <f>R137/H137/12</f>
        <v>10.016666666666667</v>
      </c>
      <c r="T137" s="107">
        <f>IF(Q137&gt;0,0,IF((OR((AF137&gt;AG137),(AH137&lt;AI137))),0,IF((AND((AH137&gt;=AI137),(AH137&lt;=AG137))),S137*((AH137-AI137)*12),IF((AND((AI137&lt;=AF137),(AG137&gt;=AF137))),((AG137-AF137)*12)*S137,IF(AH137&gt;AG137,12*S137,0)))))</f>
        <v>60.100000000000009</v>
      </c>
      <c r="U137" s="107">
        <f>IF(Q137=0,0,IF((AND((AJ137&gt;=AI137),(AJ137&lt;=AH137))),((AJ137-AI137)*12)*S137,0))</f>
        <v>0</v>
      </c>
      <c r="V137" s="107">
        <f>IF(U137&gt;0,U137,T137)</f>
        <v>60.100000000000009</v>
      </c>
      <c r="W137" s="105">
        <v>1</v>
      </c>
      <c r="X137" s="107">
        <f>W137*SUM(T137:U137)</f>
        <v>60.100000000000009</v>
      </c>
      <c r="Y137" s="105"/>
      <c r="Z137" s="107">
        <f>IF(AF137&gt;AG137,0,IF(AH137&lt;AI137,R137,IF((AND((AH137&gt;=AI137),(AH137&lt;=AG137))),(R137-V137),IF((AND((AI137&lt;=AF137),(AG137&gt;=AF137))),0,IF(AH137&gt;AG137,((AI137-AF137)*12)*S137,0)))))</f>
        <v>540.9</v>
      </c>
      <c r="AA137" s="107">
        <f>Z137*W137</f>
        <v>540.9</v>
      </c>
      <c r="AB137" s="105">
        <v>1</v>
      </c>
      <c r="AC137" s="107">
        <f>AA137*AB137</f>
        <v>540.9</v>
      </c>
      <c r="AD137" s="107">
        <f>IF(Q137&gt;0,0,AC137+X137*AB137)*AB137</f>
        <v>601</v>
      </c>
      <c r="AE137" s="107">
        <f>IF(Q137&gt;0,(P137-AC137)/2,IF(AF137&gt;=AI137,(((P137*W137)*AB137)-AD137)/2,((((P137*W137)*AB137)-AC137)+(((P137*W137)*AB137)-AD137))/2))</f>
        <v>30.050000000000011</v>
      </c>
      <c r="AF137" s="107">
        <f>$D137+(($E137-1)/12)</f>
        <v>2012</v>
      </c>
      <c r="AG137" s="107">
        <f>($R$5+1)-($R$2/12)</f>
        <v>2017.5</v>
      </c>
      <c r="AH137" s="107">
        <f>$I137+(($E137-1)/12)</f>
        <v>2017</v>
      </c>
      <c r="AI137" s="108">
        <f>$R$4+($R$3/12)</f>
        <v>2016.5</v>
      </c>
      <c r="AJ137" s="108">
        <f>$J137+(($K137-1)/12)</f>
        <v>-8.3333333333333329E-2</v>
      </c>
      <c r="AK137" s="108">
        <f>$I137+(($E137-1)/12)</f>
        <v>2017</v>
      </c>
      <c r="AL137" s="108">
        <f>$R$4+($R$3/12)</f>
        <v>2016.5</v>
      </c>
      <c r="AM137" s="108">
        <f>$J137+(($K137-1)/12)</f>
        <v>-8.3333333333333329E-2</v>
      </c>
    </row>
    <row r="138" spans="1:39" x14ac:dyDescent="0.25">
      <c r="A138">
        <v>148</v>
      </c>
      <c r="B138" t="s">
        <v>545</v>
      </c>
      <c r="C138" t="s">
        <v>784</v>
      </c>
      <c r="D138" s="34">
        <v>2012</v>
      </c>
      <c r="E138" s="34">
        <v>2</v>
      </c>
      <c r="F138" s="75"/>
      <c r="G138" s="34" t="s">
        <v>433</v>
      </c>
      <c r="H138" s="34">
        <v>5</v>
      </c>
      <c r="I138">
        <f>+D138+H138</f>
        <v>2017</v>
      </c>
      <c r="L138" s="53" t="s">
        <v>788</v>
      </c>
      <c r="M138" s="53" t="s">
        <v>788</v>
      </c>
      <c r="N138" s="53" t="s">
        <v>788</v>
      </c>
      <c r="O138" s="53" t="s">
        <v>788</v>
      </c>
      <c r="P138" s="32">
        <v>14426</v>
      </c>
      <c r="Q138" s="32"/>
      <c r="R138" s="32">
        <f>+P138-P138*F138</f>
        <v>14426</v>
      </c>
      <c r="S138" s="107">
        <f>R138/H138/12</f>
        <v>240.43333333333331</v>
      </c>
      <c r="T138" s="107">
        <f>IF(Q138&gt;0,0,IF((OR((AF138&gt;AG138),(AH138&lt;AI138))),0,IF((AND((AH138&gt;=AI138),(AH138&lt;=AG138))),S138*((AH138-AI138)*12),IF((AND((AI138&lt;=AF138),(AG138&gt;=AF138))),((AG138-AF138)*12)*S138,IF(AH138&gt;AG138,12*S138,0)))))</f>
        <v>1683.0333333331146</v>
      </c>
      <c r="U138" s="107">
        <f>IF(Q138=0,0,IF((AND((AJ138&gt;=AI138),(AJ138&lt;=AH138))),((AJ138-AI138)*12)*S138,0))</f>
        <v>0</v>
      </c>
      <c r="V138" s="107">
        <f>IF(U138&gt;0,U138,T138)</f>
        <v>1683.0333333331146</v>
      </c>
      <c r="W138" s="105">
        <v>1</v>
      </c>
      <c r="X138" s="107">
        <f>W138*SUM(T138:U138)</f>
        <v>1683.0333333331146</v>
      </c>
      <c r="Y138" s="105"/>
      <c r="Z138" s="107">
        <f>IF(AF138&gt;AG138,0,IF(AH138&lt;AI138,R138,IF((AND((AH138&gt;=AI138),(AH138&lt;=AG138))),(R138-V138),IF((AND((AI138&lt;=AF138),(AG138&gt;=AF138))),0,IF(AH138&gt;AG138,((AI138-AF138)*12)*S138,0)))))</f>
        <v>12742.966666666885</v>
      </c>
      <c r="AA138" s="107">
        <f>Z138*W138</f>
        <v>12742.966666666885</v>
      </c>
      <c r="AB138" s="105">
        <v>1</v>
      </c>
      <c r="AC138" s="107">
        <f>AA138*AB138</f>
        <v>12742.966666666885</v>
      </c>
      <c r="AD138" s="107">
        <f>IF(Q138&gt;0,0,AC138+X138*AB138)*AB138</f>
        <v>14426</v>
      </c>
      <c r="AE138" s="107">
        <f>IF(Q138&gt;0,(P138-AC138)/2,IF(AF138&gt;=AI138,(((P138*W138)*AB138)-AD138)/2,((((P138*W138)*AB138)-AC138)+(((P138*W138)*AB138)-AD138))/2))</f>
        <v>841.51666666655728</v>
      </c>
      <c r="AF138" s="107">
        <f>$D138+(($E138-1)/12)</f>
        <v>2012.0833333333333</v>
      </c>
      <c r="AG138" s="107">
        <f>($R$5+1)-($R$2/12)</f>
        <v>2017.5</v>
      </c>
      <c r="AH138" s="107">
        <f>$I138+(($E138-1)/12)</f>
        <v>2017.0833333333333</v>
      </c>
      <c r="AI138" s="108">
        <f>$R$4+($R$3/12)</f>
        <v>2016.5</v>
      </c>
      <c r="AJ138" s="108">
        <f>$J138+(($K138-1)/12)</f>
        <v>-8.3333333333333329E-2</v>
      </c>
      <c r="AK138" s="108">
        <f>$I138+(($E138-1)/12)</f>
        <v>2017.0833333333333</v>
      </c>
      <c r="AL138" s="108">
        <f>$R$4+($R$3/12)</f>
        <v>2016.5</v>
      </c>
      <c r="AM138" s="108">
        <f>$J138+(($K138-1)/12)</f>
        <v>-8.3333333333333329E-2</v>
      </c>
    </row>
    <row r="139" spans="1:39" x14ac:dyDescent="0.25">
      <c r="A139">
        <v>151</v>
      </c>
      <c r="B139" t="s">
        <v>547</v>
      </c>
      <c r="C139" t="s">
        <v>784</v>
      </c>
      <c r="D139" s="34">
        <v>2012</v>
      </c>
      <c r="E139" s="34">
        <v>7</v>
      </c>
      <c r="F139" s="75"/>
      <c r="G139" s="34" t="s">
        <v>433</v>
      </c>
      <c r="H139" s="34">
        <v>5</v>
      </c>
      <c r="I139">
        <f>+D139+H139</f>
        <v>2017</v>
      </c>
      <c r="L139" s="53" t="s">
        <v>788</v>
      </c>
      <c r="M139" s="53" t="s">
        <v>788</v>
      </c>
      <c r="N139" s="53" t="s">
        <v>788</v>
      </c>
      <c r="O139" s="53" t="s">
        <v>788</v>
      </c>
      <c r="P139" s="32">
        <v>5816</v>
      </c>
      <c r="Q139" s="32"/>
      <c r="R139" s="32">
        <f>+P139-P139*F139</f>
        <v>5816</v>
      </c>
      <c r="S139" s="107">
        <f>R139/H139/12</f>
        <v>96.933333333333337</v>
      </c>
      <c r="T139" s="107">
        <f>IF(Q139&gt;0,0,IF((OR((AF139&gt;AG139),(AH139&lt;AI139))),0,IF((AND((AH139&gt;=AI139),(AH139&lt;=AG139))),S139*((AH139-AI139)*12),IF((AND((AI139&lt;=AF139),(AG139&gt;=AF139))),((AG139-AF139)*12)*S139,IF(AH139&gt;AG139,12*S139,0)))))</f>
        <v>1163.2</v>
      </c>
      <c r="U139" s="107">
        <f>IF(Q139=0,0,IF((AND((AJ139&gt;=AI139),(AJ139&lt;=AH139))),((AJ139-AI139)*12)*S139,0))</f>
        <v>0</v>
      </c>
      <c r="V139" s="107">
        <f>IF(U139&gt;0,U139,T139)</f>
        <v>1163.2</v>
      </c>
      <c r="W139" s="105">
        <v>1</v>
      </c>
      <c r="X139" s="107">
        <f>W139*SUM(T139:U139)</f>
        <v>1163.2</v>
      </c>
      <c r="Y139" s="105"/>
      <c r="Z139" s="107">
        <f>IF(AF139&gt;AG139,0,IF(AH139&lt;AI139,R139,IF((AND((AH139&gt;=AI139),(AH139&lt;=AG139))),(R139-V139),IF((AND((AI139&lt;=AF139),(AG139&gt;=AF139))),0,IF(AH139&gt;AG139,((AI139-AF139)*12)*S139,0)))))</f>
        <v>4652.8</v>
      </c>
      <c r="AA139" s="107">
        <f>Z139*W139</f>
        <v>4652.8</v>
      </c>
      <c r="AB139" s="105">
        <v>1</v>
      </c>
      <c r="AC139" s="107">
        <f>AA139*AB139</f>
        <v>4652.8</v>
      </c>
      <c r="AD139" s="107">
        <f>IF(Q139&gt;0,0,AC139+X139*AB139)*AB139</f>
        <v>5816</v>
      </c>
      <c r="AE139" s="107">
        <f>IF(Q139&gt;0,(P139-AC139)/2,IF(AF139&gt;=AI139,(((P139*W139)*AB139)-AD139)/2,((((P139*W139)*AB139)-AC139)+(((P139*W139)*AB139)-AD139))/2))</f>
        <v>581.59999999999991</v>
      </c>
      <c r="AF139" s="107">
        <f>$D139+(($E139-1)/12)</f>
        <v>2012.5</v>
      </c>
      <c r="AG139" s="107">
        <f>($R$5+1)-($R$2/12)</f>
        <v>2017.5</v>
      </c>
      <c r="AH139" s="107">
        <f>$I139+(($E139-1)/12)</f>
        <v>2017.5</v>
      </c>
      <c r="AI139" s="108">
        <f>$R$4+($R$3/12)</f>
        <v>2016.5</v>
      </c>
      <c r="AJ139" s="108">
        <f>$J139+(($K139-1)/12)</f>
        <v>-8.3333333333333329E-2</v>
      </c>
      <c r="AK139" s="108">
        <f>$I139+(($E139-1)/12)</f>
        <v>2017.5</v>
      </c>
      <c r="AL139" s="108">
        <f>$R$4+($R$3/12)</f>
        <v>2016.5</v>
      </c>
      <c r="AM139" s="108">
        <f>$J139+(($K139-1)/12)</f>
        <v>-8.3333333333333329E-2</v>
      </c>
    </row>
    <row r="140" spans="1:39" x14ac:dyDescent="0.25">
      <c r="A140">
        <v>152</v>
      </c>
      <c r="B140" t="s">
        <v>548</v>
      </c>
      <c r="C140" t="s">
        <v>784</v>
      </c>
      <c r="D140" s="34">
        <v>2012</v>
      </c>
      <c r="E140" s="34">
        <v>10</v>
      </c>
      <c r="F140" s="75"/>
      <c r="G140" s="34" t="s">
        <v>433</v>
      </c>
      <c r="H140" s="34">
        <v>5</v>
      </c>
      <c r="I140">
        <f>+D140+H140</f>
        <v>2017</v>
      </c>
      <c r="L140" s="53" t="s">
        <v>788</v>
      </c>
      <c r="M140" s="53" t="s">
        <v>788</v>
      </c>
      <c r="N140" s="53" t="s">
        <v>788</v>
      </c>
      <c r="O140" s="53" t="s">
        <v>788</v>
      </c>
      <c r="P140" s="32">
        <v>8345</v>
      </c>
      <c r="Q140" s="32"/>
      <c r="R140" s="32">
        <f>+P140-P140*F140</f>
        <v>8345</v>
      </c>
      <c r="S140" s="107">
        <f>R140/H140/12</f>
        <v>139.08333333333334</v>
      </c>
      <c r="T140" s="107">
        <f>IF(Q140&gt;0,0,IF((OR((AF140&gt;AG140),(AH140&lt;AI140))),0,IF((AND((AH140&gt;=AI140),(AH140&lt;=AG140))),S140*((AH140-AI140)*12),IF((AND((AI140&lt;=AF140),(AG140&gt;=AF140))),((AG140-AF140)*12)*S140,IF(AH140&gt;AG140,12*S140,0)))))</f>
        <v>1669</v>
      </c>
      <c r="U140" s="107">
        <f>IF(Q140=0,0,IF((AND((AJ140&gt;=AI140),(AJ140&lt;=AH140))),((AJ140-AI140)*12)*S140,0))</f>
        <v>0</v>
      </c>
      <c r="V140" s="107">
        <f>IF(U140&gt;0,U140,T140)</f>
        <v>1669</v>
      </c>
      <c r="W140" s="105">
        <v>1</v>
      </c>
      <c r="X140" s="107">
        <f>W140*SUM(T140:U140)</f>
        <v>1669</v>
      </c>
      <c r="Y140" s="105"/>
      <c r="Z140" s="107">
        <f>IF(AF140&gt;AG140,0,IF(AH140&lt;AI140,R140,IF((AND((AH140&gt;=AI140),(AH140&lt;=AG140))),(R140-V140),IF((AND((AI140&lt;=AF140),(AG140&gt;=AF140))),0,IF(AH140&gt;AG140,((AI140-AF140)*12)*S140,0)))))</f>
        <v>6258.75</v>
      </c>
      <c r="AA140" s="107">
        <f>Z140*W140</f>
        <v>6258.75</v>
      </c>
      <c r="AB140" s="105">
        <v>1</v>
      </c>
      <c r="AC140" s="107">
        <f>AA140*AB140</f>
        <v>6258.75</v>
      </c>
      <c r="AD140" s="107">
        <f>IF(Q140&gt;0,0,AC140+X140*AB140)*AB140</f>
        <v>7927.75</v>
      </c>
      <c r="AE140" s="107">
        <f>IF(Q140&gt;0,(P140-AC140)/2,IF(AF140&gt;=AI140,(((P140*W140)*AB140)-AD140)/2,((((P140*W140)*AB140)-AC140)+(((P140*W140)*AB140)-AD140))/2))</f>
        <v>1251.75</v>
      </c>
      <c r="AF140" s="107">
        <f>$D140+(($E140-1)/12)</f>
        <v>2012.75</v>
      </c>
      <c r="AG140" s="107">
        <f>($R$5+1)-($R$2/12)</f>
        <v>2017.5</v>
      </c>
      <c r="AH140" s="107">
        <f>$I140+(($E140-1)/12)</f>
        <v>2017.75</v>
      </c>
      <c r="AI140" s="108">
        <f>$R$4+($R$3/12)</f>
        <v>2016.5</v>
      </c>
      <c r="AJ140" s="108">
        <f>$J140+(($K140-1)/12)</f>
        <v>-8.3333333333333329E-2</v>
      </c>
      <c r="AK140" s="108">
        <f>$I140+(($E140-1)/12)</f>
        <v>2017.75</v>
      </c>
      <c r="AL140" s="108">
        <f>$R$4+($R$3/12)</f>
        <v>2016.5</v>
      </c>
      <c r="AM140" s="108">
        <f>$J140+(($K140-1)/12)</f>
        <v>-8.3333333333333329E-2</v>
      </c>
    </row>
    <row r="141" spans="1:39" x14ac:dyDescent="0.25">
      <c r="A141">
        <v>153</v>
      </c>
      <c r="B141" t="s">
        <v>549</v>
      </c>
      <c r="C141" t="s">
        <v>784</v>
      </c>
      <c r="D141" s="34">
        <v>2012</v>
      </c>
      <c r="E141" s="34">
        <v>11</v>
      </c>
      <c r="F141" s="75"/>
      <c r="G141" s="34" t="s">
        <v>433</v>
      </c>
      <c r="H141" s="34">
        <v>7</v>
      </c>
      <c r="I141">
        <f>+D141+H141</f>
        <v>2019</v>
      </c>
      <c r="L141" s="53" t="s">
        <v>788</v>
      </c>
      <c r="M141" s="53" t="s">
        <v>788</v>
      </c>
      <c r="N141" s="53" t="s">
        <v>788</v>
      </c>
      <c r="O141" s="53" t="s">
        <v>788</v>
      </c>
      <c r="P141" s="32">
        <v>13345</v>
      </c>
      <c r="Q141" s="32"/>
      <c r="R141" s="32">
        <f>+P141-P141*F141</f>
        <v>13345</v>
      </c>
      <c r="S141" s="107">
        <f>R141/H141/12</f>
        <v>158.86904761904762</v>
      </c>
      <c r="T141" s="107">
        <f>IF(Q141&gt;0,0,IF((OR((AF141&gt;AG141),(AH141&lt;AI141))),0,IF((AND((AH141&gt;=AI141),(AH141&lt;=AG141))),S141*((AH141-AI141)*12),IF((AND((AI141&lt;=AF141),(AG141&gt;=AF141))),((AG141-AF141)*12)*S141,IF(AH141&gt;AG141,12*S141,0)))))</f>
        <v>1906.4285714285716</v>
      </c>
      <c r="U141" s="107">
        <f>IF(Q141=0,0,IF((AND((AJ141&gt;=AI141),(AJ141&lt;=AH141))),((AJ141-AI141)*12)*S141,0))</f>
        <v>0</v>
      </c>
      <c r="V141" s="107">
        <f>IF(U141&gt;0,U141,T141)</f>
        <v>1906.4285714285716</v>
      </c>
      <c r="W141" s="105">
        <v>1</v>
      </c>
      <c r="X141" s="107">
        <f>W141*SUM(T141:U141)</f>
        <v>1906.4285714285716</v>
      </c>
      <c r="Y141" s="105"/>
      <c r="Z141" s="107">
        <f>IF(AF141&gt;AG141,0,IF(AH141&lt;AI141,R141,IF((AND((AH141&gt;=AI141),(AH141&lt;=AG141))),(R141-V141),IF((AND((AI141&lt;=AF141),(AG141&gt;=AF141))),0,IF(AH141&gt;AG141,((AI141-AF141)*12)*S141,0)))))</f>
        <v>6990.23809523824</v>
      </c>
      <c r="AA141" s="107">
        <f>Z141*W141</f>
        <v>6990.23809523824</v>
      </c>
      <c r="AB141" s="105">
        <v>1</v>
      </c>
      <c r="AC141" s="107">
        <f>AA141*AB141</f>
        <v>6990.23809523824</v>
      </c>
      <c r="AD141" s="107">
        <f>IF(Q141&gt;0,0,AC141+X141*AB141)*AB141</f>
        <v>8896.6666666668116</v>
      </c>
      <c r="AE141" s="107">
        <f>IF(Q141&gt;0,(P141-AC141)/2,IF(AF141&gt;=AI141,(((P141*W141)*AB141)-AD141)/2,((((P141*W141)*AB141)-AC141)+(((P141*W141)*AB141)-AD141))/2))</f>
        <v>5401.5476190474747</v>
      </c>
      <c r="AF141" s="107">
        <f>$D141+(($E141-1)/12)</f>
        <v>2012.8333333333333</v>
      </c>
      <c r="AG141" s="107">
        <f>($R$5+1)-($R$2/12)</f>
        <v>2017.5</v>
      </c>
      <c r="AH141" s="107">
        <f>$I141+(($E141-1)/12)</f>
        <v>2019.8333333333333</v>
      </c>
      <c r="AI141" s="108">
        <f>$R$4+($R$3/12)</f>
        <v>2016.5</v>
      </c>
      <c r="AJ141" s="108">
        <f>$J141+(($K141-1)/12)</f>
        <v>-8.3333333333333329E-2</v>
      </c>
      <c r="AK141" s="108">
        <f>$I141+(($E141-1)/12)</f>
        <v>2019.8333333333333</v>
      </c>
      <c r="AL141" s="108">
        <f>$R$4+($R$3/12)</f>
        <v>2016.5</v>
      </c>
      <c r="AM141" s="108">
        <f>$J141+(($K141-1)/12)</f>
        <v>-8.3333333333333329E-2</v>
      </c>
    </row>
    <row r="142" spans="1:39" x14ac:dyDescent="0.25">
      <c r="A142">
        <v>154</v>
      </c>
      <c r="B142" t="s">
        <v>550</v>
      </c>
      <c r="C142" t="s">
        <v>784</v>
      </c>
      <c r="D142" s="34">
        <v>2012</v>
      </c>
      <c r="E142" s="34">
        <v>11</v>
      </c>
      <c r="F142" s="75"/>
      <c r="G142" s="34" t="s">
        <v>433</v>
      </c>
      <c r="H142" s="34">
        <v>7</v>
      </c>
      <c r="I142">
        <f>+D142+H142</f>
        <v>2019</v>
      </c>
      <c r="L142" s="53" t="s">
        <v>788</v>
      </c>
      <c r="M142" s="53" t="s">
        <v>788</v>
      </c>
      <c r="N142" s="53" t="s">
        <v>788</v>
      </c>
      <c r="O142" s="53" t="s">
        <v>788</v>
      </c>
      <c r="P142" s="32">
        <v>17500</v>
      </c>
      <c r="Q142" s="32"/>
      <c r="R142" s="32">
        <f>+P142-P142*F142</f>
        <v>17500</v>
      </c>
      <c r="S142" s="107">
        <f>R142/H142/12</f>
        <v>208.33333333333334</v>
      </c>
      <c r="T142" s="107">
        <f>IF(Q142&gt;0,0,IF((OR((AF142&gt;AG142),(AH142&lt;AI142))),0,IF((AND((AH142&gt;=AI142),(AH142&lt;=AG142))),S142*((AH142-AI142)*12),IF((AND((AI142&lt;=AF142),(AG142&gt;=AF142))),((AG142-AF142)*12)*S142,IF(AH142&gt;AG142,12*S142,0)))))</f>
        <v>2500</v>
      </c>
      <c r="U142" s="107">
        <f>IF(Q142=0,0,IF((AND((AJ142&gt;=AI142),(AJ142&lt;=AH142))),((AJ142-AI142)*12)*S142,0))</f>
        <v>0</v>
      </c>
      <c r="V142" s="107">
        <f>IF(U142&gt;0,U142,T142)</f>
        <v>2500</v>
      </c>
      <c r="W142" s="105">
        <v>1</v>
      </c>
      <c r="X142" s="107">
        <f>W142*SUM(T142:U142)</f>
        <v>2500</v>
      </c>
      <c r="Y142" s="105"/>
      <c r="Z142" s="107">
        <f>IF(AF142&gt;AG142,0,IF(AH142&lt;AI142,R142,IF((AND((AH142&gt;=AI142),(AH142&lt;=AG142))),(R142-V142),IF((AND((AI142&lt;=AF142),(AG142&gt;=AF142))),0,IF(AH142&gt;AG142,((AI142-AF142)*12)*S142,0)))))</f>
        <v>9166.6666666668571</v>
      </c>
      <c r="AA142" s="107">
        <f>Z142*W142</f>
        <v>9166.6666666668571</v>
      </c>
      <c r="AB142" s="105">
        <v>1</v>
      </c>
      <c r="AC142" s="107">
        <f>AA142*AB142</f>
        <v>9166.6666666668571</v>
      </c>
      <c r="AD142" s="107">
        <f>IF(Q142&gt;0,0,AC142+X142*AB142)*AB142</f>
        <v>11666.666666666857</v>
      </c>
      <c r="AE142" s="107">
        <f>IF(Q142&gt;0,(P142-AC142)/2,IF(AF142&gt;=AI142,(((P142*W142)*AB142)-AD142)/2,((((P142*W142)*AB142)-AC142)+(((P142*W142)*AB142)-AD142))/2))</f>
        <v>7083.3333333331429</v>
      </c>
      <c r="AF142" s="107">
        <f>$D142+(($E142-1)/12)</f>
        <v>2012.8333333333333</v>
      </c>
      <c r="AG142" s="107">
        <f>($R$5+1)-($R$2/12)</f>
        <v>2017.5</v>
      </c>
      <c r="AH142" s="107">
        <f>$I142+(($E142-1)/12)</f>
        <v>2019.8333333333333</v>
      </c>
      <c r="AI142" s="108">
        <f>$R$4+($R$3/12)</f>
        <v>2016.5</v>
      </c>
      <c r="AJ142" s="108">
        <f>$J142+(($K142-1)/12)</f>
        <v>-8.3333333333333329E-2</v>
      </c>
      <c r="AK142" s="108">
        <f>$I142+(($E142-1)/12)</f>
        <v>2019.8333333333333</v>
      </c>
      <c r="AL142" s="108">
        <f>$R$4+($R$3/12)</f>
        <v>2016.5</v>
      </c>
      <c r="AM142" s="108">
        <f>$J142+(($K142-1)/12)</f>
        <v>-8.3333333333333329E-2</v>
      </c>
    </row>
    <row r="143" spans="1:39" x14ac:dyDescent="0.25">
      <c r="A143">
        <v>155</v>
      </c>
      <c r="B143" t="s">
        <v>551</v>
      </c>
      <c r="C143" t="s">
        <v>784</v>
      </c>
      <c r="D143" s="34">
        <v>2012</v>
      </c>
      <c r="E143" s="34">
        <v>11</v>
      </c>
      <c r="F143" s="75"/>
      <c r="G143" s="34" t="s">
        <v>433</v>
      </c>
      <c r="H143" s="34">
        <v>7</v>
      </c>
      <c r="I143">
        <f>+D143+H143</f>
        <v>2019</v>
      </c>
      <c r="L143" s="53" t="s">
        <v>788</v>
      </c>
      <c r="M143" s="53" t="s">
        <v>788</v>
      </c>
      <c r="N143" s="53" t="s">
        <v>788</v>
      </c>
      <c r="O143" s="53" t="s">
        <v>788</v>
      </c>
      <c r="P143" s="32">
        <v>17500</v>
      </c>
      <c r="Q143" s="32"/>
      <c r="R143" s="32">
        <f>+P143-P143*F143</f>
        <v>17500</v>
      </c>
      <c r="S143" s="107">
        <f>R143/H143/12</f>
        <v>208.33333333333334</v>
      </c>
      <c r="T143" s="107">
        <f>IF(Q143&gt;0,0,IF((OR((AF143&gt;AG143),(AH143&lt;AI143))),0,IF((AND((AH143&gt;=AI143),(AH143&lt;=AG143))),S143*((AH143-AI143)*12),IF((AND((AI143&lt;=AF143),(AG143&gt;=AF143))),((AG143-AF143)*12)*S143,IF(AH143&gt;AG143,12*S143,0)))))</f>
        <v>2500</v>
      </c>
      <c r="U143" s="107">
        <f>IF(Q143=0,0,IF((AND((AJ143&gt;=AI143),(AJ143&lt;=AH143))),((AJ143-AI143)*12)*S143,0))</f>
        <v>0</v>
      </c>
      <c r="V143" s="107">
        <f>IF(U143&gt;0,U143,T143)</f>
        <v>2500</v>
      </c>
      <c r="W143" s="105">
        <v>1</v>
      </c>
      <c r="X143" s="107">
        <f>W143*SUM(T143:U143)</f>
        <v>2500</v>
      </c>
      <c r="Y143" s="105"/>
      <c r="Z143" s="107">
        <f>IF(AF143&gt;AG143,0,IF(AH143&lt;AI143,R143,IF((AND((AH143&gt;=AI143),(AH143&lt;=AG143))),(R143-V143),IF((AND((AI143&lt;=AF143),(AG143&gt;=AF143))),0,IF(AH143&gt;AG143,((AI143-AF143)*12)*S143,0)))))</f>
        <v>9166.6666666668571</v>
      </c>
      <c r="AA143" s="107">
        <f>Z143*W143</f>
        <v>9166.6666666668571</v>
      </c>
      <c r="AB143" s="105">
        <v>1</v>
      </c>
      <c r="AC143" s="107">
        <f>AA143*AB143</f>
        <v>9166.6666666668571</v>
      </c>
      <c r="AD143" s="107">
        <f>IF(Q143&gt;0,0,AC143+X143*AB143)*AB143</f>
        <v>11666.666666666857</v>
      </c>
      <c r="AE143" s="107">
        <f>IF(Q143&gt;0,(P143-AC143)/2,IF(AF143&gt;=AI143,(((P143*W143)*AB143)-AD143)/2,((((P143*W143)*AB143)-AC143)+(((P143*W143)*AB143)-AD143))/2))</f>
        <v>7083.3333333331429</v>
      </c>
      <c r="AF143" s="107">
        <f>$D143+(($E143-1)/12)</f>
        <v>2012.8333333333333</v>
      </c>
      <c r="AG143" s="107">
        <f>($R$5+1)-($R$2/12)</f>
        <v>2017.5</v>
      </c>
      <c r="AH143" s="107">
        <f>$I143+(($E143-1)/12)</f>
        <v>2019.8333333333333</v>
      </c>
      <c r="AI143" s="108">
        <f>$R$4+($R$3/12)</f>
        <v>2016.5</v>
      </c>
      <c r="AJ143" s="108">
        <f>$J143+(($K143-1)/12)</f>
        <v>-8.3333333333333329E-2</v>
      </c>
      <c r="AK143" s="108">
        <f>$I143+(($E143-1)/12)</f>
        <v>2019.8333333333333</v>
      </c>
      <c r="AL143" s="108">
        <f>$R$4+($R$3/12)</f>
        <v>2016.5</v>
      </c>
      <c r="AM143" s="108">
        <f>$J143+(($K143-1)/12)</f>
        <v>-8.3333333333333329E-2</v>
      </c>
    </row>
    <row r="144" spans="1:39" x14ac:dyDescent="0.25">
      <c r="A144">
        <v>156</v>
      </c>
      <c r="B144" t="s">
        <v>552</v>
      </c>
      <c r="C144" t="s">
        <v>784</v>
      </c>
      <c r="D144" s="34">
        <v>2012</v>
      </c>
      <c r="E144" s="34">
        <v>11</v>
      </c>
      <c r="F144" s="75"/>
      <c r="G144" s="34" t="s">
        <v>433</v>
      </c>
      <c r="H144" s="34">
        <v>7</v>
      </c>
      <c r="I144">
        <f>+D144+H144</f>
        <v>2019</v>
      </c>
      <c r="L144" s="53" t="s">
        <v>788</v>
      </c>
      <c r="M144" s="53" t="s">
        <v>788</v>
      </c>
      <c r="N144" s="53" t="s">
        <v>788</v>
      </c>
      <c r="O144" s="53" t="s">
        <v>788</v>
      </c>
      <c r="P144" s="32">
        <v>6100</v>
      </c>
      <c r="Q144" s="32"/>
      <c r="R144" s="32">
        <f>+P144-P144*F144</f>
        <v>6100</v>
      </c>
      <c r="S144" s="107">
        <f>R144/H144/12</f>
        <v>72.61904761904762</v>
      </c>
      <c r="T144" s="107">
        <f>IF(Q144&gt;0,0,IF((OR((AF144&gt;AG144),(AH144&lt;AI144))),0,IF((AND((AH144&gt;=AI144),(AH144&lt;=AG144))),S144*((AH144-AI144)*12),IF((AND((AI144&lt;=AF144),(AG144&gt;=AF144))),((AG144-AF144)*12)*S144,IF(AH144&gt;AG144,12*S144,0)))))</f>
        <v>871.42857142857144</v>
      </c>
      <c r="U144" s="107">
        <f>IF(Q144=0,0,IF((AND((AJ144&gt;=AI144),(AJ144&lt;=AH144))),((AJ144-AI144)*12)*S144,0))</f>
        <v>0</v>
      </c>
      <c r="V144" s="107">
        <f>IF(U144&gt;0,U144,T144)</f>
        <v>871.42857142857144</v>
      </c>
      <c r="W144" s="105">
        <v>1</v>
      </c>
      <c r="X144" s="107">
        <f>W144*SUM(T144:U144)</f>
        <v>871.42857142857144</v>
      </c>
      <c r="Y144" s="105"/>
      <c r="Z144" s="107">
        <f>IF(AF144&gt;AG144,0,IF(AH144&lt;AI144,R144,IF((AND((AH144&gt;=AI144),(AH144&lt;=AG144))),(R144-V144),IF((AND((AI144&lt;=AF144),(AG144&gt;=AF144))),0,IF(AH144&gt;AG144,((AI144-AF144)*12)*S144,0)))))</f>
        <v>3195.2380952381613</v>
      </c>
      <c r="AA144" s="107">
        <f>Z144*W144</f>
        <v>3195.2380952381613</v>
      </c>
      <c r="AB144" s="105">
        <v>1</v>
      </c>
      <c r="AC144" s="107">
        <f>AA144*AB144</f>
        <v>3195.2380952381613</v>
      </c>
      <c r="AD144" s="107">
        <f>IF(Q144&gt;0,0,AC144+X144*AB144)*AB144</f>
        <v>4066.6666666667329</v>
      </c>
      <c r="AE144" s="107">
        <f>IF(Q144&gt;0,(P144-AC144)/2,IF(AF144&gt;=AI144,(((P144*W144)*AB144)-AD144)/2,((((P144*W144)*AB144)-AC144)+(((P144*W144)*AB144)-AD144))/2))</f>
        <v>2469.0476190475529</v>
      </c>
      <c r="AF144" s="107">
        <f>$D144+(($E144-1)/12)</f>
        <v>2012.8333333333333</v>
      </c>
      <c r="AG144" s="107">
        <f>($R$5+1)-($R$2/12)</f>
        <v>2017.5</v>
      </c>
      <c r="AH144" s="107">
        <f>$I144+(($E144-1)/12)</f>
        <v>2019.8333333333333</v>
      </c>
      <c r="AI144" s="108">
        <f>$R$4+($R$3/12)</f>
        <v>2016.5</v>
      </c>
      <c r="AJ144" s="108">
        <f>$J144+(($K144-1)/12)</f>
        <v>-8.3333333333333329E-2</v>
      </c>
      <c r="AK144" s="108">
        <f>$I144+(($E144-1)/12)</f>
        <v>2019.8333333333333</v>
      </c>
      <c r="AL144" s="108">
        <f>$R$4+($R$3/12)</f>
        <v>2016.5</v>
      </c>
      <c r="AM144" s="108">
        <f>$J144+(($K144-1)/12)</f>
        <v>-8.3333333333333329E-2</v>
      </c>
    </row>
    <row r="145" spans="1:39" x14ac:dyDescent="0.25">
      <c r="A145">
        <v>157</v>
      </c>
      <c r="B145" t="s">
        <v>552</v>
      </c>
      <c r="C145" t="s">
        <v>784</v>
      </c>
      <c r="D145" s="34">
        <v>2012</v>
      </c>
      <c r="E145" s="34">
        <v>11</v>
      </c>
      <c r="F145" s="75"/>
      <c r="G145" s="34" t="s">
        <v>433</v>
      </c>
      <c r="H145" s="34">
        <v>7</v>
      </c>
      <c r="I145">
        <f>+D145+H145</f>
        <v>2019</v>
      </c>
      <c r="L145" s="53" t="s">
        <v>788</v>
      </c>
      <c r="M145" s="53" t="s">
        <v>788</v>
      </c>
      <c r="N145" s="53" t="s">
        <v>788</v>
      </c>
      <c r="O145" s="53" t="s">
        <v>788</v>
      </c>
      <c r="P145" s="32">
        <v>6322</v>
      </c>
      <c r="Q145" s="32"/>
      <c r="R145" s="32">
        <f>+P145-P145*F145</f>
        <v>6322</v>
      </c>
      <c r="S145" s="107">
        <f>R145/H145/12</f>
        <v>75.261904761904759</v>
      </c>
      <c r="T145" s="107">
        <f>IF(Q145&gt;0,0,IF((OR((AF145&gt;AG145),(AH145&lt;AI145))),0,IF((AND((AH145&gt;=AI145),(AH145&lt;=AG145))),S145*((AH145-AI145)*12),IF((AND((AI145&lt;=AF145),(AG145&gt;=AF145))),((AG145-AF145)*12)*S145,IF(AH145&gt;AG145,12*S145,0)))))</f>
        <v>903.14285714285711</v>
      </c>
      <c r="U145" s="107">
        <f>IF(Q145=0,0,IF((AND((AJ145&gt;=AI145),(AJ145&lt;=AH145))),((AJ145-AI145)*12)*S145,0))</f>
        <v>0</v>
      </c>
      <c r="V145" s="107">
        <f>IF(U145&gt;0,U145,T145)</f>
        <v>903.14285714285711</v>
      </c>
      <c r="W145" s="105">
        <v>1</v>
      </c>
      <c r="X145" s="107">
        <f>W145*SUM(T145:U145)</f>
        <v>903.14285714285711</v>
      </c>
      <c r="Y145" s="105"/>
      <c r="Z145" s="107">
        <f>IF(AF145&gt;AG145,0,IF(AH145&lt;AI145,R145,IF((AND((AH145&gt;=AI145),(AH145&lt;=AG145))),(R145-V145),IF((AND((AI145&lt;=AF145),(AG145&gt;=AF145))),0,IF(AH145&gt;AG145,((AI145-AF145)*12)*S145,0)))))</f>
        <v>3311.5238095238778</v>
      </c>
      <c r="AA145" s="107">
        <f>Z145*W145</f>
        <v>3311.5238095238778</v>
      </c>
      <c r="AB145" s="105">
        <v>1</v>
      </c>
      <c r="AC145" s="107">
        <f>AA145*AB145</f>
        <v>3311.5238095238778</v>
      </c>
      <c r="AD145" s="107">
        <f>IF(Q145&gt;0,0,AC145+X145*AB145)*AB145</f>
        <v>4214.6666666667352</v>
      </c>
      <c r="AE145" s="107">
        <f>IF(Q145&gt;0,(P145-AC145)/2,IF(AF145&gt;=AI145,(((P145*W145)*AB145)-AD145)/2,((((P145*W145)*AB145)-AC145)+(((P145*W145)*AB145)-AD145))/2))</f>
        <v>2558.9047619046933</v>
      </c>
      <c r="AF145" s="107">
        <f>$D145+(($E145-1)/12)</f>
        <v>2012.8333333333333</v>
      </c>
      <c r="AG145" s="107">
        <f>($R$5+1)-($R$2/12)</f>
        <v>2017.5</v>
      </c>
      <c r="AH145" s="107">
        <f>$I145+(($E145-1)/12)</f>
        <v>2019.8333333333333</v>
      </c>
      <c r="AI145" s="108">
        <f>$R$4+($R$3/12)</f>
        <v>2016.5</v>
      </c>
      <c r="AJ145" s="108">
        <f>$J145+(($K145-1)/12)</f>
        <v>-8.3333333333333329E-2</v>
      </c>
      <c r="AK145" s="108">
        <f>$I145+(($E145-1)/12)</f>
        <v>2019.8333333333333</v>
      </c>
      <c r="AL145" s="108">
        <f>$R$4+($R$3/12)</f>
        <v>2016.5</v>
      </c>
      <c r="AM145" s="108">
        <f>$J145+(($K145-1)/12)</f>
        <v>-8.3333333333333329E-2</v>
      </c>
    </row>
    <row r="146" spans="1:39" x14ac:dyDescent="0.25">
      <c r="A146">
        <v>158</v>
      </c>
      <c r="B146" t="s">
        <v>552</v>
      </c>
      <c r="C146" t="s">
        <v>784</v>
      </c>
      <c r="D146" s="34">
        <v>2012</v>
      </c>
      <c r="E146" s="34">
        <v>11</v>
      </c>
      <c r="F146" s="75"/>
      <c r="G146" s="34" t="s">
        <v>433</v>
      </c>
      <c r="H146" s="34">
        <v>7</v>
      </c>
      <c r="I146">
        <f>+D146+H146</f>
        <v>2019</v>
      </c>
      <c r="L146" s="53" t="s">
        <v>788</v>
      </c>
      <c r="M146" s="53" t="s">
        <v>788</v>
      </c>
      <c r="N146" s="53" t="s">
        <v>788</v>
      </c>
      <c r="O146" s="53" t="s">
        <v>788</v>
      </c>
      <c r="P146" s="32">
        <v>16500</v>
      </c>
      <c r="Q146" s="32"/>
      <c r="R146" s="32">
        <f>+P146-P146*F146</f>
        <v>16500</v>
      </c>
      <c r="S146" s="107">
        <f>R146/H146/12</f>
        <v>196.42857142857144</v>
      </c>
      <c r="T146" s="107">
        <f>IF(Q146&gt;0,0,IF((OR((AF146&gt;AG146),(AH146&lt;AI146))),0,IF((AND((AH146&gt;=AI146),(AH146&lt;=AG146))),S146*((AH146-AI146)*12),IF((AND((AI146&lt;=AF146),(AG146&gt;=AF146))),((AG146-AF146)*12)*S146,IF(AH146&gt;AG146,12*S146,0)))))</f>
        <v>2357.1428571428573</v>
      </c>
      <c r="U146" s="107">
        <f>IF(Q146=0,0,IF((AND((AJ146&gt;=AI146),(AJ146&lt;=AH146))),((AJ146-AI146)*12)*S146,0))</f>
        <v>0</v>
      </c>
      <c r="V146" s="107">
        <f>IF(U146&gt;0,U146,T146)</f>
        <v>2357.1428571428573</v>
      </c>
      <c r="W146" s="105">
        <v>1</v>
      </c>
      <c r="X146" s="107">
        <f>W146*SUM(T146:U146)</f>
        <v>2357.1428571428573</v>
      </c>
      <c r="Y146" s="105"/>
      <c r="Z146" s="107">
        <f>IF(AF146&gt;AG146,0,IF(AH146&lt;AI146,R146,IF((AND((AH146&gt;=AI146),(AH146&lt;=AG146))),(R146-V146),IF((AND((AI146&lt;=AF146),(AG146&gt;=AF146))),0,IF(AH146&gt;AG146,((AI146-AF146)*12)*S146,0)))))</f>
        <v>8642.8571428573214</v>
      </c>
      <c r="AA146" s="107">
        <f>Z146*W146</f>
        <v>8642.8571428573214</v>
      </c>
      <c r="AB146" s="105">
        <v>1</v>
      </c>
      <c r="AC146" s="107">
        <f>AA146*AB146</f>
        <v>8642.8571428573214</v>
      </c>
      <c r="AD146" s="107">
        <f>IF(Q146&gt;0,0,AC146+X146*AB146)*AB146</f>
        <v>11000.000000000178</v>
      </c>
      <c r="AE146" s="107">
        <f>IF(Q146&gt;0,(P146-AC146)/2,IF(AF146&gt;=AI146,(((P146*W146)*AB146)-AD146)/2,((((P146*W146)*AB146)-AC146)+(((P146*W146)*AB146)-AD146))/2))</f>
        <v>6678.5714285712502</v>
      </c>
      <c r="AF146" s="107">
        <f>$D146+(($E146-1)/12)</f>
        <v>2012.8333333333333</v>
      </c>
      <c r="AG146" s="107">
        <f>($R$5+1)-($R$2/12)</f>
        <v>2017.5</v>
      </c>
      <c r="AH146" s="107">
        <f>$I146+(($E146-1)/12)</f>
        <v>2019.8333333333333</v>
      </c>
      <c r="AI146" s="108">
        <f>$R$4+($R$3/12)</f>
        <v>2016.5</v>
      </c>
      <c r="AJ146" s="108">
        <f>$J146+(($K146-1)/12)</f>
        <v>-8.3333333333333329E-2</v>
      </c>
      <c r="AK146" s="108">
        <f>$I146+(($E146-1)/12)</f>
        <v>2019.8333333333333</v>
      </c>
      <c r="AL146" s="108">
        <f>$R$4+($R$3/12)</f>
        <v>2016.5</v>
      </c>
      <c r="AM146" s="108">
        <f>$J146+(($K146-1)/12)</f>
        <v>-8.3333333333333329E-2</v>
      </c>
    </row>
    <row r="147" spans="1:39" x14ac:dyDescent="0.25">
      <c r="A147">
        <v>166</v>
      </c>
      <c r="B147" t="s">
        <v>558</v>
      </c>
      <c r="C147" t="s">
        <v>784</v>
      </c>
      <c r="D147" s="34">
        <v>2012</v>
      </c>
      <c r="E147" s="34">
        <v>7</v>
      </c>
      <c r="F147" s="75"/>
      <c r="G147" s="34" t="s">
        <v>433</v>
      </c>
      <c r="H147" s="34">
        <v>5</v>
      </c>
      <c r="I147">
        <f>+D147+H147</f>
        <v>2017</v>
      </c>
      <c r="L147" s="53" t="s">
        <v>788</v>
      </c>
      <c r="M147" s="53" t="s">
        <v>788</v>
      </c>
      <c r="N147" s="53" t="s">
        <v>788</v>
      </c>
      <c r="O147" s="53" t="s">
        <v>788</v>
      </c>
      <c r="P147" s="32">
        <v>628</v>
      </c>
      <c r="Q147" s="32"/>
      <c r="R147" s="32">
        <f>+P147-P147*F147</f>
        <v>628</v>
      </c>
      <c r="S147" s="107">
        <f>R147/H147/12</f>
        <v>10.466666666666667</v>
      </c>
      <c r="T147" s="107">
        <f>IF(Q147&gt;0,0,IF((OR((AF147&gt;AG147),(AH147&lt;AI147))),0,IF((AND((AH147&gt;=AI147),(AH147&lt;=AG147))),S147*((AH147-AI147)*12),IF((AND((AI147&lt;=AF147),(AG147&gt;=AF147))),((AG147-AF147)*12)*S147,IF(AH147&gt;AG147,12*S147,0)))))</f>
        <v>125.6</v>
      </c>
      <c r="U147" s="107">
        <f>IF(Q147=0,0,IF((AND((AJ147&gt;=AI147),(AJ147&lt;=AH147))),((AJ147-AI147)*12)*S147,0))</f>
        <v>0</v>
      </c>
      <c r="V147" s="107">
        <f>IF(U147&gt;0,U147,T147)</f>
        <v>125.6</v>
      </c>
      <c r="W147" s="105">
        <v>1</v>
      </c>
      <c r="X147" s="107">
        <f>W147*SUM(T147:U147)</f>
        <v>125.6</v>
      </c>
      <c r="Y147" s="105"/>
      <c r="Z147" s="107">
        <f>IF(AF147&gt;AG147,0,IF(AH147&lt;AI147,R147,IF((AND((AH147&gt;=AI147),(AH147&lt;=AG147))),(R147-V147),IF((AND((AI147&lt;=AF147),(AG147&gt;=AF147))),0,IF(AH147&gt;AG147,((AI147-AF147)*12)*S147,0)))))</f>
        <v>502.4</v>
      </c>
      <c r="AA147" s="107">
        <f>Z147*W147</f>
        <v>502.4</v>
      </c>
      <c r="AB147" s="105">
        <v>1</v>
      </c>
      <c r="AC147" s="107">
        <f>AA147*AB147</f>
        <v>502.4</v>
      </c>
      <c r="AD147" s="107">
        <f>IF(Q147&gt;0,0,AC147+X147*AB147)*AB147</f>
        <v>628</v>
      </c>
      <c r="AE147" s="107">
        <f>IF(Q147&gt;0,(P147-AC147)/2,IF(AF147&gt;=AI147,(((P147*W147)*AB147)-AD147)/2,((((P147*W147)*AB147)-AC147)+(((P147*W147)*AB147)-AD147))/2))</f>
        <v>62.800000000000011</v>
      </c>
      <c r="AF147" s="107">
        <f>$D147+(($E147-1)/12)</f>
        <v>2012.5</v>
      </c>
      <c r="AG147" s="107">
        <f>($R$5+1)-($R$2/12)</f>
        <v>2017.5</v>
      </c>
      <c r="AH147" s="107">
        <f>$I147+(($E147-1)/12)</f>
        <v>2017.5</v>
      </c>
      <c r="AI147" s="108">
        <f>$R$4+($R$3/12)</f>
        <v>2016.5</v>
      </c>
      <c r="AJ147" s="108">
        <f>$J147+(($K147-1)/12)</f>
        <v>-8.3333333333333329E-2</v>
      </c>
      <c r="AK147" s="108">
        <f>$I147+(($E147-1)/12)</f>
        <v>2017.5</v>
      </c>
      <c r="AL147" s="108">
        <f>$R$4+($R$3/12)</f>
        <v>2016.5</v>
      </c>
      <c r="AM147" s="108">
        <f>$J147+(($K147-1)/12)</f>
        <v>-8.3333333333333329E-2</v>
      </c>
    </row>
    <row r="148" spans="1:39" x14ac:dyDescent="0.25">
      <c r="A148">
        <v>172</v>
      </c>
      <c r="B148" t="s">
        <v>561</v>
      </c>
      <c r="C148" t="s">
        <v>784</v>
      </c>
      <c r="D148" s="34">
        <v>2013</v>
      </c>
      <c r="E148" s="34">
        <v>1</v>
      </c>
      <c r="F148" s="75"/>
      <c r="G148" s="34" t="s">
        <v>433</v>
      </c>
      <c r="H148" s="34">
        <v>5</v>
      </c>
      <c r="I148">
        <f>+D148+H148</f>
        <v>2018</v>
      </c>
      <c r="L148" s="53" t="s">
        <v>788</v>
      </c>
      <c r="M148" s="53" t="s">
        <v>788</v>
      </c>
      <c r="N148" s="53" t="s">
        <v>788</v>
      </c>
      <c r="O148" s="53" t="s">
        <v>788</v>
      </c>
      <c r="P148" s="32">
        <v>2043.61</v>
      </c>
      <c r="Q148" s="32"/>
      <c r="R148" s="32">
        <f>+P148-P148*F148</f>
        <v>2043.61</v>
      </c>
      <c r="S148" s="107">
        <f>R148/H148/12</f>
        <v>34.060166666666667</v>
      </c>
      <c r="T148" s="107">
        <f>IF(Q148&gt;0,0,IF((OR((AF148&gt;AG148),(AH148&lt;AI148))),0,IF((AND((AH148&gt;=AI148),(AH148&lt;=AG148))),S148*((AH148-AI148)*12),IF((AND((AI148&lt;=AF148),(AG148&gt;=AF148))),((AG148-AF148)*12)*S148,IF(AH148&gt;AG148,12*S148,0)))))</f>
        <v>408.72199999999998</v>
      </c>
      <c r="U148" s="107">
        <f>IF(Q148=0,0,IF((AND((AJ148&gt;=AI148),(AJ148&lt;=AH148))),((AJ148-AI148)*12)*S148,0))</f>
        <v>0</v>
      </c>
      <c r="V148" s="107">
        <f>IF(U148&gt;0,U148,T148)</f>
        <v>408.72199999999998</v>
      </c>
      <c r="W148" s="105">
        <v>1</v>
      </c>
      <c r="X148" s="107">
        <f>W148*SUM(T148:U148)</f>
        <v>408.72199999999998</v>
      </c>
      <c r="Y148" s="105"/>
      <c r="Z148" s="107">
        <f>IF(AF148&gt;AG148,0,IF(AH148&lt;AI148,R148,IF((AND((AH148&gt;=AI148),(AH148&lt;=AG148))),(R148-V148),IF((AND((AI148&lt;=AF148),(AG148&gt;=AF148))),0,IF(AH148&gt;AG148,((AI148-AF148)*12)*S148,0)))))</f>
        <v>1430.527</v>
      </c>
      <c r="AA148" s="107">
        <f>Z148*W148</f>
        <v>1430.527</v>
      </c>
      <c r="AB148" s="105">
        <v>1</v>
      </c>
      <c r="AC148" s="107">
        <f>AA148*AB148</f>
        <v>1430.527</v>
      </c>
      <c r="AD148" s="107">
        <f>IF(Q148&gt;0,0,AC148+X148*AB148)*AB148</f>
        <v>1839.249</v>
      </c>
      <c r="AE148" s="107">
        <f>IF(Q148&gt;0,(P148-AC148)/2,IF(AF148&gt;=AI148,(((P148*W148)*AB148)-AD148)/2,((((P148*W148)*AB148)-AC148)+(((P148*W148)*AB148)-AD148))/2))</f>
        <v>408.72199999999987</v>
      </c>
      <c r="AF148" s="107">
        <f>$D148+(($E148-1)/12)</f>
        <v>2013</v>
      </c>
      <c r="AG148" s="107">
        <f>($R$5+1)-($R$2/12)</f>
        <v>2017.5</v>
      </c>
      <c r="AH148" s="107">
        <f>$I148+(($E148-1)/12)</f>
        <v>2018</v>
      </c>
      <c r="AI148" s="108">
        <f>$R$4+($R$3/12)</f>
        <v>2016.5</v>
      </c>
      <c r="AJ148" s="108">
        <f>$J148+(($K148-1)/12)</f>
        <v>-8.3333333333333329E-2</v>
      </c>
      <c r="AK148" s="108">
        <f>$I148+(($E148-1)/12)</f>
        <v>2018</v>
      </c>
      <c r="AL148" s="108">
        <f>$R$4+($R$3/12)</f>
        <v>2016.5</v>
      </c>
      <c r="AM148" s="108">
        <f>$J148+(($K148-1)/12)</f>
        <v>-8.3333333333333329E-2</v>
      </c>
    </row>
    <row r="149" spans="1:39" x14ac:dyDescent="0.25">
      <c r="A149">
        <v>174</v>
      </c>
      <c r="B149" t="s">
        <v>757</v>
      </c>
      <c r="C149" t="s">
        <v>784</v>
      </c>
      <c r="D149" s="34">
        <v>2013</v>
      </c>
      <c r="E149" s="34">
        <v>2</v>
      </c>
      <c r="F149" s="75"/>
      <c r="G149" s="34" t="s">
        <v>433</v>
      </c>
      <c r="H149" s="34">
        <v>5</v>
      </c>
      <c r="I149">
        <f>+D149+H149</f>
        <v>2018</v>
      </c>
      <c r="L149" s="53" t="s">
        <v>788</v>
      </c>
      <c r="M149" s="53" t="s">
        <v>788</v>
      </c>
      <c r="N149" s="53" t="s">
        <v>788</v>
      </c>
      <c r="O149" s="53" t="s">
        <v>788</v>
      </c>
      <c r="P149" s="32">
        <v>651.53</v>
      </c>
      <c r="Q149" s="32"/>
      <c r="R149" s="32">
        <f>+P149-P149*F149</f>
        <v>651.53</v>
      </c>
      <c r="S149" s="107">
        <f>R149/H149/12</f>
        <v>10.858833333333331</v>
      </c>
      <c r="T149" s="107">
        <f>IF(Q149&gt;0,0,IF((OR((AF149&gt;AG149),(AH149&lt;AI149))),0,IF((AND((AH149&gt;=AI149),(AH149&lt;=AG149))),S149*((AH149-AI149)*12),IF((AND((AI149&lt;=AF149),(AG149&gt;=AF149))),((AG149-AF149)*12)*S149,IF(AH149&gt;AG149,12*S149,0)))))</f>
        <v>130.30599999999998</v>
      </c>
      <c r="U149" s="107">
        <f>IF(Q149=0,0,IF((AND((AJ149&gt;=AI149),(AJ149&lt;=AH149))),((AJ149-AI149)*12)*S149,0))</f>
        <v>0</v>
      </c>
      <c r="V149" s="107">
        <f>IF(U149&gt;0,U149,T149)</f>
        <v>130.30599999999998</v>
      </c>
      <c r="W149" s="105">
        <v>1</v>
      </c>
      <c r="X149" s="107">
        <f>W149*SUM(T149:U149)</f>
        <v>130.30599999999998</v>
      </c>
      <c r="Y149" s="105"/>
      <c r="Z149" s="107">
        <f>IF(AF149&gt;AG149,0,IF(AH149&lt;AI149,R149,IF((AND((AH149&gt;=AI149),(AH149&lt;=AG149))),(R149-V149),IF((AND((AI149&lt;=AF149),(AG149&gt;=AF149))),0,IF(AH149&gt;AG149,((AI149-AF149)*12)*S149,0)))))</f>
        <v>445.21216666667647</v>
      </c>
      <c r="AA149" s="107">
        <f>Z149*W149</f>
        <v>445.21216666667647</v>
      </c>
      <c r="AB149" s="105">
        <v>1</v>
      </c>
      <c r="AC149" s="107">
        <f>AA149*AB149</f>
        <v>445.21216666667647</v>
      </c>
      <c r="AD149" s="107">
        <f>IF(Q149&gt;0,0,AC149+X149*AB149)*AB149</f>
        <v>575.51816666667651</v>
      </c>
      <c r="AE149" s="107">
        <f>IF(Q149&gt;0,(P149-AC149)/2,IF(AF149&gt;=AI149,(((P149*W149)*AB149)-AD149)/2,((((P149*W149)*AB149)-AC149)+(((P149*W149)*AB149)-AD149))/2))</f>
        <v>141.16483333332349</v>
      </c>
      <c r="AF149" s="107">
        <f>$D149+(($E149-1)/12)</f>
        <v>2013.0833333333333</v>
      </c>
      <c r="AG149" s="107">
        <f>($R$5+1)-($R$2/12)</f>
        <v>2017.5</v>
      </c>
      <c r="AH149" s="107">
        <f>$I149+(($E149-1)/12)</f>
        <v>2018.0833333333333</v>
      </c>
      <c r="AI149" s="108">
        <f>$R$4+($R$3/12)</f>
        <v>2016.5</v>
      </c>
      <c r="AJ149" s="108">
        <f>$J149+(($K149-1)/12)</f>
        <v>-8.3333333333333329E-2</v>
      </c>
      <c r="AK149" s="108">
        <f>$I149+(($E149-1)/12)</f>
        <v>2018.0833333333333</v>
      </c>
      <c r="AL149" s="108">
        <f>$R$4+($R$3/12)</f>
        <v>2016.5</v>
      </c>
      <c r="AM149" s="108">
        <f>$J149+(($K149-1)/12)</f>
        <v>-8.3333333333333329E-2</v>
      </c>
    </row>
    <row r="150" spans="1:39" x14ac:dyDescent="0.25">
      <c r="A150">
        <v>177</v>
      </c>
      <c r="B150" t="s">
        <v>564</v>
      </c>
      <c r="C150" t="s">
        <v>784</v>
      </c>
      <c r="D150" s="34">
        <v>2013</v>
      </c>
      <c r="E150" s="34">
        <v>7</v>
      </c>
      <c r="F150" s="75"/>
      <c r="G150" s="34" t="s">
        <v>433</v>
      </c>
      <c r="H150" s="34">
        <v>7</v>
      </c>
      <c r="I150">
        <f>+D150+H150</f>
        <v>2020</v>
      </c>
      <c r="L150" s="53" t="s">
        <v>788</v>
      </c>
      <c r="M150" s="53" t="s">
        <v>788</v>
      </c>
      <c r="N150" s="53" t="s">
        <v>788</v>
      </c>
      <c r="O150" s="53" t="s">
        <v>788</v>
      </c>
      <c r="P150" s="32">
        <v>32552.52</v>
      </c>
      <c r="Q150" s="32"/>
      <c r="R150" s="32">
        <f>+P150-P150*F150</f>
        <v>32552.52</v>
      </c>
      <c r="S150" s="107">
        <f>R150/H150/12</f>
        <v>387.53</v>
      </c>
      <c r="T150" s="107">
        <f>IF(Q150&gt;0,0,IF((OR((AF150&gt;AG150),(AH150&lt;AI150))),0,IF((AND((AH150&gt;=AI150),(AH150&lt;=AG150))),S150*((AH150-AI150)*12),IF((AND((AI150&lt;=AF150),(AG150&gt;=AF150))),((AG150-AF150)*12)*S150,IF(AH150&gt;AG150,12*S150,0)))))</f>
        <v>4650.3599999999997</v>
      </c>
      <c r="U150" s="107">
        <f>IF(Q150=0,0,IF((AND((AJ150&gt;=AI150),(AJ150&lt;=AH150))),((AJ150-AI150)*12)*S150,0))</f>
        <v>0</v>
      </c>
      <c r="V150" s="107">
        <f>IF(U150&gt;0,U150,T150)</f>
        <v>4650.3599999999997</v>
      </c>
      <c r="W150" s="105">
        <v>1</v>
      </c>
      <c r="X150" s="107">
        <f>W150*SUM(T150:U150)</f>
        <v>4650.3599999999997</v>
      </c>
      <c r="Y150" s="105"/>
      <c r="Z150" s="107">
        <f>IF(AF150&gt;AG150,0,IF(AH150&lt;AI150,R150,IF((AND((AH150&gt;=AI150),(AH150&lt;=AG150))),(R150-V150),IF((AND((AI150&lt;=AF150),(AG150&gt;=AF150))),0,IF(AH150&gt;AG150,((AI150-AF150)*12)*S150,0)))))</f>
        <v>13951.079999999998</v>
      </c>
      <c r="AA150" s="107">
        <f>Z150*W150</f>
        <v>13951.079999999998</v>
      </c>
      <c r="AB150" s="105">
        <v>1</v>
      </c>
      <c r="AC150" s="107">
        <f>AA150*AB150</f>
        <v>13951.079999999998</v>
      </c>
      <c r="AD150" s="107">
        <f>IF(Q150&gt;0,0,AC150+X150*AB150)*AB150</f>
        <v>18601.439999999999</v>
      </c>
      <c r="AE150" s="107">
        <f>IF(Q150&gt;0,(P150-AC150)/2,IF(AF150&gt;=AI150,(((P150*W150)*AB150)-AD150)/2,((((P150*W150)*AB150)-AC150)+(((P150*W150)*AB150)-AD150))/2))</f>
        <v>16276.260000000002</v>
      </c>
      <c r="AF150" s="107">
        <f>$D150+(($E150-1)/12)</f>
        <v>2013.5</v>
      </c>
      <c r="AG150" s="107">
        <f>($R$5+1)-($R$2/12)</f>
        <v>2017.5</v>
      </c>
      <c r="AH150" s="107">
        <f>$I150+(($E150-1)/12)</f>
        <v>2020.5</v>
      </c>
      <c r="AI150" s="108">
        <f>$R$4+($R$3/12)</f>
        <v>2016.5</v>
      </c>
      <c r="AJ150" s="108">
        <f>$J150+(($K150-1)/12)</f>
        <v>-8.3333333333333329E-2</v>
      </c>
      <c r="AK150" s="108">
        <f>$I150+(($E150-1)/12)</f>
        <v>2020.5</v>
      </c>
      <c r="AL150" s="108">
        <f>$R$4+($R$3/12)</f>
        <v>2016.5</v>
      </c>
      <c r="AM150" s="108">
        <f>$J150+(($K150-1)/12)</f>
        <v>-8.3333333333333329E-2</v>
      </c>
    </row>
    <row r="151" spans="1:39" x14ac:dyDescent="0.25">
      <c r="A151">
        <v>183</v>
      </c>
      <c r="B151" t="s">
        <v>567</v>
      </c>
      <c r="C151" t="s">
        <v>784</v>
      </c>
      <c r="D151" s="34">
        <v>2013</v>
      </c>
      <c r="E151" s="34">
        <v>7</v>
      </c>
      <c r="F151" s="75"/>
      <c r="G151" s="34" t="s">
        <v>433</v>
      </c>
      <c r="H151" s="34">
        <v>5</v>
      </c>
      <c r="I151">
        <f>+D151+H151</f>
        <v>2018</v>
      </c>
      <c r="L151" s="53" t="s">
        <v>788</v>
      </c>
      <c r="M151" s="53" t="s">
        <v>788</v>
      </c>
      <c r="N151" s="53" t="s">
        <v>788</v>
      </c>
      <c r="O151" s="53" t="s">
        <v>788</v>
      </c>
      <c r="P151" s="32">
        <v>2411.5700000000002</v>
      </c>
      <c r="Q151" s="32"/>
      <c r="R151" s="32">
        <f>+P151-P151*F151</f>
        <v>2411.5700000000002</v>
      </c>
      <c r="S151" s="107">
        <f>R151/H151/12</f>
        <v>40.192833333333333</v>
      </c>
      <c r="T151" s="107">
        <f>IF(Q151&gt;0,0,IF((OR((AF151&gt;AG151),(AH151&lt;AI151))),0,IF((AND((AH151&gt;=AI151),(AH151&lt;=AG151))),S151*((AH151-AI151)*12),IF((AND((AI151&lt;=AF151),(AG151&gt;=AF151))),((AG151-AF151)*12)*S151,IF(AH151&gt;AG151,12*S151,0)))))</f>
        <v>482.31399999999996</v>
      </c>
      <c r="U151" s="107">
        <f>IF(Q151=0,0,IF((AND((AJ151&gt;=AI151),(AJ151&lt;=AH151))),((AJ151-AI151)*12)*S151,0))</f>
        <v>0</v>
      </c>
      <c r="V151" s="107">
        <f>IF(U151&gt;0,U151,T151)</f>
        <v>482.31399999999996</v>
      </c>
      <c r="W151" s="105">
        <v>1</v>
      </c>
      <c r="X151" s="107">
        <f>W151*SUM(T151:U151)</f>
        <v>482.31399999999996</v>
      </c>
      <c r="Y151" s="105"/>
      <c r="Z151" s="107">
        <f>IF(AF151&gt;AG151,0,IF(AH151&lt;AI151,R151,IF((AND((AH151&gt;=AI151),(AH151&lt;=AG151))),(R151-V151),IF((AND((AI151&lt;=AF151),(AG151&gt;=AF151))),0,IF(AH151&gt;AG151,((AI151-AF151)*12)*S151,0)))))</f>
        <v>1446.942</v>
      </c>
      <c r="AA151" s="107">
        <f>Z151*W151</f>
        <v>1446.942</v>
      </c>
      <c r="AB151" s="105">
        <v>1</v>
      </c>
      <c r="AC151" s="107">
        <f>AA151*AB151</f>
        <v>1446.942</v>
      </c>
      <c r="AD151" s="107">
        <f>IF(Q151&gt;0,0,AC151+X151*AB151)*AB151</f>
        <v>1929.2559999999999</v>
      </c>
      <c r="AE151" s="107">
        <f>IF(Q151&gt;0,(P151-AC151)/2,IF(AF151&gt;=AI151,(((P151*W151)*AB151)-AD151)/2,((((P151*W151)*AB151)-AC151)+(((P151*W151)*AB151)-AD151))/2))</f>
        <v>723.47100000000023</v>
      </c>
      <c r="AF151" s="107">
        <f>$D151+(($E151-1)/12)</f>
        <v>2013.5</v>
      </c>
      <c r="AG151" s="107">
        <f>($R$5+1)-($R$2/12)</f>
        <v>2017.5</v>
      </c>
      <c r="AH151" s="107">
        <f>$I151+(($E151-1)/12)</f>
        <v>2018.5</v>
      </c>
      <c r="AI151" s="108">
        <f>$R$4+($R$3/12)</f>
        <v>2016.5</v>
      </c>
      <c r="AJ151" s="108">
        <f>$J151+(($K151-1)/12)</f>
        <v>-8.3333333333333329E-2</v>
      </c>
      <c r="AK151" s="108">
        <f>$I151+(($E151-1)/12)</f>
        <v>2018.5</v>
      </c>
      <c r="AL151" s="108">
        <f>$R$4+($R$3/12)</f>
        <v>2016.5</v>
      </c>
      <c r="AM151" s="108">
        <f>$J151+(($K151-1)/12)</f>
        <v>-8.3333333333333329E-2</v>
      </c>
    </row>
    <row r="152" spans="1:39" x14ac:dyDescent="0.25">
      <c r="A152">
        <v>184</v>
      </c>
      <c r="B152" t="s">
        <v>568</v>
      </c>
      <c r="C152" t="s">
        <v>784</v>
      </c>
      <c r="D152" s="34">
        <v>2013</v>
      </c>
      <c r="E152" s="34">
        <v>6</v>
      </c>
      <c r="F152" s="75"/>
      <c r="G152" s="34" t="s">
        <v>433</v>
      </c>
      <c r="H152" s="34">
        <v>5</v>
      </c>
      <c r="I152">
        <f>+D152+H152</f>
        <v>2018</v>
      </c>
      <c r="L152" s="53" t="s">
        <v>788</v>
      </c>
      <c r="M152" s="53" t="s">
        <v>788</v>
      </c>
      <c r="N152" s="53" t="s">
        <v>788</v>
      </c>
      <c r="O152" s="53" t="s">
        <v>788</v>
      </c>
      <c r="P152" s="110">
        <v>1788.5</v>
      </c>
      <c r="Q152" s="110"/>
      <c r="R152" s="110">
        <f>+P152-P152*F152</f>
        <v>1788.5</v>
      </c>
      <c r="S152" s="111">
        <f>R152/H152/12</f>
        <v>29.808333333333334</v>
      </c>
      <c r="T152" s="111">
        <f>IF(Q152&gt;0,0,IF((OR((AF152&gt;AG152),(AH152&lt;AI152))),0,IF((AND((AH152&gt;=AI152),(AH152&lt;=AG152))),S152*((AH152-AI152)*12),IF((AND((AI152&lt;=AF152),(AG152&gt;=AF152))),((AG152-AF152)*12)*S152,IF(AH152&gt;AG152,12*S152,0)))))</f>
        <v>357.7</v>
      </c>
      <c r="U152" s="111">
        <f>IF(Q152=0,0,IF((AND((AJ152&gt;=AI152),(AJ152&lt;=AH152))),((AJ152-AI152)*12)*S152,0))</f>
        <v>0</v>
      </c>
      <c r="V152" s="111">
        <f>IF(U152&gt;0,U152,T152)</f>
        <v>357.7</v>
      </c>
      <c r="W152" s="112">
        <v>1</v>
      </c>
      <c r="X152" s="111">
        <f>W152*SUM(T152:U152)</f>
        <v>357.7</v>
      </c>
      <c r="Y152" s="112"/>
      <c r="Z152" s="111">
        <f>IF(AF152&gt;AG152,0,IF(AH152&lt;AI152,R152,IF((AND((AH152&gt;=AI152),(AH152&lt;=AG152))),(R152-V152),IF((AND((AI152&lt;=AF152),(AG152&gt;=AF152))),0,IF(AH152&gt;AG152,((AI152-AF152)*12)*S152,0)))))</f>
        <v>1102.9083333333062</v>
      </c>
      <c r="AA152" s="111">
        <f>Z152*W152</f>
        <v>1102.9083333333062</v>
      </c>
      <c r="AB152" s="112">
        <v>1</v>
      </c>
      <c r="AC152" s="111">
        <f>AA152*AB152</f>
        <v>1102.9083333333062</v>
      </c>
      <c r="AD152" s="111">
        <f>IF(Q152&gt;0,0,AC152+X152*AB152)*AB152</f>
        <v>1460.6083333333063</v>
      </c>
      <c r="AE152" s="111">
        <f>IF(Q152&gt;0,(P152-AC152)/2,IF(AF152&gt;=AI152,(((P152*W152)*AB152)-AD152)/2,((((P152*W152)*AB152)-AC152)+(((P152*W152)*AB152)-AD152))/2))</f>
        <v>506.74166666669373</v>
      </c>
      <c r="AF152" s="107">
        <f>$D152+(($E152-1)/12)</f>
        <v>2013.4166666666667</v>
      </c>
      <c r="AG152" s="107">
        <f>($R$5+1)-($R$2/12)</f>
        <v>2017.5</v>
      </c>
      <c r="AH152" s="107">
        <f>$I152+(($E152-1)/12)</f>
        <v>2018.4166666666667</v>
      </c>
      <c r="AI152" s="108">
        <f>$R$4+($R$3/12)</f>
        <v>2016.5</v>
      </c>
      <c r="AJ152" s="108">
        <f>$J152+(($K152-1)/12)</f>
        <v>-8.3333333333333329E-2</v>
      </c>
      <c r="AK152" s="108">
        <f>$I152+(($E152-1)/12)</f>
        <v>2018.4166666666667</v>
      </c>
      <c r="AL152" s="108">
        <f>$R$4+($R$3/12)</f>
        <v>2016.5</v>
      </c>
      <c r="AM152" s="108">
        <f>$J152+(($K152-1)/12)</f>
        <v>-8.3333333333333329E-2</v>
      </c>
    </row>
    <row r="153" spans="1:39" x14ac:dyDescent="0.25">
      <c r="A153">
        <v>211</v>
      </c>
      <c r="B153" t="s">
        <v>758</v>
      </c>
      <c r="C153" t="s">
        <v>784</v>
      </c>
      <c r="D153" s="34">
        <v>2014</v>
      </c>
      <c r="E153" s="34">
        <v>12</v>
      </c>
      <c r="F153" s="75"/>
      <c r="G153" s="34" t="s">
        <v>433</v>
      </c>
      <c r="H153" s="34">
        <v>20</v>
      </c>
      <c r="I153">
        <f>+D153+H153</f>
        <v>2034</v>
      </c>
      <c r="L153">
        <v>10</v>
      </c>
      <c r="M153">
        <f>+D153+L153</f>
        <v>2024</v>
      </c>
      <c r="N153" s="53" t="s">
        <v>788</v>
      </c>
      <c r="O153" s="32">
        <f>+Z153</f>
        <v>17970.833333332474</v>
      </c>
      <c r="P153" s="32">
        <v>227000</v>
      </c>
      <c r="Q153" s="32"/>
      <c r="R153" s="32">
        <f>+P153-P153*F153</f>
        <v>227000</v>
      </c>
      <c r="S153" s="107">
        <f>R153/H153/12</f>
        <v>945.83333333333337</v>
      </c>
      <c r="T153" s="107">
        <f>(P153-O153)/7</f>
        <v>29861.309523809647</v>
      </c>
      <c r="U153" s="107">
        <f>IF(Q153=0,0,IF((AND((AJ153&gt;=AI153),(AJ153&lt;=AH153))),((AJ153-AI153)*12)*S153,0))</f>
        <v>0</v>
      </c>
      <c r="V153" s="107">
        <f>IF(U153&gt;0,U153,T153)</f>
        <v>29861.309523809647</v>
      </c>
      <c r="W153" s="105">
        <v>1</v>
      </c>
      <c r="X153" s="107">
        <f>W153*SUM(T153:U153)</f>
        <v>29861.309523809647</v>
      </c>
      <c r="Y153" s="105"/>
      <c r="Z153" s="107">
        <f>IF(AF153&gt;AG153,0,IF(AH153&lt;AI153,R153,IF((AND((AH153&gt;=AI153),(AH153&lt;=AG153))),(R153-V153),IF((AND((AI153&lt;=AF153),(AG153&gt;=AF153))),0,IF(AH153&gt;AG153,((AI153-AF153)*12)*S153,0)))))</f>
        <v>17970.833333332474</v>
      </c>
      <c r="AA153" s="107">
        <f>Z153*W153</f>
        <v>17970.833333332474</v>
      </c>
      <c r="AB153" s="105">
        <v>1</v>
      </c>
      <c r="AC153" s="107">
        <f>AA153*AB153</f>
        <v>17970.833333332474</v>
      </c>
      <c r="AD153" s="107">
        <f>IF(Q153&gt;0,0,AC153+X153*AB153)*AB153</f>
        <v>47832.14285714212</v>
      </c>
      <c r="AE153" s="107">
        <f>IF(Q153&gt;0,(P153-AC153)/2,IF(AF153&gt;=AI153,(((P153*W153)*AB153)-AD153)/2,((((P153*W153)*AB153)-AC153)+(((P153*W153)*AB153)-AD153))/2))</f>
        <v>194098.51190476271</v>
      </c>
      <c r="AF153" s="107">
        <f>$D153+(($E153-1)/12)</f>
        <v>2014.9166666666667</v>
      </c>
      <c r="AG153" s="107">
        <f>($R$5+1)-($R$2/12)</f>
        <v>2017.5</v>
      </c>
      <c r="AH153" s="107">
        <f>$I153+(($E153-1)/12)</f>
        <v>2034.9166666666667</v>
      </c>
      <c r="AI153" s="108">
        <f>$R$4+($R$3/12)</f>
        <v>2016.5</v>
      </c>
      <c r="AJ153" s="108">
        <f>$J153+(($K153-1)/12)</f>
        <v>-8.3333333333333329E-2</v>
      </c>
      <c r="AK153" s="108">
        <f>$I153+(($E153-1)/12)</f>
        <v>2034.9166666666667</v>
      </c>
      <c r="AL153" s="108">
        <f>$R$4+($R$3/12)</f>
        <v>2016.5</v>
      </c>
      <c r="AM153" s="108">
        <f>$J153+(($K153-1)/12)</f>
        <v>-8.3333333333333329E-2</v>
      </c>
    </row>
    <row r="154" spans="1:39" x14ac:dyDescent="0.25">
      <c r="A154">
        <v>212</v>
      </c>
      <c r="B154" t="s">
        <v>592</v>
      </c>
      <c r="C154" t="s">
        <v>784</v>
      </c>
      <c r="D154" s="34">
        <v>2014</v>
      </c>
      <c r="E154" s="34">
        <v>12</v>
      </c>
      <c r="F154" s="75"/>
      <c r="G154" s="34" t="s">
        <v>433</v>
      </c>
      <c r="H154" s="34">
        <v>20</v>
      </c>
      <c r="I154">
        <f>+D154+H154</f>
        <v>2034</v>
      </c>
      <c r="L154">
        <v>10</v>
      </c>
      <c r="M154">
        <f t="shared" ref="M154:M159" si="42">+D154+L154</f>
        <v>2024</v>
      </c>
      <c r="N154" s="53" t="s">
        <v>788</v>
      </c>
      <c r="O154" s="32">
        <f t="shared" ref="O154:O159" si="43">+Z154</f>
        <v>5669.4384999997292</v>
      </c>
      <c r="P154" s="32">
        <v>71613.960000000006</v>
      </c>
      <c r="Q154" s="32"/>
      <c r="R154" s="32">
        <f>+P154-P154*F154</f>
        <v>71613.960000000006</v>
      </c>
      <c r="S154" s="107">
        <f>R154/H154/12</f>
        <v>298.39150000000001</v>
      </c>
      <c r="T154" s="107">
        <f t="shared" ref="T154:T159" si="44">(P154-O154)/7</f>
        <v>9420.6459285714682</v>
      </c>
      <c r="U154" s="107">
        <f>IF(Q154=0,0,IF((AND((AJ154&gt;=AI154),(AJ154&lt;=AH154))),((AJ154-AI154)*12)*S154,0))</f>
        <v>0</v>
      </c>
      <c r="V154" s="107">
        <f>IF(U154&gt;0,U154,T154)</f>
        <v>9420.6459285714682</v>
      </c>
      <c r="W154" s="105">
        <v>1</v>
      </c>
      <c r="X154" s="107">
        <f>W154*SUM(T154:U154)</f>
        <v>9420.6459285714682</v>
      </c>
      <c r="Y154" s="105"/>
      <c r="Z154" s="107">
        <f>IF(AF154&gt;AG154,0,IF(AH154&lt;AI154,R154,IF((AND((AH154&gt;=AI154),(AH154&lt;=AG154))),(R154-V154),IF((AND((AI154&lt;=AF154),(AG154&gt;=AF154))),0,IF(AH154&gt;AG154,((AI154-AF154)*12)*S154,0)))))</f>
        <v>5669.4384999997292</v>
      </c>
      <c r="AA154" s="107">
        <f>Z154*W154</f>
        <v>5669.4384999997292</v>
      </c>
      <c r="AB154" s="105">
        <v>1</v>
      </c>
      <c r="AC154" s="107">
        <f>AA154*AB154</f>
        <v>5669.4384999997292</v>
      </c>
      <c r="AD154" s="107">
        <f>IF(Q154&gt;0,0,AC154+X154*AB154)*AB154</f>
        <v>15090.084428571197</v>
      </c>
      <c r="AE154" s="107">
        <f>IF(Q154&gt;0,(P154-AC154)/2,IF(AF154&gt;=AI154,(((P154*W154)*AB154)-AD154)/2,((((P154*W154)*AB154)-AC154)+(((P154*W154)*AB154)-AD154))/2))</f>
        <v>61234.198535714546</v>
      </c>
      <c r="AF154" s="107">
        <f>$D154+(($E154-1)/12)</f>
        <v>2014.9166666666667</v>
      </c>
      <c r="AG154" s="107">
        <f>($R$5+1)-($R$2/12)</f>
        <v>2017.5</v>
      </c>
      <c r="AH154" s="107">
        <f>$I154+(($E154-1)/12)</f>
        <v>2034.9166666666667</v>
      </c>
      <c r="AI154" s="108">
        <f>$R$4+($R$3/12)</f>
        <v>2016.5</v>
      </c>
      <c r="AJ154" s="108">
        <f>$J154+(($K154-1)/12)</f>
        <v>-8.3333333333333329E-2</v>
      </c>
      <c r="AK154" s="108">
        <f>$I154+(($E154-1)/12)</f>
        <v>2034.9166666666667</v>
      </c>
      <c r="AL154" s="108">
        <f>$R$4+($R$3/12)</f>
        <v>2016.5</v>
      </c>
      <c r="AM154" s="108">
        <f>$J154+(($K154-1)/12)</f>
        <v>-8.3333333333333329E-2</v>
      </c>
    </row>
    <row r="155" spans="1:39" x14ac:dyDescent="0.25">
      <c r="A155">
        <v>213</v>
      </c>
      <c r="B155" t="s">
        <v>593</v>
      </c>
      <c r="C155" t="s">
        <v>784</v>
      </c>
      <c r="D155" s="34">
        <v>2014</v>
      </c>
      <c r="E155" s="34">
        <v>12</v>
      </c>
      <c r="F155" s="75"/>
      <c r="G155" s="34" t="s">
        <v>433</v>
      </c>
      <c r="H155" s="34">
        <v>20</v>
      </c>
      <c r="I155">
        <f>+D155+H155</f>
        <v>2034</v>
      </c>
      <c r="L155">
        <v>10</v>
      </c>
      <c r="M155">
        <f t="shared" si="42"/>
        <v>2024</v>
      </c>
      <c r="N155" s="53" t="s">
        <v>788</v>
      </c>
      <c r="O155" s="32">
        <f t="shared" si="43"/>
        <v>1509.5499999999279</v>
      </c>
      <c r="P155" s="32">
        <v>19068</v>
      </c>
      <c r="Q155" s="32"/>
      <c r="R155" s="32">
        <f>+P155-P155*F155</f>
        <v>19068</v>
      </c>
      <c r="S155" s="107">
        <f>R155/H155/12</f>
        <v>79.45</v>
      </c>
      <c r="T155" s="107">
        <f t="shared" si="44"/>
        <v>2508.3500000000104</v>
      </c>
      <c r="U155" s="107">
        <f>IF(Q155=0,0,IF((AND((AJ155&gt;=AI155),(AJ155&lt;=AH155))),((AJ155-AI155)*12)*S155,0))</f>
        <v>0</v>
      </c>
      <c r="V155" s="107">
        <f>IF(U155&gt;0,U155,T155)</f>
        <v>2508.3500000000104</v>
      </c>
      <c r="W155" s="105">
        <v>1</v>
      </c>
      <c r="X155" s="107">
        <f>W155*SUM(T155:U155)</f>
        <v>2508.3500000000104</v>
      </c>
      <c r="Y155" s="105"/>
      <c r="Z155" s="107">
        <f>IF(AF155&gt;AG155,0,IF(AH155&lt;AI155,R155,IF((AND((AH155&gt;=AI155),(AH155&lt;=AG155))),(R155-V155),IF((AND((AI155&lt;=AF155),(AG155&gt;=AF155))),0,IF(AH155&gt;AG155,((AI155-AF155)*12)*S155,0)))))</f>
        <v>1509.5499999999279</v>
      </c>
      <c r="AA155" s="107">
        <f>Z155*W155</f>
        <v>1509.5499999999279</v>
      </c>
      <c r="AB155" s="105">
        <v>1</v>
      </c>
      <c r="AC155" s="107">
        <f>AA155*AB155</f>
        <v>1509.5499999999279</v>
      </c>
      <c r="AD155" s="107">
        <f>IF(Q155&gt;0,0,AC155+X155*AB155)*AB155</f>
        <v>4017.8999999999382</v>
      </c>
      <c r="AE155" s="107">
        <f>IF(Q155&gt;0,(P155-AC155)/2,IF(AF155&gt;=AI155,(((P155*W155)*AB155)-AD155)/2,((((P155*W155)*AB155)-AC155)+(((P155*W155)*AB155)-AD155))/2))</f>
        <v>16304.275000000067</v>
      </c>
      <c r="AF155" s="107">
        <f>$D155+(($E155-1)/12)</f>
        <v>2014.9166666666667</v>
      </c>
      <c r="AG155" s="107">
        <f>($R$5+1)-($R$2/12)</f>
        <v>2017.5</v>
      </c>
      <c r="AH155" s="107">
        <f>$I155+(($E155-1)/12)</f>
        <v>2034.9166666666667</v>
      </c>
      <c r="AI155" s="108">
        <f>$R$4+($R$3/12)</f>
        <v>2016.5</v>
      </c>
      <c r="AJ155" s="108">
        <f>$J155+(($K155-1)/12)</f>
        <v>-8.3333333333333329E-2</v>
      </c>
      <c r="AK155" s="108">
        <f>$I155+(($E155-1)/12)</f>
        <v>2034.9166666666667</v>
      </c>
      <c r="AL155" s="108">
        <f>$R$4+($R$3/12)</f>
        <v>2016.5</v>
      </c>
      <c r="AM155" s="108">
        <f>$J155+(($K155-1)/12)</f>
        <v>-8.3333333333333329E-2</v>
      </c>
    </row>
    <row r="156" spans="1:39" x14ac:dyDescent="0.25">
      <c r="A156">
        <v>214</v>
      </c>
      <c r="B156" t="s">
        <v>594</v>
      </c>
      <c r="C156" t="s">
        <v>784</v>
      </c>
      <c r="D156" s="34">
        <v>2014</v>
      </c>
      <c r="E156" s="34">
        <v>12</v>
      </c>
      <c r="F156" s="75"/>
      <c r="G156" s="34" t="s">
        <v>433</v>
      </c>
      <c r="H156" s="34">
        <v>20</v>
      </c>
      <c r="I156">
        <f>+D156+H156</f>
        <v>2034</v>
      </c>
      <c r="L156">
        <v>10</v>
      </c>
      <c r="M156">
        <f t="shared" si="42"/>
        <v>2024</v>
      </c>
      <c r="N156" s="53" t="s">
        <v>788</v>
      </c>
      <c r="O156" s="32">
        <f t="shared" si="43"/>
        <v>21612.499999998967</v>
      </c>
      <c r="P156" s="32">
        <v>273000</v>
      </c>
      <c r="Q156" s="32"/>
      <c r="R156" s="32">
        <f>+P156-P156*F156</f>
        <v>273000</v>
      </c>
      <c r="S156" s="107">
        <f>R156/H156/12</f>
        <v>1137.5</v>
      </c>
      <c r="T156" s="107">
        <f t="shared" si="44"/>
        <v>35912.500000000153</v>
      </c>
      <c r="U156" s="107">
        <f>IF(Q156=0,0,IF((AND((AJ156&gt;=AI156),(AJ156&lt;=AH156))),((AJ156-AI156)*12)*S156,0))</f>
        <v>0</v>
      </c>
      <c r="V156" s="107">
        <f>IF(U156&gt;0,U156,T156)</f>
        <v>35912.500000000153</v>
      </c>
      <c r="W156" s="105">
        <v>1</v>
      </c>
      <c r="X156" s="107">
        <f>W156*SUM(T156:U156)</f>
        <v>35912.500000000153</v>
      </c>
      <c r="Y156" s="105"/>
      <c r="Z156" s="107">
        <f>IF(AF156&gt;AG156,0,IF(AH156&lt;AI156,R156,IF((AND((AH156&gt;=AI156),(AH156&lt;=AG156))),(R156-V156),IF((AND((AI156&lt;=AF156),(AG156&gt;=AF156))),0,IF(AH156&gt;AG156,((AI156-AF156)*12)*S156,0)))))</f>
        <v>21612.499999998967</v>
      </c>
      <c r="AA156" s="107">
        <f>Z156*W156</f>
        <v>21612.499999998967</v>
      </c>
      <c r="AB156" s="105">
        <v>1</v>
      </c>
      <c r="AC156" s="107">
        <f>AA156*AB156</f>
        <v>21612.499999998967</v>
      </c>
      <c r="AD156" s="107">
        <f>IF(Q156&gt;0,0,AC156+X156*AB156)*AB156</f>
        <v>57524.99999999912</v>
      </c>
      <c r="AE156" s="107">
        <f>IF(Q156&gt;0,(P156-AC156)/2,IF(AF156&gt;=AI156,(((P156*W156)*AB156)-AD156)/2,((((P156*W156)*AB156)-AC156)+(((P156*W156)*AB156)-AD156))/2))</f>
        <v>233431.25000000096</v>
      </c>
      <c r="AF156" s="107">
        <f>$D156+(($E156-1)/12)</f>
        <v>2014.9166666666667</v>
      </c>
      <c r="AG156" s="107">
        <f>($R$5+1)-($R$2/12)</f>
        <v>2017.5</v>
      </c>
      <c r="AH156" s="107">
        <f>$I156+(($E156-1)/12)</f>
        <v>2034.9166666666667</v>
      </c>
      <c r="AI156" s="108">
        <f>$R$4+($R$3/12)</f>
        <v>2016.5</v>
      </c>
      <c r="AJ156" s="108">
        <f>$J156+(($K156-1)/12)</f>
        <v>-8.3333333333333329E-2</v>
      </c>
      <c r="AK156" s="108">
        <f>$I156+(($E156-1)/12)</f>
        <v>2034.9166666666667</v>
      </c>
      <c r="AL156" s="108">
        <f>$R$4+($R$3/12)</f>
        <v>2016.5</v>
      </c>
      <c r="AM156" s="108">
        <f>$J156+(($K156-1)/12)</f>
        <v>-8.3333333333333329E-2</v>
      </c>
    </row>
    <row r="157" spans="1:39" x14ac:dyDescent="0.25">
      <c r="A157">
        <v>215</v>
      </c>
      <c r="B157" t="s">
        <v>759</v>
      </c>
      <c r="C157" t="s">
        <v>784</v>
      </c>
      <c r="D157" s="34">
        <v>2014</v>
      </c>
      <c r="E157" s="34">
        <v>12</v>
      </c>
      <c r="F157" s="75"/>
      <c r="G157" s="34" t="s">
        <v>433</v>
      </c>
      <c r="H157" s="34">
        <v>20</v>
      </c>
      <c r="I157">
        <f>+D157+H157</f>
        <v>2034</v>
      </c>
      <c r="L157">
        <v>10</v>
      </c>
      <c r="M157">
        <f t="shared" si="42"/>
        <v>2024</v>
      </c>
      <c r="N157" s="53" t="s">
        <v>788</v>
      </c>
      <c r="O157" s="32">
        <f t="shared" si="43"/>
        <v>6818.3114999996733</v>
      </c>
      <c r="P157" s="32">
        <v>86126.04</v>
      </c>
      <c r="Q157" s="32"/>
      <c r="R157" s="32">
        <f>+P157-P157*F157</f>
        <v>86126.04</v>
      </c>
      <c r="S157" s="107">
        <f>R157/H157/12</f>
        <v>358.85849999999999</v>
      </c>
      <c r="T157" s="107">
        <f t="shared" si="44"/>
        <v>11329.675500000045</v>
      </c>
      <c r="U157" s="107">
        <f>IF(Q157=0,0,IF((AND((AJ157&gt;=AI157),(AJ157&lt;=AH157))),((AJ157-AI157)*12)*S157,0))</f>
        <v>0</v>
      </c>
      <c r="V157" s="107">
        <f>IF(U157&gt;0,U157,T157)</f>
        <v>11329.675500000045</v>
      </c>
      <c r="W157" s="105">
        <v>1</v>
      </c>
      <c r="X157" s="107">
        <f>W157*SUM(T157:U157)</f>
        <v>11329.675500000045</v>
      </c>
      <c r="Y157" s="105"/>
      <c r="Z157" s="107">
        <f>IF(AF157&gt;AG157,0,IF(AH157&lt;AI157,R157,IF((AND((AH157&gt;=AI157),(AH157&lt;=AG157))),(R157-V157),IF((AND((AI157&lt;=AF157),(AG157&gt;=AF157))),0,IF(AH157&gt;AG157,((AI157-AF157)*12)*S157,0)))))</f>
        <v>6818.3114999996733</v>
      </c>
      <c r="AA157" s="107">
        <f>Z157*W157</f>
        <v>6818.3114999996733</v>
      </c>
      <c r="AB157" s="105">
        <v>1</v>
      </c>
      <c r="AC157" s="107">
        <f>AA157*AB157</f>
        <v>6818.3114999996733</v>
      </c>
      <c r="AD157" s="107">
        <f>IF(Q157&gt;0,0,AC157+X157*AB157)*AB157</f>
        <v>18147.986999999717</v>
      </c>
      <c r="AE157" s="107">
        <f>IF(Q157&gt;0,(P157-AC157)/2,IF(AF157&gt;=AI157,(((P157*W157)*AB157)-AD157)/2,((((P157*W157)*AB157)-AC157)+(((P157*W157)*AB157)-AD157))/2))</f>
        <v>73642.890750000297</v>
      </c>
      <c r="AF157" s="107">
        <f>$D157+(($E157-1)/12)</f>
        <v>2014.9166666666667</v>
      </c>
      <c r="AG157" s="107">
        <f>($R$5+1)-($R$2/12)</f>
        <v>2017.5</v>
      </c>
      <c r="AH157" s="107">
        <f>$I157+(($E157-1)/12)</f>
        <v>2034.9166666666667</v>
      </c>
      <c r="AI157" s="108">
        <f>$R$4+($R$3/12)</f>
        <v>2016.5</v>
      </c>
      <c r="AJ157" s="108">
        <f>$J157+(($K157-1)/12)</f>
        <v>-8.3333333333333329E-2</v>
      </c>
      <c r="AK157" s="108">
        <f>$I157+(($E157-1)/12)</f>
        <v>2034.9166666666667</v>
      </c>
      <c r="AL157" s="108">
        <f>$R$4+($R$3/12)</f>
        <v>2016.5</v>
      </c>
      <c r="AM157" s="108">
        <f>$J157+(($K157-1)/12)</f>
        <v>-8.3333333333333329E-2</v>
      </c>
    </row>
    <row r="158" spans="1:39" x14ac:dyDescent="0.25">
      <c r="A158">
        <v>216</v>
      </c>
      <c r="B158" t="s">
        <v>595</v>
      </c>
      <c r="C158" t="s">
        <v>784</v>
      </c>
      <c r="D158" s="34">
        <v>2014</v>
      </c>
      <c r="E158" s="34">
        <v>12</v>
      </c>
      <c r="F158" s="75"/>
      <c r="G158" s="34" t="s">
        <v>433</v>
      </c>
      <c r="H158" s="34">
        <v>20</v>
      </c>
      <c r="I158">
        <f>+D158+H158</f>
        <v>2034</v>
      </c>
      <c r="L158">
        <v>10</v>
      </c>
      <c r="M158">
        <f t="shared" si="42"/>
        <v>2024</v>
      </c>
      <c r="N158" s="53" t="s">
        <v>788</v>
      </c>
      <c r="O158" s="32">
        <f t="shared" si="43"/>
        <v>1815.449999999913</v>
      </c>
      <c r="P158" s="32">
        <v>22932</v>
      </c>
      <c r="Q158" s="32"/>
      <c r="R158" s="32">
        <f>+P158-P158*F158</f>
        <v>22932</v>
      </c>
      <c r="S158" s="107">
        <f>R158/H158/12</f>
        <v>95.55</v>
      </c>
      <c r="T158" s="107">
        <f t="shared" si="44"/>
        <v>3016.6500000000124</v>
      </c>
      <c r="U158" s="107">
        <f>IF(Q158=0,0,IF((AND((AJ158&gt;=AI158),(AJ158&lt;=AH158))),((AJ158-AI158)*12)*S158,0))</f>
        <v>0</v>
      </c>
      <c r="V158" s="107">
        <f>IF(U158&gt;0,U158,T158)</f>
        <v>3016.6500000000124</v>
      </c>
      <c r="W158" s="105">
        <v>1</v>
      </c>
      <c r="X158" s="107">
        <f>W158*SUM(T158:U158)</f>
        <v>3016.6500000000124</v>
      </c>
      <c r="Y158" s="105"/>
      <c r="Z158" s="107">
        <f>IF(AF158&gt;AG158,0,IF(AH158&lt;AI158,R158,IF((AND((AH158&gt;=AI158),(AH158&lt;=AG158))),(R158-V158),IF((AND((AI158&lt;=AF158),(AG158&gt;=AF158))),0,IF(AH158&gt;AG158,((AI158-AF158)*12)*S158,0)))))</f>
        <v>1815.449999999913</v>
      </c>
      <c r="AA158" s="107">
        <f>Z158*W158</f>
        <v>1815.449999999913</v>
      </c>
      <c r="AB158" s="105">
        <v>1</v>
      </c>
      <c r="AC158" s="107">
        <f>AA158*AB158</f>
        <v>1815.449999999913</v>
      </c>
      <c r="AD158" s="107">
        <f>IF(Q158&gt;0,0,AC158+X158*AB158)*AB158</f>
        <v>4832.0999999999258</v>
      </c>
      <c r="AE158" s="107">
        <f>IF(Q158&gt;0,(P158-AC158)/2,IF(AF158&gt;=AI158,(((P158*W158)*AB158)-AD158)/2,((((P158*W158)*AB158)-AC158)+(((P158*W158)*AB158)-AD158))/2))</f>
        <v>19608.225000000079</v>
      </c>
      <c r="AF158" s="107">
        <f>$D158+(($E158-1)/12)</f>
        <v>2014.9166666666667</v>
      </c>
      <c r="AG158" s="107">
        <f>($R$5+1)-($R$2/12)</f>
        <v>2017.5</v>
      </c>
      <c r="AH158" s="107">
        <f>$I158+(($E158-1)/12)</f>
        <v>2034.9166666666667</v>
      </c>
      <c r="AI158" s="108">
        <f>$R$4+($R$3/12)</f>
        <v>2016.5</v>
      </c>
      <c r="AJ158" s="108">
        <f>$J158+(($K158-1)/12)</f>
        <v>-8.3333333333333329E-2</v>
      </c>
      <c r="AK158" s="108">
        <f>$I158+(($E158-1)/12)</f>
        <v>2034.9166666666667</v>
      </c>
      <c r="AL158" s="108">
        <f>$R$4+($R$3/12)</f>
        <v>2016.5</v>
      </c>
      <c r="AM158" s="108">
        <f>$J158+(($K158-1)/12)</f>
        <v>-8.3333333333333329E-2</v>
      </c>
    </row>
    <row r="159" spans="1:39" x14ac:dyDescent="0.25">
      <c r="A159">
        <v>217</v>
      </c>
      <c r="B159" t="s">
        <v>596</v>
      </c>
      <c r="C159" t="s">
        <v>784</v>
      </c>
      <c r="D159" s="34">
        <v>2014</v>
      </c>
      <c r="E159" s="34">
        <v>12</v>
      </c>
      <c r="F159" s="75"/>
      <c r="G159" s="34" t="s">
        <v>433</v>
      </c>
      <c r="H159" s="34">
        <v>20</v>
      </c>
      <c r="I159">
        <f>+D159+H159</f>
        <v>2034</v>
      </c>
      <c r="L159">
        <v>10</v>
      </c>
      <c r="M159">
        <f t="shared" si="42"/>
        <v>2024</v>
      </c>
      <c r="N159" s="53" t="s">
        <v>788</v>
      </c>
      <c r="O159" s="32">
        <f t="shared" si="43"/>
        <v>948.59004166662135</v>
      </c>
      <c r="P159" s="32">
        <v>11982.19</v>
      </c>
      <c r="Q159" s="32"/>
      <c r="R159" s="32">
        <f>+P159-P159*F159</f>
        <v>11982.19</v>
      </c>
      <c r="S159" s="107">
        <f>R159/H159/12</f>
        <v>49.925791666666669</v>
      </c>
      <c r="T159" s="107">
        <f t="shared" si="44"/>
        <v>1576.228565476197</v>
      </c>
      <c r="U159" s="107">
        <f>IF(Q159=0,0,IF((AND((AJ159&gt;=AI159),(AJ159&lt;=AH159))),((AJ159-AI159)*12)*S159,0))</f>
        <v>0</v>
      </c>
      <c r="V159" s="107">
        <f>IF(U159&gt;0,U159,T159)</f>
        <v>1576.228565476197</v>
      </c>
      <c r="W159" s="105">
        <v>1</v>
      </c>
      <c r="X159" s="107">
        <f>W159*SUM(T159:U159)</f>
        <v>1576.228565476197</v>
      </c>
      <c r="Y159" s="105"/>
      <c r="Z159" s="107">
        <f>IF(AF159&gt;AG159,0,IF(AH159&lt;AI159,R159,IF((AND((AH159&gt;=AI159),(AH159&lt;=AG159))),(R159-V159),IF((AND((AI159&lt;=AF159),(AG159&gt;=AF159))),0,IF(AH159&gt;AG159,((AI159-AF159)*12)*S159,0)))))</f>
        <v>948.59004166662135</v>
      </c>
      <c r="AA159" s="107">
        <f>Z159*W159</f>
        <v>948.59004166662135</v>
      </c>
      <c r="AB159" s="105">
        <v>1</v>
      </c>
      <c r="AC159" s="107">
        <f>AA159*AB159</f>
        <v>948.59004166662135</v>
      </c>
      <c r="AD159" s="107">
        <f>IF(Q159&gt;0,0,AC159+X159*AB159)*AB159</f>
        <v>2524.8186071428181</v>
      </c>
      <c r="AE159" s="107">
        <f>IF(Q159&gt;0,(P159-AC159)/2,IF(AF159&gt;=AI159,(((P159*W159)*AB159)-AD159)/2,((((P159*W159)*AB159)-AC159)+(((P159*W159)*AB159)-AD159))/2))</f>
        <v>10245.485675595281</v>
      </c>
      <c r="AF159" s="107">
        <f>$D159+(($E159-1)/12)</f>
        <v>2014.9166666666667</v>
      </c>
      <c r="AG159" s="107">
        <f>($R$5+1)-($R$2/12)</f>
        <v>2017.5</v>
      </c>
      <c r="AH159" s="107">
        <f>$I159+(($E159-1)/12)</f>
        <v>2034.9166666666667</v>
      </c>
      <c r="AI159" s="108">
        <f>$R$4+($R$3/12)</f>
        <v>2016.5</v>
      </c>
      <c r="AJ159" s="108">
        <f>$J159+(($K159-1)/12)</f>
        <v>-8.3333333333333329E-2</v>
      </c>
      <c r="AK159" s="108">
        <f>$I159+(($E159-1)/12)</f>
        <v>2034.9166666666667</v>
      </c>
      <c r="AL159" s="108">
        <f>$R$4+($R$3/12)</f>
        <v>2016.5</v>
      </c>
      <c r="AM159" s="108">
        <f>$J159+(($K159-1)/12)</f>
        <v>-8.3333333333333329E-2</v>
      </c>
    </row>
    <row r="160" spans="1:39" x14ac:dyDescent="0.25">
      <c r="A160">
        <v>218</v>
      </c>
      <c r="B160" t="s">
        <v>760</v>
      </c>
      <c r="C160" t="s">
        <v>784</v>
      </c>
      <c r="D160" s="34">
        <v>2014</v>
      </c>
      <c r="E160" s="34">
        <v>12</v>
      </c>
      <c r="F160" s="75"/>
      <c r="G160" s="34" t="s">
        <v>433</v>
      </c>
      <c r="H160" s="34">
        <v>5</v>
      </c>
      <c r="I160">
        <f>+D160+H160</f>
        <v>2019</v>
      </c>
      <c r="L160" s="53" t="s">
        <v>788</v>
      </c>
      <c r="M160" s="53" t="s">
        <v>788</v>
      </c>
      <c r="N160" s="53" t="s">
        <v>788</v>
      </c>
      <c r="O160" s="53" t="s">
        <v>788</v>
      </c>
      <c r="P160" s="32">
        <v>2780.95</v>
      </c>
      <c r="Q160" s="32"/>
      <c r="R160" s="32">
        <f>+P160-P160*F160</f>
        <v>2780.95</v>
      </c>
      <c r="S160" s="107">
        <f>R160/H160/12</f>
        <v>46.349166666666662</v>
      </c>
      <c r="T160" s="107">
        <f>IF(Q160&gt;0,0,IF((OR((AF160&gt;AG160),(AH160&lt;AI160))),0,IF((AND((AH160&gt;=AI160),(AH160&lt;=AG160))),S160*((AH160-AI160)*12),IF((AND((AI160&lt;=AF160),(AG160&gt;=AF160))),((AG160-AF160)*12)*S160,IF(AH160&gt;AG160,12*S160,0)))))</f>
        <v>556.18999999999994</v>
      </c>
      <c r="U160" s="107">
        <f>IF(Q160=0,0,IF((AND((AJ160&gt;=AI160),(AJ160&lt;=AH160))),((AJ160-AI160)*12)*S160,0))</f>
        <v>0</v>
      </c>
      <c r="V160" s="107">
        <f>IF(U160&gt;0,U160,T160)</f>
        <v>556.18999999999994</v>
      </c>
      <c r="W160" s="105">
        <v>1</v>
      </c>
      <c r="X160" s="107">
        <f>W160*SUM(T160:U160)</f>
        <v>556.18999999999994</v>
      </c>
      <c r="Y160" s="105"/>
      <c r="Z160" s="107">
        <f>IF(AF160&gt;AG160,0,IF(AH160&lt;AI160,R160,IF((AND((AH160&gt;=AI160),(AH160&lt;=AG160))),(R160-V160),IF((AND((AI160&lt;=AF160),(AG160&gt;=AF160))),0,IF(AH160&gt;AG160,((AI160-AF160)*12)*S160,0)))))</f>
        <v>880.63416666662442</v>
      </c>
      <c r="AA160" s="107">
        <f>Z160*W160</f>
        <v>880.63416666662442</v>
      </c>
      <c r="AB160" s="105">
        <v>1</v>
      </c>
      <c r="AC160" s="107">
        <f>AA160*AB160</f>
        <v>880.63416666662442</v>
      </c>
      <c r="AD160" s="107">
        <f>IF(Q160&gt;0,0,AC160+X160*AB160)*AB160</f>
        <v>1436.8241666666245</v>
      </c>
      <c r="AE160" s="107">
        <f>IF(Q160&gt;0,(P160-AC160)/2,IF(AF160&gt;=AI160,(((P160*W160)*AB160)-AD160)/2,((((P160*W160)*AB160)-AC160)+(((P160*W160)*AB160)-AD160))/2))</f>
        <v>1622.2208333333754</v>
      </c>
      <c r="AF160" s="107">
        <f>$D160+(($E160-1)/12)</f>
        <v>2014.9166666666667</v>
      </c>
      <c r="AG160" s="107">
        <f>($R$5+1)-($R$2/12)</f>
        <v>2017.5</v>
      </c>
      <c r="AH160" s="107">
        <f>$I160+(($E160-1)/12)</f>
        <v>2019.9166666666667</v>
      </c>
      <c r="AI160" s="108">
        <f>$R$4+($R$3/12)</f>
        <v>2016.5</v>
      </c>
      <c r="AJ160" s="108">
        <f>$J160+(($K160-1)/12)</f>
        <v>-8.3333333333333329E-2</v>
      </c>
      <c r="AK160" s="108">
        <f>$I160+(($E160-1)/12)</f>
        <v>2019.9166666666667</v>
      </c>
      <c r="AL160" s="108">
        <f>$R$4+($R$3/12)</f>
        <v>2016.5</v>
      </c>
      <c r="AM160" s="108">
        <f>$J160+(($K160-1)/12)</f>
        <v>-8.3333333333333329E-2</v>
      </c>
    </row>
    <row r="161" spans="1:39" x14ac:dyDescent="0.25">
      <c r="A161">
        <v>219</v>
      </c>
      <c r="B161" t="s">
        <v>597</v>
      </c>
      <c r="C161" t="s">
        <v>784</v>
      </c>
      <c r="D161" s="34">
        <v>2014</v>
      </c>
      <c r="E161" s="34">
        <v>12</v>
      </c>
      <c r="F161" s="75"/>
      <c r="G161" s="34" t="s">
        <v>433</v>
      </c>
      <c r="H161" s="34">
        <v>10</v>
      </c>
      <c r="I161">
        <f>+D161+H161</f>
        <v>2024</v>
      </c>
      <c r="L161" s="53" t="s">
        <v>788</v>
      </c>
      <c r="M161" s="53" t="s">
        <v>788</v>
      </c>
      <c r="N161" s="53" t="s">
        <v>788</v>
      </c>
      <c r="O161" s="53" t="s">
        <v>788</v>
      </c>
      <c r="P161" s="32">
        <v>25741.25</v>
      </c>
      <c r="Q161" s="32"/>
      <c r="R161" s="32">
        <f>+P161-P161*F161</f>
        <v>25741.25</v>
      </c>
      <c r="S161" s="107">
        <f>R161/H161/12</f>
        <v>214.51041666666666</v>
      </c>
      <c r="T161" s="107">
        <f>IF(Q161&gt;0,0,IF((OR((AF161&gt;AG161),(AH161&lt;AI161))),0,IF((AND((AH161&gt;=AI161),(AH161&lt;=AG161))),S161*((AH161-AI161)*12),IF((AND((AI161&lt;=AF161),(AG161&gt;=AF161))),((AG161-AF161)*12)*S161,IF(AH161&gt;AG161,12*S161,0)))))</f>
        <v>2574.125</v>
      </c>
      <c r="U161" s="107">
        <f>IF(Q161=0,0,IF((AND((AJ161&gt;=AI161),(AJ161&lt;=AH161))),((AJ161-AI161)*12)*S161,0))</f>
        <v>0</v>
      </c>
      <c r="V161" s="107">
        <f>IF(U161&gt;0,U161,T161)</f>
        <v>2574.125</v>
      </c>
      <c r="W161" s="105">
        <v>1</v>
      </c>
      <c r="X161" s="107">
        <f>W161*SUM(T161:U161)</f>
        <v>2574.125</v>
      </c>
      <c r="Y161" s="105"/>
      <c r="Z161" s="107">
        <f>IF(AF161&gt;AG161,0,IF(AH161&lt;AI161,R161,IF((AND((AH161&gt;=AI161),(AH161&lt;=AG161))),(R161-V161),IF((AND((AI161&lt;=AF161),(AG161&gt;=AF161))),0,IF(AH161&gt;AG161,((AI161-AF161)*12)*S161,0)))))</f>
        <v>4075.6979166664714</v>
      </c>
      <c r="AA161" s="107">
        <f>Z161*W161</f>
        <v>4075.6979166664714</v>
      </c>
      <c r="AB161" s="105">
        <v>1</v>
      </c>
      <c r="AC161" s="107">
        <f>AA161*AB161</f>
        <v>4075.6979166664714</v>
      </c>
      <c r="AD161" s="107">
        <f>IF(Q161&gt;0,0,AC161+X161*AB161)*AB161</f>
        <v>6649.8229166664714</v>
      </c>
      <c r="AE161" s="107">
        <f>IF(Q161&gt;0,(P161-AC161)/2,IF(AF161&gt;=AI161,(((P161*W161)*AB161)-AD161)/2,((((P161*W161)*AB161)-AC161)+(((P161*W161)*AB161)-AD161))/2))</f>
        <v>20378.489583333529</v>
      </c>
      <c r="AF161" s="107">
        <f>$D161+(($E161-1)/12)</f>
        <v>2014.9166666666667</v>
      </c>
      <c r="AG161" s="107">
        <f>($R$5+1)-($R$2/12)</f>
        <v>2017.5</v>
      </c>
      <c r="AH161" s="107">
        <f>$I161+(($E161-1)/12)</f>
        <v>2024.9166666666667</v>
      </c>
      <c r="AI161" s="108">
        <f>$R$4+($R$3/12)</f>
        <v>2016.5</v>
      </c>
      <c r="AJ161" s="108">
        <f>$J161+(($K161-1)/12)</f>
        <v>-8.3333333333333329E-2</v>
      </c>
      <c r="AK161" s="108">
        <f>$I161+(($E161-1)/12)</f>
        <v>2024.9166666666667</v>
      </c>
      <c r="AL161" s="108">
        <f>$R$4+($R$3/12)</f>
        <v>2016.5</v>
      </c>
      <c r="AM161" s="108">
        <f>$J161+(($K161-1)/12)</f>
        <v>-8.3333333333333329E-2</v>
      </c>
    </row>
    <row r="162" spans="1:39" x14ac:dyDescent="0.25">
      <c r="A162">
        <v>220</v>
      </c>
      <c r="B162" t="s">
        <v>761</v>
      </c>
      <c r="C162" t="s">
        <v>784</v>
      </c>
      <c r="D162" s="34">
        <v>2014</v>
      </c>
      <c r="E162" s="34">
        <v>12</v>
      </c>
      <c r="F162" s="75"/>
      <c r="G162" s="34" t="s">
        <v>433</v>
      </c>
      <c r="H162" s="34">
        <v>5</v>
      </c>
      <c r="I162">
        <f>+D162+H162</f>
        <v>2019</v>
      </c>
      <c r="L162" s="53" t="s">
        <v>788</v>
      </c>
      <c r="M162" s="53" t="s">
        <v>788</v>
      </c>
      <c r="N162" s="53" t="s">
        <v>788</v>
      </c>
      <c r="O162" s="53" t="s">
        <v>788</v>
      </c>
      <c r="P162" s="110">
        <v>2780.94</v>
      </c>
      <c r="Q162" s="110"/>
      <c r="R162" s="110">
        <f>+P162-P162*F162</f>
        <v>2780.94</v>
      </c>
      <c r="S162" s="111">
        <f>R162/H162/12</f>
        <v>46.348999999999997</v>
      </c>
      <c r="T162" s="111">
        <f>IF(Q162&gt;0,0,IF((OR((AF162&gt;AG162),(AH162&lt;AI162))),0,IF((AND((AH162&gt;=AI162),(AH162&lt;=AG162))),S162*((AH162-AI162)*12),IF((AND((AI162&lt;=AF162),(AG162&gt;=AF162))),((AG162-AF162)*12)*S162,IF(AH162&gt;AG162,12*S162,0)))))</f>
        <v>556.18799999999999</v>
      </c>
      <c r="U162" s="111">
        <f>IF(Q162=0,0,IF((AND((AJ162&gt;=AI162),(AJ162&lt;=AH162))),((AJ162-AI162)*12)*S162,0))</f>
        <v>0</v>
      </c>
      <c r="V162" s="111">
        <f>IF(U162&gt;0,U162,T162)</f>
        <v>556.18799999999999</v>
      </c>
      <c r="W162" s="112">
        <v>1</v>
      </c>
      <c r="X162" s="111">
        <f>W162*SUM(T162:U162)</f>
        <v>556.18799999999999</v>
      </c>
      <c r="Y162" s="112"/>
      <c r="Z162" s="111">
        <f>IF(AF162&gt;AG162,0,IF(AH162&lt;AI162,R162,IF((AND((AH162&gt;=AI162),(AH162&lt;=AG162))),(R162-V162),IF((AND((AI162&lt;=AF162),(AG162&gt;=AF162))),0,IF(AH162&gt;AG162,((AI162-AF162)*12)*S162,0)))))</f>
        <v>880.63099999995779</v>
      </c>
      <c r="AA162" s="111">
        <f>Z162*W162</f>
        <v>880.63099999995779</v>
      </c>
      <c r="AB162" s="112">
        <v>1</v>
      </c>
      <c r="AC162" s="111">
        <f>AA162*AB162</f>
        <v>880.63099999995779</v>
      </c>
      <c r="AD162" s="111">
        <f>IF(Q162&gt;0,0,AC162+X162*AB162)*AB162</f>
        <v>1436.8189999999577</v>
      </c>
      <c r="AE162" s="111">
        <f>IF(Q162&gt;0,(P162-AC162)/2,IF(AF162&gt;=AI162,(((P162*W162)*AB162)-AD162)/2,((((P162*W162)*AB162)-AC162)+(((P162*W162)*AB162)-AD162))/2))</f>
        <v>1622.2150000000424</v>
      </c>
      <c r="AF162" s="111">
        <f>$D162+(($E162-1)/12)</f>
        <v>2014.9166666666667</v>
      </c>
      <c r="AG162" s="111">
        <f>($R$5+1)-($R$2/12)</f>
        <v>2017.5</v>
      </c>
      <c r="AH162" s="111">
        <f>$I162+(($E162-1)/12)</f>
        <v>2019.9166666666667</v>
      </c>
      <c r="AI162" s="113">
        <f>$R$4+($R$3/12)</f>
        <v>2016.5</v>
      </c>
      <c r="AJ162" s="113">
        <f>$J162+(($K162-1)/12)</f>
        <v>-8.3333333333333329E-2</v>
      </c>
      <c r="AK162" s="113">
        <f>$I162+(($E162-1)/12)</f>
        <v>2019.9166666666667</v>
      </c>
      <c r="AL162" s="113">
        <f>$R$4+($R$3/12)</f>
        <v>2016.5</v>
      </c>
      <c r="AM162" s="113">
        <f>$J162+(($K162-1)/12)</f>
        <v>-8.3333333333333329E-2</v>
      </c>
    </row>
    <row r="163" spans="1:39" x14ac:dyDescent="0.25">
      <c r="A163">
        <v>224</v>
      </c>
      <c r="B163" t="s">
        <v>603</v>
      </c>
      <c r="C163" t="s">
        <v>784</v>
      </c>
      <c r="D163" s="34">
        <v>2015</v>
      </c>
      <c r="E163" s="34">
        <v>12</v>
      </c>
      <c r="F163" s="75"/>
      <c r="G163" s="34" t="s">
        <v>433</v>
      </c>
      <c r="H163" s="34">
        <v>10</v>
      </c>
      <c r="I163">
        <f>+D163+H163</f>
        <v>2025</v>
      </c>
      <c r="L163" s="53" t="s">
        <v>788</v>
      </c>
      <c r="M163" s="53" t="s">
        <v>788</v>
      </c>
      <c r="N163" s="53" t="s">
        <v>788</v>
      </c>
      <c r="O163" s="53" t="s">
        <v>788</v>
      </c>
      <c r="P163" s="110">
        <v>129118</v>
      </c>
      <c r="Q163" s="110"/>
      <c r="R163" s="110">
        <f>+P163-P163*F163</f>
        <v>129118</v>
      </c>
      <c r="S163" s="111">
        <f>R163/H163/12</f>
        <v>1075.9833333333333</v>
      </c>
      <c r="T163" s="111">
        <f>IF(Q163&gt;0,0,IF((OR((AF163&gt;AG163),(AH163&lt;AI163))),0,IF((AND((AH163&gt;=AI163),(AH163&lt;=AG163))),S163*((AH163-AI163)*12),IF((AND((AI163&lt;=AF163),(AG163&gt;=AF163))),((AG163-AF163)*12)*S163,IF(AH163&gt;AG163,12*S163,0)))))</f>
        <v>12911.8</v>
      </c>
      <c r="U163" s="111">
        <f>IF(Q163=0,0,IF((AND((AJ163&gt;=AI163),(AJ163&lt;=AH163))),((AJ163-AI163)*12)*S163,0))</f>
        <v>0</v>
      </c>
      <c r="V163" s="111">
        <f>IF(U163&gt;0,U163,T163)</f>
        <v>12911.8</v>
      </c>
      <c r="W163" s="112">
        <v>1</v>
      </c>
      <c r="X163" s="111">
        <f>W163*SUM(T163:U163)</f>
        <v>12911.8</v>
      </c>
      <c r="Y163" s="112"/>
      <c r="Z163" s="111">
        <f>IF(AF163&gt;AG163,0,IF(AH163&lt;AI163,R163,IF((AND((AH163&gt;=AI163),(AH163&lt;=AG163))),(R163-V163),IF((AND((AI163&lt;=AF163),(AG163&gt;=AF163))),0,IF(AH163&gt;AG163,((AI163-AF163)*12)*S163,0)))))</f>
        <v>7531.8833333323546</v>
      </c>
      <c r="AA163" s="111">
        <f>Z163*W163</f>
        <v>7531.8833333323546</v>
      </c>
      <c r="AB163" s="112">
        <v>1</v>
      </c>
      <c r="AC163" s="111">
        <f>AA163*AB163</f>
        <v>7531.8833333323546</v>
      </c>
      <c r="AD163" s="111">
        <f>IF(Q163&gt;0,0,AC163+X163*AB163)*AB163</f>
        <v>20443.683333332352</v>
      </c>
      <c r="AE163" s="111">
        <f>IF(Q163&gt;0,(P163-AC163)/2,IF(AF163&gt;=AI163,(((P163*W163)*AB163)-AD163)/2,((((P163*W163)*AB163)-AC163)+(((P163*W163)*AB163)-AD163))/2))</f>
        <v>115130.21666666763</v>
      </c>
      <c r="AF163" s="111">
        <f>$D163+(($E163-1)/12)</f>
        <v>2015.9166666666667</v>
      </c>
      <c r="AG163" s="111">
        <f>($R$5+1)-($R$2/12)</f>
        <v>2017.5</v>
      </c>
      <c r="AH163" s="111">
        <f>$I163+(($E163-1)/12)</f>
        <v>2025.9166666666667</v>
      </c>
      <c r="AI163" s="113">
        <f>$R$4+($R$3/12)</f>
        <v>2016.5</v>
      </c>
      <c r="AJ163" s="113">
        <f>$J163+(($K163-1)/12)</f>
        <v>-8.3333333333333329E-2</v>
      </c>
      <c r="AK163" s="113">
        <f>$I163+(($E163-1)/12)</f>
        <v>2025.9166666666667</v>
      </c>
      <c r="AL163" s="113">
        <f>$R$4+($R$3/12)</f>
        <v>2016.5</v>
      </c>
      <c r="AM163" s="113">
        <f>$J163+(($K163-1)/12)</f>
        <v>-8.3333333333333329E-2</v>
      </c>
    </row>
    <row r="164" spans="1:39" x14ac:dyDescent="0.25">
      <c r="A164">
        <v>225</v>
      </c>
      <c r="B164" t="s">
        <v>597</v>
      </c>
      <c r="C164" t="s">
        <v>784</v>
      </c>
      <c r="D164" s="34">
        <v>2015</v>
      </c>
      <c r="E164" s="34">
        <v>15</v>
      </c>
      <c r="F164" s="75"/>
      <c r="G164" s="34" t="s">
        <v>433</v>
      </c>
      <c r="H164" s="34">
        <v>10</v>
      </c>
      <c r="I164">
        <f>+D164+H164</f>
        <v>2025</v>
      </c>
      <c r="L164" s="53" t="s">
        <v>788</v>
      </c>
      <c r="M164" s="53" t="s">
        <v>788</v>
      </c>
      <c r="N164" s="53" t="s">
        <v>788</v>
      </c>
      <c r="O164" s="53" t="s">
        <v>788</v>
      </c>
      <c r="P164" s="110">
        <v>195489</v>
      </c>
      <c r="Q164" s="110"/>
      <c r="R164" s="110">
        <f>+P164-P164*F164</f>
        <v>195489</v>
      </c>
      <c r="S164" s="111">
        <f>R164/H164/12</f>
        <v>1629.075</v>
      </c>
      <c r="T164" s="111">
        <f>IF(Q164&gt;0,0,IF((OR((AF164&gt;AG164),(AH164&lt;AI164))),0,IF((AND((AH164&gt;=AI164),(AH164&lt;=AG164))),S164*((AH164-AI164)*12),IF((AND((AI164&lt;=AF164),(AG164&gt;=AF164))),((AG164-AF164)*12)*S164,IF(AH164&gt;AG164,12*S164,0)))))</f>
        <v>19548.900000000001</v>
      </c>
      <c r="U164" s="111">
        <f>IF(Q164=0,0,IF((AND((AJ164&gt;=AI164),(AJ164&lt;=AH164))),((AJ164-AI164)*12)*S164,0))</f>
        <v>0</v>
      </c>
      <c r="V164" s="111">
        <f>IF(U164&gt;0,U164,T164)</f>
        <v>19548.900000000001</v>
      </c>
      <c r="W164" s="112">
        <v>1</v>
      </c>
      <c r="X164" s="111">
        <f>W164*SUM(T164:U164)</f>
        <v>19548.900000000001</v>
      </c>
      <c r="Y164" s="112"/>
      <c r="Z164" s="111">
        <f>IF(AF164&gt;AG164,0,IF(AH164&lt;AI164,R164,IF((AND((AH164&gt;=AI164),(AH164&lt;=AG164))),(R164-V164),IF((AND((AI164&lt;=AF164),(AG164&gt;=AF164))),0,IF(AH164&gt;AG164,((AI164-AF164)*12)*S164,0)))))</f>
        <v>6516.2999999985186</v>
      </c>
      <c r="AA164" s="111">
        <f>Z164*W164</f>
        <v>6516.2999999985186</v>
      </c>
      <c r="AB164" s="112">
        <v>1</v>
      </c>
      <c r="AC164" s="111">
        <f>AA164*AB164</f>
        <v>6516.2999999985186</v>
      </c>
      <c r="AD164" s="111">
        <f>IF(Q164&gt;0,0,AC164+X164*AB164)*AB164</f>
        <v>26065.19999999852</v>
      </c>
      <c r="AE164" s="111">
        <f>IF(Q164&gt;0,(P164-AC164)/2,IF(AF164&gt;=AI164,(((P164*W164)*AB164)-AD164)/2,((((P164*W164)*AB164)-AC164)+(((P164*W164)*AB164)-AD164))/2))</f>
        <v>179198.25000000146</v>
      </c>
      <c r="AF164" s="111">
        <f>$D164+(($E164-1)/12)</f>
        <v>2016.1666666666667</v>
      </c>
      <c r="AG164" s="111">
        <f>($R$5+1)-($R$2/12)</f>
        <v>2017.5</v>
      </c>
      <c r="AH164" s="111">
        <f>$I164+(($E164-1)/12)</f>
        <v>2026.1666666666667</v>
      </c>
      <c r="AI164" s="113">
        <f>$R$4+($R$3/12)</f>
        <v>2016.5</v>
      </c>
      <c r="AJ164" s="113">
        <f>$J164+(($K164-1)/12)</f>
        <v>-8.3333333333333329E-2</v>
      </c>
      <c r="AK164" s="113">
        <f>$I164+(($E164-1)/12)</f>
        <v>2026.1666666666667</v>
      </c>
      <c r="AL164" s="113">
        <f>$R$4+($R$3/12)</f>
        <v>2016.5</v>
      </c>
      <c r="AM164" s="113">
        <f>$J164+(($K164-1)/12)</f>
        <v>-8.3333333333333329E-2</v>
      </c>
    </row>
    <row r="165" spans="1:39" x14ac:dyDescent="0.25">
      <c r="A165">
        <v>227</v>
      </c>
      <c r="B165" t="s">
        <v>598</v>
      </c>
      <c r="C165" t="s">
        <v>784</v>
      </c>
      <c r="D165" s="34">
        <v>2015</v>
      </c>
      <c r="E165" s="34">
        <v>5</v>
      </c>
      <c r="F165" s="75"/>
      <c r="G165" s="34" t="s">
        <v>433</v>
      </c>
      <c r="H165" s="34">
        <v>5</v>
      </c>
      <c r="I165">
        <f>+D165+H165</f>
        <v>2020</v>
      </c>
      <c r="L165" s="53" t="s">
        <v>788</v>
      </c>
      <c r="M165" s="53" t="s">
        <v>788</v>
      </c>
      <c r="N165" s="53" t="s">
        <v>788</v>
      </c>
      <c r="O165" s="53" t="s">
        <v>788</v>
      </c>
      <c r="P165" s="110">
        <v>25404</v>
      </c>
      <c r="Q165" s="110"/>
      <c r="R165" s="110">
        <f>+P165-P165*F165</f>
        <v>25404</v>
      </c>
      <c r="S165" s="111">
        <f>R165/H165/12</f>
        <v>423.40000000000003</v>
      </c>
      <c r="T165" s="111">
        <f>IF(Q165&gt;0,0,IF((OR((AF165&gt;AG165),(AH165&lt;AI165))),0,IF((AND((AH165&gt;=AI165),(AH165&lt;=AG165))),S165*((AH165-AI165)*12),IF((AND((AI165&lt;=AF165),(AG165&gt;=AF165))),((AG165-AF165)*12)*S165,IF(AH165&gt;AG165,12*S165,0)))))</f>
        <v>5080.8</v>
      </c>
      <c r="U165" s="111">
        <f>IF(Q165=0,0,IF((AND((AJ165&gt;=AI165),(AJ165&lt;=AH165))),((AJ165-AI165)*12)*S165,0))</f>
        <v>0</v>
      </c>
      <c r="V165" s="111">
        <f>IF(U165&gt;0,U165,T165)</f>
        <v>5080.8</v>
      </c>
      <c r="W165" s="112">
        <v>1</v>
      </c>
      <c r="X165" s="111">
        <f>W165*SUM(T165:U165)</f>
        <v>5080.8</v>
      </c>
      <c r="Y165" s="112"/>
      <c r="Z165" s="111">
        <f>IF(AF165&gt;AG165,0,IF(AH165&lt;AI165,R165,IF((AND((AH165&gt;=AI165),(AH165&lt;=AG165))),(R165-V165),IF((AND((AI165&lt;=AF165),(AG165&gt;=AF165))),0,IF(AH165&gt;AG165,((AI165-AF165)*12)*S165,0)))))</f>
        <v>5927.600000000386</v>
      </c>
      <c r="AA165" s="111">
        <f>Z165*W165</f>
        <v>5927.600000000386</v>
      </c>
      <c r="AB165" s="112">
        <v>1</v>
      </c>
      <c r="AC165" s="111">
        <f>AA165*AB165</f>
        <v>5927.600000000386</v>
      </c>
      <c r="AD165" s="111">
        <f>IF(Q165&gt;0,0,AC165+X165*AB165)*AB165</f>
        <v>11008.400000000387</v>
      </c>
      <c r="AE165" s="111">
        <f>IF(Q165&gt;0,(P165-AC165)/2,IF(AF165&gt;=AI165,(((P165*W165)*AB165)-AD165)/2,((((P165*W165)*AB165)-AC165)+(((P165*W165)*AB165)-AD165))/2))</f>
        <v>16935.999999999614</v>
      </c>
      <c r="AF165" s="111">
        <f>$D165+(($E165-1)/12)</f>
        <v>2015.3333333333333</v>
      </c>
      <c r="AG165" s="111">
        <f>($R$5+1)-($R$2/12)</f>
        <v>2017.5</v>
      </c>
      <c r="AH165" s="111">
        <f>$I165+(($E165-1)/12)</f>
        <v>2020.3333333333333</v>
      </c>
      <c r="AI165" s="113">
        <f>$R$4+($R$3/12)</f>
        <v>2016.5</v>
      </c>
      <c r="AJ165" s="113">
        <f>$J165+(($K165-1)/12)</f>
        <v>-8.3333333333333329E-2</v>
      </c>
      <c r="AK165" s="113">
        <f>$I165+(($E165-1)/12)</f>
        <v>2020.3333333333333</v>
      </c>
      <c r="AL165" s="113">
        <f>$R$4+($R$3/12)</f>
        <v>2016.5</v>
      </c>
      <c r="AM165" s="113">
        <f>$J165+(($K165-1)/12)</f>
        <v>-8.3333333333333329E-2</v>
      </c>
    </row>
    <row r="166" spans="1:39" x14ac:dyDescent="0.25">
      <c r="A166">
        <v>233</v>
      </c>
      <c r="B166" t="s">
        <v>754</v>
      </c>
      <c r="C166" t="s">
        <v>784</v>
      </c>
      <c r="D166" s="34">
        <v>2015</v>
      </c>
      <c r="E166" s="34">
        <v>9</v>
      </c>
      <c r="F166" s="75"/>
      <c r="G166" s="34" t="s">
        <v>433</v>
      </c>
      <c r="H166" s="34">
        <v>5</v>
      </c>
      <c r="I166">
        <f>+D166+H166</f>
        <v>2020</v>
      </c>
      <c r="L166" s="53" t="s">
        <v>788</v>
      </c>
      <c r="M166" s="53" t="s">
        <v>788</v>
      </c>
      <c r="N166" s="53" t="s">
        <v>788</v>
      </c>
      <c r="O166" s="53" t="s">
        <v>788</v>
      </c>
      <c r="P166" s="110">
        <v>6746</v>
      </c>
      <c r="Q166" s="110"/>
      <c r="R166" s="110">
        <f>+P166-P166*F166</f>
        <v>6746</v>
      </c>
      <c r="S166" s="111">
        <f>R166/H166/12</f>
        <v>112.43333333333334</v>
      </c>
      <c r="T166" s="111">
        <f>IF(Q166&gt;0,0,IF((OR((AF166&gt;AG166),(AH166&lt;AI166))),0,IF((AND((AH166&gt;=AI166),(AH166&lt;=AG166))),S166*((AH166-AI166)*12),IF((AND((AI166&lt;=AF166),(AG166&gt;=AF166))),((AG166-AF166)*12)*S166,IF(AH166&gt;AG166,12*S166,0)))))</f>
        <v>1349.2</v>
      </c>
      <c r="U166" s="111">
        <f>IF(Q166=0,0,IF((AND((AJ166&gt;=AI166),(AJ166&lt;=AH166))),((AJ166-AI166)*12)*S166,0))</f>
        <v>0</v>
      </c>
      <c r="V166" s="111">
        <f>IF(U166&gt;0,U166,T166)</f>
        <v>1349.2</v>
      </c>
      <c r="W166" s="112">
        <v>1</v>
      </c>
      <c r="X166" s="111">
        <f>W166*SUM(T166:U166)</f>
        <v>1349.2</v>
      </c>
      <c r="Y166" s="112"/>
      <c r="Z166" s="111">
        <f>IF(AF166&gt;AG166,0,IF(AH166&lt;AI166,R166,IF((AND((AH166&gt;=AI166),(AH166&lt;=AG166))),(R166-V166),IF((AND((AI166&lt;=AF166),(AG166&gt;=AF166))),0,IF(AH166&gt;AG166,((AI166-AF166)*12)*S166,0)))))</f>
        <v>1124.3333333332312</v>
      </c>
      <c r="AA166" s="111">
        <f>Z166*W166</f>
        <v>1124.3333333332312</v>
      </c>
      <c r="AB166" s="112">
        <v>1</v>
      </c>
      <c r="AC166" s="111">
        <f>AA166*AB166</f>
        <v>1124.3333333332312</v>
      </c>
      <c r="AD166" s="111">
        <f>IF(Q166&gt;0,0,AC166+X166*AB166)*AB166</f>
        <v>2473.533333333231</v>
      </c>
      <c r="AE166" s="111">
        <f>IF(Q166&gt;0,(P166-AC166)/2,IF(AF166&gt;=AI166,(((P166*W166)*AB166)-AD166)/2,((((P166*W166)*AB166)-AC166)+(((P166*W166)*AB166)-AD166))/2))</f>
        <v>4947.0666666667694</v>
      </c>
      <c r="AF166" s="111">
        <f>$D166+(($E166-1)/12)</f>
        <v>2015.6666666666667</v>
      </c>
      <c r="AG166" s="111">
        <f>($R$5+1)-($R$2/12)</f>
        <v>2017.5</v>
      </c>
      <c r="AH166" s="111">
        <f>$I166+(($E166-1)/12)</f>
        <v>2020.6666666666667</v>
      </c>
      <c r="AI166" s="113">
        <f>$R$4+($R$3/12)</f>
        <v>2016.5</v>
      </c>
      <c r="AJ166" s="113">
        <f>$J166+(($K166-1)/12)</f>
        <v>-8.3333333333333329E-2</v>
      </c>
      <c r="AK166" s="113">
        <f>$I166+(($E166-1)/12)</f>
        <v>2020.6666666666667</v>
      </c>
      <c r="AL166" s="113">
        <f>$R$4+($R$3/12)</f>
        <v>2016.5</v>
      </c>
      <c r="AM166" s="113">
        <f>$J166+(($K166-1)/12)</f>
        <v>-8.3333333333333329E-2</v>
      </c>
    </row>
    <row r="167" spans="1:39" x14ac:dyDescent="0.25">
      <c r="A167">
        <v>235</v>
      </c>
      <c r="B167" t="s">
        <v>607</v>
      </c>
      <c r="C167" t="s">
        <v>784</v>
      </c>
      <c r="D167" s="34">
        <v>2016</v>
      </c>
      <c r="E167" s="34">
        <v>6</v>
      </c>
      <c r="F167" s="75"/>
      <c r="G167" s="34" t="s">
        <v>433</v>
      </c>
      <c r="H167" s="34">
        <v>5</v>
      </c>
      <c r="I167">
        <f>+D167+H167</f>
        <v>2021</v>
      </c>
      <c r="L167" s="53" t="s">
        <v>788</v>
      </c>
      <c r="M167" s="53" t="s">
        <v>788</v>
      </c>
      <c r="N167" s="53" t="s">
        <v>788</v>
      </c>
      <c r="O167" s="53" t="s">
        <v>788</v>
      </c>
      <c r="P167" s="110">
        <v>4131</v>
      </c>
      <c r="Q167" s="110"/>
      <c r="R167" s="110">
        <f>+P167-P167*F167</f>
        <v>4131</v>
      </c>
      <c r="S167" s="111">
        <f>R167/H167/12</f>
        <v>68.850000000000009</v>
      </c>
      <c r="T167" s="111">
        <f>IF(Q167&gt;0,0,IF((OR((AF167&gt;AG167),(AH167&lt;AI167))),0,IF((AND((AH167&gt;=AI167),(AH167&lt;=AG167))),S167*((AH167-AI167)*12),IF((AND((AI167&lt;=AF167),(AG167&gt;=AF167))),((AG167-AF167)*12)*S167,IF(AH167&gt;AG167,12*S167,0)))))</f>
        <v>826.2</v>
      </c>
      <c r="U167" s="111">
        <f>IF(Q167=0,0,IF((AND((AJ167&gt;=AI167),(AJ167&lt;=AH167))),((AJ167-AI167)*12)*S167,0))</f>
        <v>0</v>
      </c>
      <c r="V167" s="111">
        <f>IF(U167&gt;0,U167,T167)</f>
        <v>826.2</v>
      </c>
      <c r="W167" s="112">
        <v>1</v>
      </c>
      <c r="X167" s="111">
        <f>W167*SUM(T167:U167)</f>
        <v>826.2</v>
      </c>
      <c r="Y167" s="112"/>
      <c r="Z167" s="111">
        <f>IF(AF167&gt;AG167,0,IF(AH167&lt;AI167,R167,IF((AND((AH167&gt;=AI167),(AH167&lt;=AG167))),(R167-V167),IF((AND((AI167&lt;=AF167),(AG167&gt;=AF167))),0,IF(AH167&gt;AG167,((AI167-AF167)*12)*S167,0)))))</f>
        <v>68.849999999937396</v>
      </c>
      <c r="AA167" s="111">
        <f>Z167*W167</f>
        <v>68.849999999937396</v>
      </c>
      <c r="AB167" s="112">
        <v>1</v>
      </c>
      <c r="AC167" s="111">
        <f>AA167*AB167</f>
        <v>68.849999999937396</v>
      </c>
      <c r="AD167" s="111">
        <f>IF(Q167&gt;0,0,AC167+X167*AB167)*AB167</f>
        <v>895.04999999993743</v>
      </c>
      <c r="AE167" s="111">
        <f>IF(Q167&gt;0,(P167-AC167)/2,IF(AF167&gt;=AI167,(((P167*W167)*AB167)-AD167)/2,((((P167*W167)*AB167)-AC167)+(((P167*W167)*AB167)-AD167))/2))</f>
        <v>3649.0500000000625</v>
      </c>
      <c r="AF167" s="111">
        <f>$D167+(($E167-1)/12)</f>
        <v>2016.4166666666667</v>
      </c>
      <c r="AG167" s="111">
        <f>($R$5+1)-($R$2/12)</f>
        <v>2017.5</v>
      </c>
      <c r="AH167" s="111">
        <f>$I167+(($E167-1)/12)</f>
        <v>2021.4166666666667</v>
      </c>
      <c r="AI167" s="113">
        <f>$R$4+($R$3/12)</f>
        <v>2016.5</v>
      </c>
      <c r="AJ167" s="113">
        <f>$J167+(($K167-1)/12)</f>
        <v>-8.3333333333333329E-2</v>
      </c>
      <c r="AK167" s="113">
        <f>$I167+(($E167-1)/12)</f>
        <v>2021.4166666666667</v>
      </c>
      <c r="AL167" s="113">
        <f>$R$4+($R$3/12)</f>
        <v>2016.5</v>
      </c>
      <c r="AM167" s="113">
        <f>$J167+(($K167-1)/12)</f>
        <v>-8.3333333333333329E-2</v>
      </c>
    </row>
    <row r="168" spans="1:39" x14ac:dyDescent="0.25">
      <c r="A168">
        <v>236</v>
      </c>
      <c r="B168" t="s">
        <v>608</v>
      </c>
      <c r="C168" t="s">
        <v>784</v>
      </c>
      <c r="D168" s="34">
        <v>2016</v>
      </c>
      <c r="E168" s="34">
        <v>6</v>
      </c>
      <c r="F168" s="75"/>
      <c r="G168" s="34" t="s">
        <v>433</v>
      </c>
      <c r="H168" s="34">
        <v>10</v>
      </c>
      <c r="I168">
        <f>+D168+H168</f>
        <v>2026</v>
      </c>
      <c r="L168" s="53" t="s">
        <v>788</v>
      </c>
      <c r="M168" s="53" t="s">
        <v>788</v>
      </c>
      <c r="N168" s="53" t="s">
        <v>788</v>
      </c>
      <c r="O168" s="53" t="s">
        <v>788</v>
      </c>
      <c r="P168" s="110">
        <v>53839</v>
      </c>
      <c r="Q168" s="110"/>
      <c r="R168" s="110">
        <f>+P168-P168*F168</f>
        <v>53839</v>
      </c>
      <c r="S168" s="111">
        <f>R168/H168/12</f>
        <v>448.6583333333333</v>
      </c>
      <c r="T168" s="111">
        <f>IF(Q168&gt;0,0,IF((OR((AF168&gt;AG168),(AH168&lt;AI168))),0,IF((AND((AH168&gt;=AI168),(AH168&lt;=AG168))),S168*((AH168-AI168)*12),IF((AND((AI168&lt;=AF168),(AG168&gt;=AF168))),((AG168-AF168)*12)*S168,IF(AH168&gt;AG168,12*S168,0)))))</f>
        <v>5383.9</v>
      </c>
      <c r="U168" s="111">
        <f>IF(Q168=0,0,IF((AND((AJ168&gt;=AI168),(AJ168&lt;=AH168))),((AJ168-AI168)*12)*S168,0))</f>
        <v>0</v>
      </c>
      <c r="V168" s="111">
        <f>IF(U168&gt;0,U168,T168)</f>
        <v>5383.9</v>
      </c>
      <c r="W168" s="112">
        <v>1</v>
      </c>
      <c r="X168" s="111">
        <f>W168*SUM(T168:U168)</f>
        <v>5383.9</v>
      </c>
      <c r="Y168" s="112"/>
      <c r="Z168" s="111">
        <f>IF(AF168&gt;AG168,0,IF(AH168&lt;AI168,R168,IF((AND((AH168&gt;=AI168),(AH168&lt;=AG168))),(R168-V168),IF((AND((AI168&lt;=AF168),(AG168&gt;=AF168))),0,IF(AH168&gt;AG168,((AI168-AF168)*12)*S168,0)))))</f>
        <v>448.65833333292522</v>
      </c>
      <c r="AA168" s="111">
        <f>Z168*W168</f>
        <v>448.65833333292522</v>
      </c>
      <c r="AB168" s="112">
        <v>1</v>
      </c>
      <c r="AC168" s="111">
        <f>AA168*AB168</f>
        <v>448.65833333292522</v>
      </c>
      <c r="AD168" s="111">
        <f>IF(Q168&gt;0,0,AC168+X168*AB168)*AB168</f>
        <v>5832.558333332925</v>
      </c>
      <c r="AE168" s="111">
        <f>IF(Q168&gt;0,(P168-AC168)/2,IF(AF168&gt;=AI168,(((P168*W168)*AB168)-AD168)/2,((((P168*W168)*AB168)-AC168)+(((P168*W168)*AB168)-AD168))/2))</f>
        <v>50698.39166666707</v>
      </c>
      <c r="AF168" s="111">
        <f>$D168+(($E168-1)/12)</f>
        <v>2016.4166666666667</v>
      </c>
      <c r="AG168" s="111">
        <f>($R$5+1)-($R$2/12)</f>
        <v>2017.5</v>
      </c>
      <c r="AH168" s="111">
        <f>$I168+(($E168-1)/12)</f>
        <v>2026.4166666666667</v>
      </c>
      <c r="AI168" s="113">
        <f>$R$4+($R$3/12)</f>
        <v>2016.5</v>
      </c>
      <c r="AJ168" s="113">
        <f>$J168+(($K168-1)/12)</f>
        <v>-8.3333333333333329E-2</v>
      </c>
      <c r="AK168" s="113">
        <f>$I168+(($E168-1)/12)</f>
        <v>2026.4166666666667</v>
      </c>
      <c r="AL168" s="113">
        <f>$R$4+($R$3/12)</f>
        <v>2016.5</v>
      </c>
      <c r="AM168" s="113">
        <f>$J168+(($K168-1)/12)</f>
        <v>-8.3333333333333329E-2</v>
      </c>
    </row>
    <row r="169" spans="1:39" x14ac:dyDescent="0.25">
      <c r="A169">
        <v>237</v>
      </c>
      <c r="B169" t="s">
        <v>604</v>
      </c>
      <c r="C169" t="s">
        <v>784</v>
      </c>
      <c r="D169" s="34">
        <v>2016</v>
      </c>
      <c r="E169" s="34">
        <v>1</v>
      </c>
      <c r="F169" s="75"/>
      <c r="G169" s="34" t="s">
        <v>433</v>
      </c>
      <c r="H169" s="34">
        <v>10</v>
      </c>
      <c r="I169">
        <f>+D169+H169</f>
        <v>2026</v>
      </c>
      <c r="L169" s="53" t="s">
        <v>788</v>
      </c>
      <c r="M169" s="53" t="s">
        <v>788</v>
      </c>
      <c r="N169" s="53" t="s">
        <v>788</v>
      </c>
      <c r="O169" s="53" t="s">
        <v>788</v>
      </c>
      <c r="P169" s="110">
        <v>47628</v>
      </c>
      <c r="Q169" s="110"/>
      <c r="R169" s="110">
        <f>+P169-P169*F169</f>
        <v>47628</v>
      </c>
      <c r="S169" s="111">
        <f>R169/H169/12</f>
        <v>396.90000000000003</v>
      </c>
      <c r="T169" s="111">
        <f>IF(Q169&gt;0,0,IF((OR((AF169&gt;AG169),(AH169&lt;AI169))),0,IF((AND((AH169&gt;=AI169),(AH169&lt;=AG169))),S169*((AH169-AI169)*12),IF((AND((AI169&lt;=AF169),(AG169&gt;=AF169))),((AG169-AF169)*12)*S169,IF(AH169&gt;AG169,12*S169,0)))))</f>
        <v>4762.8</v>
      </c>
      <c r="U169" s="111">
        <f>IF(Q169=0,0,IF((AND((AJ169&gt;=AI169),(AJ169&lt;=AH169))),((AJ169-AI169)*12)*S169,0))</f>
        <v>0</v>
      </c>
      <c r="V169" s="111">
        <f>IF(U169&gt;0,U169,T169)</f>
        <v>4762.8</v>
      </c>
      <c r="W169" s="112">
        <v>1</v>
      </c>
      <c r="X169" s="111">
        <f>W169*SUM(T169:U169)</f>
        <v>4762.8</v>
      </c>
      <c r="Y169" s="112"/>
      <c r="Z169" s="111">
        <f>IF(AF169&gt;AG169,0,IF(AH169&lt;AI169,R169,IF((AND((AH169&gt;=AI169),(AH169&lt;=AG169))),(R169-V169),IF((AND((AI169&lt;=AF169),(AG169&gt;=AF169))),0,IF(AH169&gt;AG169,((AI169-AF169)*12)*S169,0)))))</f>
        <v>2381.4</v>
      </c>
      <c r="AA169" s="111">
        <f>Z169*W169</f>
        <v>2381.4</v>
      </c>
      <c r="AB169" s="112">
        <v>1</v>
      </c>
      <c r="AC169" s="111">
        <f>AA169*AB169</f>
        <v>2381.4</v>
      </c>
      <c r="AD169" s="111">
        <f>IF(Q169&gt;0,0,AC169+X169*AB169)*AB169</f>
        <v>7144.2000000000007</v>
      </c>
      <c r="AE169" s="111">
        <f>IF(Q169&gt;0,(P169-AC169)/2,IF(AF169&gt;=AI169,(((P169*W169)*AB169)-AD169)/2,((((P169*W169)*AB169)-AC169)+(((P169*W169)*AB169)-AD169))/2))</f>
        <v>42865.2</v>
      </c>
      <c r="AF169" s="111">
        <f>$D169+(($E169-1)/12)</f>
        <v>2016</v>
      </c>
      <c r="AG169" s="111">
        <f>($R$5+1)-($R$2/12)</f>
        <v>2017.5</v>
      </c>
      <c r="AH169" s="111">
        <f>$I169+(($E169-1)/12)</f>
        <v>2026</v>
      </c>
      <c r="AI169" s="113">
        <f>$R$4+($R$3/12)</f>
        <v>2016.5</v>
      </c>
      <c r="AJ169" s="113">
        <f>$J169+(($K169-1)/12)</f>
        <v>-8.3333333333333329E-2</v>
      </c>
      <c r="AK169" s="113">
        <f>$I169+(($E169-1)/12)</f>
        <v>2026</v>
      </c>
      <c r="AL169" s="113">
        <f>$R$4+($R$3/12)</f>
        <v>2016.5</v>
      </c>
      <c r="AM169" s="113">
        <f>$J169+(($K169-1)/12)</f>
        <v>-8.3333333333333329E-2</v>
      </c>
    </row>
    <row r="170" spans="1:39" x14ac:dyDescent="0.25">
      <c r="A170">
        <v>239</v>
      </c>
      <c r="B170" t="s">
        <v>754</v>
      </c>
      <c r="C170" t="s">
        <v>784</v>
      </c>
      <c r="D170" s="34">
        <v>2016</v>
      </c>
      <c r="E170" s="34">
        <v>6</v>
      </c>
      <c r="F170" s="75"/>
      <c r="G170" s="34" t="s">
        <v>433</v>
      </c>
      <c r="H170" s="34">
        <v>5</v>
      </c>
      <c r="I170">
        <f>+D170+H170</f>
        <v>2021</v>
      </c>
      <c r="L170" s="53" t="s">
        <v>788</v>
      </c>
      <c r="M170" s="53" t="s">
        <v>788</v>
      </c>
      <c r="N170" s="53" t="s">
        <v>788</v>
      </c>
      <c r="O170" s="53" t="s">
        <v>788</v>
      </c>
      <c r="P170" s="110">
        <v>2428</v>
      </c>
      <c r="Q170" s="110"/>
      <c r="R170" s="110">
        <f>+P170-P170*F170</f>
        <v>2428</v>
      </c>
      <c r="S170" s="111">
        <f>R170/H170/12</f>
        <v>40.466666666666669</v>
      </c>
      <c r="T170" s="111">
        <f>IF(Q170&gt;0,0,IF((OR((AF170&gt;AG170),(AH170&lt;AI170))),0,IF((AND((AH170&gt;=AI170),(AH170&lt;=AG170))),S170*((AH170-AI170)*12),IF((AND((AI170&lt;=AF170),(AG170&gt;=AF170))),((AG170-AF170)*12)*S170,IF(AH170&gt;AG170,12*S170,0)))))</f>
        <v>485.6</v>
      </c>
      <c r="U170" s="111">
        <f>IF(Q170=0,0,IF((AND((AJ170&gt;=AI170),(AJ170&lt;=AH170))),((AJ170-AI170)*12)*S170,0))</f>
        <v>0</v>
      </c>
      <c r="V170" s="111">
        <f>IF(U170&gt;0,U170,T170)</f>
        <v>485.6</v>
      </c>
      <c r="W170" s="112">
        <v>1</v>
      </c>
      <c r="X170" s="111">
        <f>W170*SUM(T170:U170)</f>
        <v>485.6</v>
      </c>
      <c r="Y170" s="112"/>
      <c r="Z170" s="111">
        <f>IF(AF170&gt;AG170,0,IF(AH170&lt;AI170,R170,IF((AND((AH170&gt;=AI170),(AH170&lt;=AG170))),(R170-V170),IF((AND((AI170&lt;=AF170),(AG170&gt;=AF170))),0,IF(AH170&gt;AG170,((AI170-AF170)*12)*S170,0)))))</f>
        <v>40.466666666629862</v>
      </c>
      <c r="AA170" s="111">
        <f>Z170*W170</f>
        <v>40.466666666629862</v>
      </c>
      <c r="AB170" s="112">
        <v>1</v>
      </c>
      <c r="AC170" s="111">
        <f>AA170*AB170</f>
        <v>40.466666666629862</v>
      </c>
      <c r="AD170" s="111">
        <f>IF(Q170&gt;0,0,AC170+X170*AB170)*AB170</f>
        <v>526.06666666662989</v>
      </c>
      <c r="AE170" s="111">
        <f>IF(Q170&gt;0,(P170-AC170)/2,IF(AF170&gt;=AI170,(((P170*W170)*AB170)-AD170)/2,((((P170*W170)*AB170)-AC170)+(((P170*W170)*AB170)-AD170))/2))</f>
        <v>2144.73333333337</v>
      </c>
      <c r="AF170" s="111">
        <f>$D170+(($E170-1)/12)</f>
        <v>2016.4166666666667</v>
      </c>
      <c r="AG170" s="111">
        <f>($R$5+1)-($R$2/12)</f>
        <v>2017.5</v>
      </c>
      <c r="AH170" s="111">
        <f>$I170+(($E170-1)/12)</f>
        <v>2021.4166666666667</v>
      </c>
      <c r="AI170" s="113">
        <f>$R$4+($R$3/12)</f>
        <v>2016.5</v>
      </c>
      <c r="AJ170" s="113">
        <f>$J170+(($K170-1)/12)</f>
        <v>-8.3333333333333329E-2</v>
      </c>
      <c r="AK170" s="113">
        <f>$I170+(($E170-1)/12)</f>
        <v>2021.4166666666667</v>
      </c>
      <c r="AL170" s="113">
        <f>$R$4+($R$3/12)</f>
        <v>2016.5</v>
      </c>
      <c r="AM170" s="113">
        <f>$J170+(($K170-1)/12)</f>
        <v>-8.3333333333333329E-2</v>
      </c>
    </row>
    <row r="171" spans="1:39" x14ac:dyDescent="0.25">
      <c r="A171">
        <v>240</v>
      </c>
      <c r="B171" t="s">
        <v>755</v>
      </c>
      <c r="C171" t="s">
        <v>784</v>
      </c>
      <c r="D171" s="34">
        <v>2016</v>
      </c>
      <c r="E171" s="34">
        <v>12</v>
      </c>
      <c r="F171" s="75"/>
      <c r="G171" s="34" t="s">
        <v>433</v>
      </c>
      <c r="H171" s="34">
        <v>5</v>
      </c>
      <c r="I171">
        <f>+D171+H171</f>
        <v>2021</v>
      </c>
      <c r="L171" s="53" t="s">
        <v>788</v>
      </c>
      <c r="M171" s="53" t="s">
        <v>788</v>
      </c>
      <c r="N171" s="53" t="s">
        <v>788</v>
      </c>
      <c r="O171" s="53" t="s">
        <v>788</v>
      </c>
      <c r="P171" s="110">
        <v>15332</v>
      </c>
      <c r="Q171" s="110"/>
      <c r="R171" s="110">
        <f>+P171-P171*F171</f>
        <v>15332</v>
      </c>
      <c r="S171" s="111">
        <f>R171/H171/12</f>
        <v>255.53333333333333</v>
      </c>
      <c r="T171" s="111">
        <f>+P171/5</f>
        <v>3066.4</v>
      </c>
      <c r="U171" s="111">
        <f>IF(Q171=0,0,IF((AND((AJ171&gt;=AI171),(AJ171&lt;=AH171))),((AJ171-AI171)*12)*S171,0))</f>
        <v>0</v>
      </c>
      <c r="V171" s="111">
        <f>IF(U171&gt;0,U171,T171)</f>
        <v>3066.4</v>
      </c>
      <c r="W171" s="112">
        <v>1</v>
      </c>
      <c r="X171" s="111">
        <f>W171*SUM(T171:U171)</f>
        <v>3066.4</v>
      </c>
      <c r="Y171" s="112"/>
      <c r="Z171" s="111">
        <f>IF(AF171&gt;AG171,0,IF(AH171&lt;AI171,R171,IF((AND((AH171&gt;=AI171),(AH171&lt;=AG171))),(R171-V171),IF((AND((AI171&lt;=AF171),(AG171&gt;=AF171))),0,IF(AH171&gt;AG171,((AI171-AF171)*12)*S171,0)))))</f>
        <v>0</v>
      </c>
      <c r="AA171" s="111">
        <f>Z171*W171</f>
        <v>0</v>
      </c>
      <c r="AB171" s="112">
        <v>1</v>
      </c>
      <c r="AC171" s="111">
        <f>AA171*AB171</f>
        <v>0</v>
      </c>
      <c r="AD171" s="111">
        <f>IF(Q171&gt;0,0,AC171+X171*AB171)*AB171</f>
        <v>3066.4</v>
      </c>
      <c r="AE171" s="111">
        <f>+R171-AD171</f>
        <v>12265.6</v>
      </c>
      <c r="AF171" s="111">
        <f>$D171+(($E171-1)/12)</f>
        <v>2016.9166666666667</v>
      </c>
      <c r="AG171" s="111">
        <f>($R$5+1)-($R$2/12)</f>
        <v>2017.5</v>
      </c>
      <c r="AH171" s="111">
        <f>$I171+(($E171-1)/12)</f>
        <v>2021.9166666666667</v>
      </c>
      <c r="AI171" s="113">
        <f>$R$4+($R$3/12)</f>
        <v>2016.5</v>
      </c>
      <c r="AJ171" s="113">
        <f>$J171+(($K171-1)/12)</f>
        <v>-8.3333333333333329E-2</v>
      </c>
      <c r="AK171" s="113">
        <f>$I171+(($E171-1)/12)</f>
        <v>2021.9166666666667</v>
      </c>
      <c r="AL171" s="113">
        <f>$R$4+($R$3/12)</f>
        <v>2016.5</v>
      </c>
      <c r="AM171" s="113">
        <f>$J171+(($K171-1)/12)</f>
        <v>-8.3333333333333329E-2</v>
      </c>
    </row>
    <row r="172" spans="1:39" x14ac:dyDescent="0.25">
      <c r="B172" t="s">
        <v>612</v>
      </c>
      <c r="C172" t="s">
        <v>784</v>
      </c>
      <c r="D172" s="34">
        <v>2017</v>
      </c>
      <c r="E172" s="34">
        <v>6</v>
      </c>
      <c r="F172" s="75"/>
      <c r="G172" s="34" t="s">
        <v>433</v>
      </c>
      <c r="H172" s="34">
        <v>10</v>
      </c>
      <c r="I172">
        <f>+D172+H172</f>
        <v>2027</v>
      </c>
      <c r="L172" s="53" t="s">
        <v>788</v>
      </c>
      <c r="M172" s="53" t="s">
        <v>788</v>
      </c>
      <c r="N172" s="53" t="s">
        <v>788</v>
      </c>
      <c r="O172" s="53" t="s">
        <v>788</v>
      </c>
      <c r="P172" s="114">
        <v>105450</v>
      </c>
      <c r="Q172" s="114"/>
      <c r="R172" s="114">
        <f>+P172-P172*F172</f>
        <v>105450</v>
      </c>
      <c r="S172" s="115">
        <f>R172/H172/12</f>
        <v>878.75</v>
      </c>
      <c r="T172" s="115">
        <f>+P172/10</f>
        <v>10545</v>
      </c>
      <c r="U172" s="115">
        <f>IF(Q172=0,0,IF((AND((AJ172&gt;=AI172),(AJ172&lt;=AH172))),((AJ172-AI172)*12)*S172,0))</f>
        <v>0</v>
      </c>
      <c r="V172" s="115">
        <f>IF(U172&gt;0,U172,T172)</f>
        <v>10545</v>
      </c>
      <c r="W172" s="116">
        <v>1</v>
      </c>
      <c r="X172" s="115">
        <f>W172*SUM(T172:U172)</f>
        <v>10545</v>
      </c>
      <c r="Y172" s="116"/>
      <c r="Z172" s="115">
        <f>IF(AF172&gt;AG172,0,IF(AH172&lt;AI172,R172,IF((AND((AH172&gt;=AI172),(AH172&lt;=AG172))),(R172-V172),IF((AND((AI172&lt;=AF172),(AG172&gt;=AF172))),0,IF(AH172&gt;AG172,((AI172-AF172)*12)*S172,0)))))</f>
        <v>0</v>
      </c>
      <c r="AA172" s="115">
        <f>Z172*W172</f>
        <v>0</v>
      </c>
      <c r="AB172" s="116">
        <v>1</v>
      </c>
      <c r="AC172" s="115">
        <f>AA172*AB172</f>
        <v>0</v>
      </c>
      <c r="AD172" s="115">
        <f>IF(Q172&gt;0,0,AC172+X172*AB172)*AB172</f>
        <v>10545</v>
      </c>
      <c r="AE172" s="115">
        <f>+R172-T172</f>
        <v>94905</v>
      </c>
      <c r="AF172" s="111">
        <f>$D172+(($E172-1)/12)</f>
        <v>2017.4166666666667</v>
      </c>
      <c r="AG172" s="111">
        <f>($R$5+1)-($R$2/12)</f>
        <v>2017.5</v>
      </c>
      <c r="AH172" s="111">
        <f>$I172+(($E172-1)/12)</f>
        <v>2027.4166666666667</v>
      </c>
      <c r="AI172" s="113">
        <f>$R$4+($R$3/12)</f>
        <v>2016.5</v>
      </c>
      <c r="AJ172" s="113">
        <f>$J172+(($K172-1)/12)</f>
        <v>-8.3333333333333329E-2</v>
      </c>
      <c r="AK172" s="113">
        <f>$I172+(($E172-1)/12)</f>
        <v>2027.4166666666667</v>
      </c>
      <c r="AL172" s="113">
        <f>$R$4+($R$3/12)</f>
        <v>2016.5</v>
      </c>
      <c r="AM172" s="113">
        <f>$J172+(($K172-1)/12)</f>
        <v>-8.3333333333333329E-2</v>
      </c>
    </row>
    <row r="173" spans="1:39" x14ac:dyDescent="0.25">
      <c r="D173" s="34"/>
      <c r="E173" s="34"/>
      <c r="F173" s="75"/>
      <c r="G173" s="34"/>
      <c r="H173" s="34"/>
      <c r="L173" s="53"/>
      <c r="M173" s="53"/>
      <c r="N173" s="53"/>
      <c r="O173" s="53"/>
      <c r="P173" s="110">
        <f t="shared" ref="P173:AE173" si="45">SUM(P79:P172)</f>
        <v>2555696.06</v>
      </c>
      <c r="Q173" s="110">
        <f t="shared" si="45"/>
        <v>0</v>
      </c>
      <c r="R173" s="110">
        <f t="shared" si="45"/>
        <v>2555696.06</v>
      </c>
      <c r="S173" s="111">
        <f t="shared" si="45"/>
        <v>18638.861922619049</v>
      </c>
      <c r="T173" s="111">
        <f t="shared" si="45"/>
        <v>195231.56927976204</v>
      </c>
      <c r="U173" s="111">
        <f t="shared" si="45"/>
        <v>0</v>
      </c>
      <c r="V173" s="111">
        <f t="shared" si="45"/>
        <v>195231.56927976204</v>
      </c>
      <c r="W173" s="112">
        <f t="shared" si="45"/>
        <v>94</v>
      </c>
      <c r="X173" s="111">
        <f t="shared" si="45"/>
        <v>195231.56927976204</v>
      </c>
      <c r="Y173" s="112">
        <f t="shared" si="45"/>
        <v>0</v>
      </c>
      <c r="Z173" s="111">
        <f t="shared" si="45"/>
        <v>1225818.3273868985</v>
      </c>
      <c r="AA173" s="111">
        <f t="shared" si="45"/>
        <v>1225818.3273868985</v>
      </c>
      <c r="AB173" s="112">
        <f t="shared" si="45"/>
        <v>94</v>
      </c>
      <c r="AC173" s="111">
        <f t="shared" si="45"/>
        <v>1225818.3273868985</v>
      </c>
      <c r="AD173" s="111">
        <f t="shared" si="45"/>
        <v>1421049.8966666614</v>
      </c>
      <c r="AE173" s="111">
        <f t="shared" si="45"/>
        <v>1225456.2479732195</v>
      </c>
      <c r="AF173" s="111"/>
      <c r="AG173" s="111"/>
      <c r="AH173" s="111"/>
      <c r="AI173" s="113"/>
      <c r="AJ173" s="113"/>
      <c r="AK173" s="113"/>
      <c r="AL173" s="113"/>
      <c r="AM173" s="113"/>
    </row>
    <row r="174" spans="1:39" x14ac:dyDescent="0.25">
      <c r="D174" s="34"/>
      <c r="E174" s="34"/>
      <c r="F174" s="75"/>
      <c r="G174" s="34"/>
      <c r="H174" s="34"/>
      <c r="L174" s="53"/>
      <c r="M174" s="53"/>
      <c r="N174" s="53"/>
      <c r="O174" s="53"/>
      <c r="P174" s="110"/>
      <c r="Q174" s="110"/>
      <c r="R174" s="110"/>
      <c r="S174" s="111"/>
      <c r="T174" s="111"/>
      <c r="U174" s="111"/>
      <c r="V174" s="111"/>
      <c r="W174" s="112"/>
      <c r="X174" s="111"/>
      <c r="Y174" s="112"/>
      <c r="Z174" s="111"/>
      <c r="AA174" s="111"/>
      <c r="AB174" s="112"/>
      <c r="AC174" s="111"/>
      <c r="AD174" s="111"/>
      <c r="AE174" s="111"/>
      <c r="AF174" s="111"/>
      <c r="AG174" s="111"/>
      <c r="AH174" s="111"/>
      <c r="AI174" s="113"/>
      <c r="AJ174" s="113"/>
      <c r="AK174" s="113"/>
      <c r="AL174" s="113"/>
      <c r="AM174" s="113"/>
    </row>
    <row r="175" spans="1:39" x14ac:dyDescent="0.25">
      <c r="D175" s="34"/>
      <c r="E175" s="34"/>
      <c r="F175" s="75"/>
      <c r="G175" s="34"/>
      <c r="H175" s="34"/>
      <c r="L175" s="53"/>
      <c r="M175" s="53"/>
      <c r="N175" s="53"/>
      <c r="O175" s="53"/>
      <c r="P175" s="110"/>
      <c r="Q175" s="110"/>
      <c r="R175" s="110"/>
      <c r="S175" s="111"/>
      <c r="T175" s="111"/>
      <c r="U175" s="111"/>
      <c r="V175" s="111"/>
      <c r="W175" s="112"/>
      <c r="X175" s="111"/>
      <c r="Y175" s="112"/>
      <c r="Z175" s="111"/>
      <c r="AA175" s="111"/>
      <c r="AB175" s="112"/>
      <c r="AC175" s="111"/>
      <c r="AD175" s="111"/>
      <c r="AE175" s="111"/>
      <c r="AF175" s="111"/>
      <c r="AG175" s="111"/>
      <c r="AH175" s="111"/>
      <c r="AI175" s="113"/>
      <c r="AJ175" s="113"/>
      <c r="AK175" s="113"/>
      <c r="AL175" s="113"/>
      <c r="AM175" s="113"/>
    </row>
    <row r="176" spans="1:39" x14ac:dyDescent="0.25">
      <c r="A176">
        <v>12</v>
      </c>
      <c r="B176" t="s">
        <v>450</v>
      </c>
      <c r="D176" s="34">
        <v>1989</v>
      </c>
      <c r="E176" s="34">
        <v>10</v>
      </c>
      <c r="F176" s="75"/>
      <c r="G176" s="34" t="s">
        <v>433</v>
      </c>
      <c r="H176" s="34">
        <v>20</v>
      </c>
      <c r="I176">
        <f>+D176+H176</f>
        <v>2009</v>
      </c>
      <c r="L176">
        <v>10</v>
      </c>
      <c r="M176">
        <f>+D176+L176</f>
        <v>1999</v>
      </c>
      <c r="N176" s="53" t="s">
        <v>788</v>
      </c>
      <c r="O176" s="32">
        <f>+R176</f>
        <v>25000</v>
      </c>
      <c r="P176" s="32">
        <v>25000</v>
      </c>
      <c r="Q176" s="32"/>
      <c r="R176" s="32">
        <f>+P176-P176*F176</f>
        <v>25000</v>
      </c>
      <c r="S176" s="107">
        <f>R176/H176/12</f>
        <v>104.16666666666667</v>
      </c>
      <c r="T176" s="107">
        <f>IF(Q176&gt;0,0,IF((OR((AF176&gt;AG176),(AH176&lt;AI176))),0,IF((AND((AH176&gt;=AI176),(AH176&lt;=AG176))),S176*((AH176-AI176)*12),IF((AND((AI176&lt;=AF176),(AG176&gt;=AF176))),((AG176-AF176)*12)*S176,IF(AH176&gt;AG176,12*S176,0)))))</f>
        <v>0</v>
      </c>
      <c r="U176" s="107">
        <f>IF(Q176=0,0,IF((AND((AJ176&gt;=AI176),(AJ176&lt;=AH176))),((AJ176-AI176)*12)*S176,0))</f>
        <v>0</v>
      </c>
      <c r="V176" s="107">
        <f>IF(U176&gt;0,U176,T176)</f>
        <v>0</v>
      </c>
      <c r="W176" s="105">
        <v>1</v>
      </c>
      <c r="X176" s="107">
        <f>W176*SUM(T176:U176)</f>
        <v>0</v>
      </c>
      <c r="Y176" s="105"/>
      <c r="Z176" s="107">
        <f>IF(AF176&gt;AG176,0,IF(AH176&lt;AI176,R176,IF((AND((AH176&gt;=AI176),(AH176&lt;=AG176))),(R176-V176),IF((AND((AI176&lt;=AF176),(AG176&gt;=AF176))),0,IF(AH176&gt;AG176,((AI176-AF176)*12)*S176,0)))))</f>
        <v>25000</v>
      </c>
      <c r="AA176" s="107">
        <f>Z176*W176</f>
        <v>25000</v>
      </c>
      <c r="AB176" s="105">
        <v>1</v>
      </c>
      <c r="AC176" s="107">
        <f>AA176*AB176</f>
        <v>25000</v>
      </c>
      <c r="AD176" s="107">
        <f>IF(Q176&gt;0,0,AC176+X176*AB176)*AB176</f>
        <v>25000</v>
      </c>
      <c r="AE176" s="107">
        <f>IF(Q176&gt;0,(P176-AC176)/2,IF(AF176&gt;=AI176,(((P176*W176)*AB176)-AD176)/2,((((P176*W176)*AB176)-AC176)+(((P176*W176)*AB176)-AD176))/2))</f>
        <v>0</v>
      </c>
      <c r="AF176" s="107">
        <f>$D176+(($E176-1)/12)</f>
        <v>1989.75</v>
      </c>
      <c r="AG176" s="107">
        <f>($R$5+1)-($R$2/12)</f>
        <v>2017.5</v>
      </c>
      <c r="AH176" s="107">
        <f>$I176+(($E176-1)/12)</f>
        <v>2009.75</v>
      </c>
      <c r="AI176" s="108">
        <f>$R$4+($R$3/12)</f>
        <v>2016.5</v>
      </c>
      <c r="AJ176" s="108">
        <f>$J176+(($K176-1)/12)</f>
        <v>-8.3333333333333329E-2</v>
      </c>
      <c r="AK176" s="108">
        <f>$I176+(($E176-1)/12)</f>
        <v>2009.75</v>
      </c>
      <c r="AL176" s="108">
        <f>$R$4+($R$3/12)</f>
        <v>2016.5</v>
      </c>
      <c r="AM176" s="108">
        <f>$J176+(($K176-1)/12)</f>
        <v>-8.3333333333333329E-2</v>
      </c>
    </row>
    <row r="177" spans="1:39" x14ac:dyDescent="0.25">
      <c r="A177">
        <v>13</v>
      </c>
      <c r="B177" t="s">
        <v>451</v>
      </c>
      <c r="D177" s="34">
        <v>1989</v>
      </c>
      <c r="E177" s="34">
        <v>10</v>
      </c>
      <c r="F177" s="75"/>
      <c r="G177" s="34" t="s">
        <v>433</v>
      </c>
      <c r="H177" s="34">
        <v>20</v>
      </c>
      <c r="I177">
        <f>+D177+H177</f>
        <v>2009</v>
      </c>
      <c r="L177">
        <v>10</v>
      </c>
      <c r="M177">
        <f>+D177+L177</f>
        <v>1999</v>
      </c>
      <c r="N177" s="53" t="s">
        <v>788</v>
      </c>
      <c r="O177" s="32">
        <f>+R177</f>
        <v>25000</v>
      </c>
      <c r="P177" s="32">
        <v>25000</v>
      </c>
      <c r="Q177" s="32"/>
      <c r="R177" s="32">
        <f>+P177-P177*F177</f>
        <v>25000</v>
      </c>
      <c r="S177" s="107">
        <f>R177/H177/12</f>
        <v>104.16666666666667</v>
      </c>
      <c r="T177" s="107">
        <f>IF(Q177&gt;0,0,IF((OR((AF177&gt;AG177),(AH177&lt;AI177))),0,IF((AND((AH177&gt;=AI177),(AH177&lt;=AG177))),S177*((AH177-AI177)*12),IF((AND((AI177&lt;=AF177),(AG177&gt;=AF177))),((AG177-AF177)*12)*S177,IF(AH177&gt;AG177,12*S177,0)))))</f>
        <v>0</v>
      </c>
      <c r="U177" s="107">
        <f>IF(Q177=0,0,IF((AND((AJ177&gt;=AI177),(AJ177&lt;=AH177))),((AJ177-AI177)*12)*S177,0))</f>
        <v>0</v>
      </c>
      <c r="V177" s="107">
        <f>IF(U177&gt;0,U177,T177)</f>
        <v>0</v>
      </c>
      <c r="W177" s="105">
        <v>1</v>
      </c>
      <c r="X177" s="107">
        <f>W177*SUM(T177:U177)</f>
        <v>0</v>
      </c>
      <c r="Y177" s="105"/>
      <c r="Z177" s="107">
        <f>IF(AF177&gt;AG177,0,IF(AH177&lt;AI177,R177,IF((AND((AH177&gt;=AI177),(AH177&lt;=AG177))),(R177-V177),IF((AND((AI177&lt;=AF177),(AG177&gt;=AF177))),0,IF(AH177&gt;AG177,((AI177-AF177)*12)*S177,0)))))</f>
        <v>25000</v>
      </c>
      <c r="AA177" s="107">
        <f>Z177*W177</f>
        <v>25000</v>
      </c>
      <c r="AB177" s="105">
        <v>1</v>
      </c>
      <c r="AC177" s="107">
        <f>AA177*AB177</f>
        <v>25000</v>
      </c>
      <c r="AD177" s="107">
        <f>IF(Q177&gt;0,0,AC177+X177*AB177)*AB177</f>
        <v>25000</v>
      </c>
      <c r="AE177" s="107">
        <f>IF(Q177&gt;0,(P177-AC177)/2,IF(AF177&gt;=AI177,(((P177*W177)*AB177)-AD177)/2,((((P177*W177)*AB177)-AC177)+(((P177*W177)*AB177)-AD177))/2))</f>
        <v>0</v>
      </c>
      <c r="AF177" s="107">
        <f>$D177+(($E177-1)/12)</f>
        <v>1989.75</v>
      </c>
      <c r="AG177" s="107">
        <f>($R$5+1)-($R$2/12)</f>
        <v>2017.5</v>
      </c>
      <c r="AH177" s="107">
        <f>$I177+(($E177-1)/12)</f>
        <v>2009.75</v>
      </c>
      <c r="AI177" s="108">
        <f>$R$4+($R$3/12)</f>
        <v>2016.5</v>
      </c>
      <c r="AJ177" s="108">
        <f>$J177+(($K177-1)/12)</f>
        <v>-8.3333333333333329E-2</v>
      </c>
      <c r="AK177" s="108">
        <f>$I177+(($E177-1)/12)</f>
        <v>2009.75</v>
      </c>
      <c r="AL177" s="108">
        <f>$R$4+($R$3/12)</f>
        <v>2016.5</v>
      </c>
      <c r="AM177" s="108">
        <f>$J177+(($K177-1)/12)</f>
        <v>-8.3333333333333329E-2</v>
      </c>
    </row>
    <row r="178" spans="1:39" x14ac:dyDescent="0.25">
      <c r="A178">
        <v>14</v>
      </c>
      <c r="B178" s="117" t="s">
        <v>452</v>
      </c>
      <c r="C178" s="117"/>
      <c r="D178" s="34">
        <v>1989</v>
      </c>
      <c r="E178" s="34">
        <v>10</v>
      </c>
      <c r="F178" s="75"/>
      <c r="G178" s="34" t="s">
        <v>433</v>
      </c>
      <c r="H178" s="34">
        <v>10</v>
      </c>
      <c r="I178">
        <f>+D178+H178</f>
        <v>1999</v>
      </c>
      <c r="L178" s="53" t="s">
        <v>788</v>
      </c>
      <c r="M178" s="53" t="s">
        <v>788</v>
      </c>
      <c r="N178" s="53" t="s">
        <v>788</v>
      </c>
      <c r="O178" s="53" t="s">
        <v>788</v>
      </c>
      <c r="P178" s="110">
        <v>2500</v>
      </c>
      <c r="Q178" s="110"/>
      <c r="R178" s="110">
        <f>+P178-P178*F178</f>
        <v>2500</v>
      </c>
      <c r="S178" s="111">
        <f>R178/H178/12</f>
        <v>20.833333333333332</v>
      </c>
      <c r="T178" s="111">
        <f>IF(Q178&gt;0,0,IF((OR((AF178&gt;AG178),(AH178&lt;AI178))),0,IF((AND((AH178&gt;=AI178),(AH178&lt;=AG178))),S178*((AH178-AI178)*12),IF((AND((AI178&lt;=AF178),(AG178&gt;=AF178))),((AG178-AF178)*12)*S178,IF(AH178&gt;AG178,12*S178,0)))))</f>
        <v>0</v>
      </c>
      <c r="U178" s="111">
        <f>IF(Q178=0,0,IF((AND((AJ178&gt;=AI178),(AJ178&lt;=AH178))),((AJ178-AI178)*12)*S178,0))</f>
        <v>0</v>
      </c>
      <c r="V178" s="111">
        <f>IF(U178&gt;0,U178,T178)</f>
        <v>0</v>
      </c>
      <c r="W178" s="112">
        <v>1</v>
      </c>
      <c r="X178" s="111">
        <f>W178*SUM(T178:U178)</f>
        <v>0</v>
      </c>
      <c r="Y178" s="112"/>
      <c r="Z178" s="111">
        <f>IF(AF178&gt;AG178,0,IF(AH178&lt;AI178,R178,IF((AND((AH178&gt;=AI178),(AH178&lt;=AG178))),(R178-V178),IF((AND((AI178&lt;=AF178),(AG178&gt;=AF178))),0,IF(AH178&gt;AG178,((AI178-AF178)*12)*S178,0)))))</f>
        <v>2500</v>
      </c>
      <c r="AA178" s="111">
        <f>Z178*W178</f>
        <v>2500</v>
      </c>
      <c r="AB178" s="112">
        <v>1</v>
      </c>
      <c r="AC178" s="111">
        <f>AA178*AB178</f>
        <v>2500</v>
      </c>
      <c r="AD178" s="111">
        <f>IF(Q178&gt;0,0,AC178+X178*AB178)*AB178</f>
        <v>2500</v>
      </c>
      <c r="AE178" s="111">
        <f>IF(Q178&gt;0,(P178-AC178)/2,IF(AF178&gt;=AI178,(((P178*W178)*AB178)-AD178)/2,((((P178*W178)*AB178)-AC178)+(((P178*W178)*AB178)-AD178))/2))</f>
        <v>0</v>
      </c>
      <c r="AF178" s="107">
        <f>$D178+(($E178-1)/12)</f>
        <v>1989.75</v>
      </c>
      <c r="AG178" s="107">
        <f>($R$5+1)-($R$2/12)</f>
        <v>2017.5</v>
      </c>
      <c r="AH178" s="107">
        <f>$I178+(($E178-1)/12)</f>
        <v>1999.75</v>
      </c>
      <c r="AI178" s="108">
        <f>$R$4+($R$3/12)</f>
        <v>2016.5</v>
      </c>
      <c r="AJ178" s="108">
        <f>$J178+(($K178-1)/12)</f>
        <v>-8.3333333333333329E-2</v>
      </c>
      <c r="AK178" s="108">
        <f>$I178+(($E178-1)/12)</f>
        <v>1999.75</v>
      </c>
      <c r="AL178" s="108">
        <f>$R$4+($R$3/12)</f>
        <v>2016.5</v>
      </c>
      <c r="AM178" s="108">
        <f>$J178+(($K178-1)/12)</f>
        <v>-8.3333333333333329E-2</v>
      </c>
    </row>
    <row r="179" spans="1:39" x14ac:dyDescent="0.25">
      <c r="A179">
        <v>19</v>
      </c>
      <c r="B179" t="s">
        <v>456</v>
      </c>
      <c r="D179" s="34">
        <v>1996</v>
      </c>
      <c r="E179" s="34">
        <v>5</v>
      </c>
      <c r="F179" s="75"/>
      <c r="G179" s="34" t="s">
        <v>433</v>
      </c>
      <c r="H179" s="34">
        <v>20</v>
      </c>
      <c r="I179">
        <f>+D179+H179</f>
        <v>2016</v>
      </c>
      <c r="L179">
        <v>10</v>
      </c>
      <c r="M179">
        <f>+D179+L179</f>
        <v>2006</v>
      </c>
      <c r="N179" s="53" t="s">
        <v>788</v>
      </c>
      <c r="O179" s="32">
        <f>+R179</f>
        <v>200000</v>
      </c>
      <c r="P179" s="32">
        <v>200000</v>
      </c>
      <c r="Q179" s="32"/>
      <c r="R179" s="32">
        <f>+P179-P179*F179</f>
        <v>200000</v>
      </c>
      <c r="S179" s="107">
        <f>R179/H179/12</f>
        <v>833.33333333333337</v>
      </c>
      <c r="T179" s="107">
        <f>IF(Q179&gt;0,0,IF((OR((AF179&gt;AG179),(AH179&lt;AI179))),0,IF((AND((AH179&gt;=AI179),(AH179&lt;=AG179))),S179*((AH179-AI179)*12),IF((AND((AI179&lt;=AF179),(AG179&gt;=AF179))),((AG179-AF179)*12)*S179,IF(AH179&gt;AG179,12*S179,0)))))</f>
        <v>0</v>
      </c>
      <c r="U179" s="107">
        <f>IF(Q179=0,0,IF((AND((AJ179&gt;=AI179),(AJ179&lt;=AH179))),((AJ179-AI179)*12)*S179,0))</f>
        <v>0</v>
      </c>
      <c r="V179" s="107">
        <f>IF(U179&gt;0,U179,T179)</f>
        <v>0</v>
      </c>
      <c r="W179" s="105">
        <v>1</v>
      </c>
      <c r="X179" s="107">
        <f>W179*SUM(T179:U179)</f>
        <v>0</v>
      </c>
      <c r="Y179" s="105"/>
      <c r="Z179" s="107">
        <f>IF(AF179&gt;AG179,0,IF(AH179&lt;AI179,R179,IF((AND((AH179&gt;=AI179),(AH179&lt;=AG179))),(R179-V179),IF((AND((AI179&lt;=AF179),(AG179&gt;=AF179))),0,IF(AH179&gt;AG179,((AI179-AF179)*12)*S179,0)))))</f>
        <v>200000</v>
      </c>
      <c r="AA179" s="107">
        <f>Z179*W179</f>
        <v>200000</v>
      </c>
      <c r="AB179" s="105">
        <v>1</v>
      </c>
      <c r="AC179" s="107">
        <f>AA179*AB179</f>
        <v>200000</v>
      </c>
      <c r="AD179" s="107">
        <f>IF(Q179&gt;0,0,AC179+X179*AB179)*AB179</f>
        <v>200000</v>
      </c>
      <c r="AE179" s="107">
        <f>IF(Q179&gt;0,(P179-AC179)/2,IF(AF179&gt;=AI179,(((P179*W179)*AB179)-AD179)/2,((((P179*W179)*AB179)-AC179)+(((P179*W179)*AB179)-AD179))/2))</f>
        <v>0</v>
      </c>
      <c r="AF179" s="107">
        <f>$D179+(($E179-1)/12)</f>
        <v>1996.3333333333333</v>
      </c>
      <c r="AG179" s="107">
        <f>($R$5+1)-($R$2/12)</f>
        <v>2017.5</v>
      </c>
      <c r="AH179" s="107">
        <f>$I179+(($E179-1)/12)</f>
        <v>2016.3333333333333</v>
      </c>
      <c r="AI179" s="108">
        <f>$R$4+($R$3/12)</f>
        <v>2016.5</v>
      </c>
      <c r="AJ179" s="108">
        <f>$J179+(($K179-1)/12)</f>
        <v>-8.3333333333333329E-2</v>
      </c>
      <c r="AK179" s="108">
        <f>$I179+(($E179-1)/12)</f>
        <v>2016.3333333333333</v>
      </c>
      <c r="AL179" s="108">
        <f>$R$4+($R$3/12)</f>
        <v>2016.5</v>
      </c>
      <c r="AM179" s="108">
        <f>$J179+(($K179-1)/12)</f>
        <v>-8.3333333333333329E-2</v>
      </c>
    </row>
    <row r="180" spans="1:39" x14ac:dyDescent="0.25">
      <c r="A180">
        <v>20</v>
      </c>
      <c r="B180" t="s">
        <v>457</v>
      </c>
      <c r="D180" s="34">
        <v>1996</v>
      </c>
      <c r="E180" s="34">
        <v>8</v>
      </c>
      <c r="F180" s="75"/>
      <c r="G180" s="34" t="s">
        <v>433</v>
      </c>
      <c r="H180" s="34">
        <v>7</v>
      </c>
      <c r="I180">
        <f>+D180+H180</f>
        <v>2003</v>
      </c>
      <c r="L180" s="53" t="s">
        <v>788</v>
      </c>
      <c r="M180" s="53" t="s">
        <v>788</v>
      </c>
      <c r="N180" s="53" t="s">
        <v>788</v>
      </c>
      <c r="O180" s="53" t="s">
        <v>788</v>
      </c>
      <c r="P180" s="32">
        <v>16000</v>
      </c>
      <c r="Q180" s="32"/>
      <c r="R180" s="32">
        <f>+P180-P180*F180</f>
        <v>16000</v>
      </c>
      <c r="S180" s="107">
        <f>R180/H180/12</f>
        <v>190.47619047619048</v>
      </c>
      <c r="T180" s="107">
        <f>IF(Q180&gt;0,0,IF((OR((AF180&gt;AG180),(AH180&lt;AI180))),0,IF((AND((AH180&gt;=AI180),(AH180&lt;=AG180))),S180*((AH180-AI180)*12),IF((AND((AI180&lt;=AF180),(AG180&gt;=AF180))),((AG180-AF180)*12)*S180,IF(AH180&gt;AG180,12*S180,0)))))</f>
        <v>0</v>
      </c>
      <c r="U180" s="107">
        <f>IF(Q180=0,0,IF((AND((AJ180&gt;=AI180),(AJ180&lt;=AH180))),((AJ180-AI180)*12)*S180,0))</f>
        <v>0</v>
      </c>
      <c r="V180" s="107">
        <f>IF(U180&gt;0,U180,T180)</f>
        <v>0</v>
      </c>
      <c r="W180" s="105">
        <v>1</v>
      </c>
      <c r="X180" s="107">
        <f>W180*SUM(T180:U180)</f>
        <v>0</v>
      </c>
      <c r="Y180" s="105"/>
      <c r="Z180" s="107">
        <f>IF(AF180&gt;AG180,0,IF(AH180&lt;AI180,R180,IF((AND((AH180&gt;=AI180),(AH180&lt;=AG180))),(R180-V180),IF((AND((AI180&lt;=AF180),(AG180&gt;=AF180))),0,IF(AH180&gt;AG180,((AI180-AF180)*12)*S180,0)))))</f>
        <v>16000</v>
      </c>
      <c r="AA180" s="107">
        <f>Z180*W180</f>
        <v>16000</v>
      </c>
      <c r="AB180" s="105">
        <v>1</v>
      </c>
      <c r="AC180" s="107">
        <f>AA180*AB180</f>
        <v>16000</v>
      </c>
      <c r="AD180" s="107">
        <f>IF(Q180&gt;0,0,AC180+X180*AB180)*AB180</f>
        <v>16000</v>
      </c>
      <c r="AE180" s="107">
        <f>IF(Q180&gt;0,(P180-AC180)/2,IF(AF180&gt;=AI180,(((P180*W180)*AB180)-AD180)/2,((((P180*W180)*AB180)-AC180)+(((P180*W180)*AB180)-AD180))/2))</f>
        <v>0</v>
      </c>
      <c r="AF180" s="107">
        <f>$D180+(($E180-1)/12)</f>
        <v>1996.5833333333333</v>
      </c>
      <c r="AG180" s="107">
        <f>($R$5+1)-($R$2/12)</f>
        <v>2017.5</v>
      </c>
      <c r="AH180" s="107">
        <f>$I180+(($E180-1)/12)</f>
        <v>2003.5833333333333</v>
      </c>
      <c r="AI180" s="108">
        <f>$R$4+($R$3/12)</f>
        <v>2016.5</v>
      </c>
      <c r="AJ180" s="108">
        <f>$J180+(($K180-1)/12)</f>
        <v>-8.3333333333333329E-2</v>
      </c>
      <c r="AK180" s="108">
        <f>$I180+(($E180-1)/12)</f>
        <v>2003.5833333333333</v>
      </c>
      <c r="AL180" s="108">
        <f>$R$4+($R$3/12)</f>
        <v>2016.5</v>
      </c>
      <c r="AM180" s="108">
        <f>$J180+(($K180-1)/12)</f>
        <v>-8.3333333333333329E-2</v>
      </c>
    </row>
    <row r="181" spans="1:39" x14ac:dyDescent="0.25">
      <c r="A181">
        <v>21</v>
      </c>
      <c r="B181" t="s">
        <v>458</v>
      </c>
      <c r="D181" s="34">
        <v>1996</v>
      </c>
      <c r="E181" s="34">
        <v>10</v>
      </c>
      <c r="F181" s="75"/>
      <c r="G181" s="34" t="s">
        <v>433</v>
      </c>
      <c r="H181" s="34">
        <v>7</v>
      </c>
      <c r="I181">
        <f>+D181+H181</f>
        <v>2003</v>
      </c>
      <c r="L181" s="53" t="s">
        <v>788</v>
      </c>
      <c r="M181" s="53" t="s">
        <v>788</v>
      </c>
      <c r="N181" s="53" t="s">
        <v>788</v>
      </c>
      <c r="O181" s="53" t="s">
        <v>788</v>
      </c>
      <c r="P181" s="32">
        <v>2182</v>
      </c>
      <c r="Q181" s="32"/>
      <c r="R181" s="32">
        <f>+P181-P181*F181</f>
        <v>2182</v>
      </c>
      <c r="S181" s="107">
        <f>R181/H181/12</f>
        <v>25.976190476190478</v>
      </c>
      <c r="T181" s="107">
        <f>IF(Q181&gt;0,0,IF((OR((AF181&gt;AG181),(AH181&lt;AI181))),0,IF((AND((AH181&gt;=AI181),(AH181&lt;=AG181))),S181*((AH181-AI181)*12),IF((AND((AI181&lt;=AF181),(AG181&gt;=AF181))),((AG181-AF181)*12)*S181,IF(AH181&gt;AG181,12*S181,0)))))</f>
        <v>0</v>
      </c>
      <c r="U181" s="107">
        <f>IF(Q181=0,0,IF((AND((AJ181&gt;=AI181),(AJ181&lt;=AH181))),((AJ181-AI181)*12)*S181,0))</f>
        <v>0</v>
      </c>
      <c r="V181" s="107">
        <f>IF(U181&gt;0,U181,T181)</f>
        <v>0</v>
      </c>
      <c r="W181" s="105">
        <v>1</v>
      </c>
      <c r="X181" s="107">
        <f>W181*SUM(T181:U181)</f>
        <v>0</v>
      </c>
      <c r="Y181" s="105"/>
      <c r="Z181" s="107">
        <f>IF(AF181&gt;AG181,0,IF(AH181&lt;AI181,R181,IF((AND((AH181&gt;=AI181),(AH181&lt;=AG181))),(R181-V181),IF((AND((AI181&lt;=AF181),(AG181&gt;=AF181))),0,IF(AH181&gt;AG181,((AI181-AF181)*12)*S181,0)))))</f>
        <v>2182</v>
      </c>
      <c r="AA181" s="107">
        <f>Z181*W181</f>
        <v>2182</v>
      </c>
      <c r="AB181" s="105">
        <v>1</v>
      </c>
      <c r="AC181" s="107">
        <f>AA181*AB181</f>
        <v>2182</v>
      </c>
      <c r="AD181" s="107">
        <f>IF(Q181&gt;0,0,AC181+X181*AB181)*AB181</f>
        <v>2182</v>
      </c>
      <c r="AE181" s="107">
        <f>IF(Q181&gt;0,(P181-AC181)/2,IF(AF181&gt;=AI181,(((P181*W181)*AB181)-AD181)/2,((((P181*W181)*AB181)-AC181)+(((P181*W181)*AB181)-AD181))/2))</f>
        <v>0</v>
      </c>
      <c r="AF181" s="107">
        <f>$D181+(($E181-1)/12)</f>
        <v>1996.75</v>
      </c>
      <c r="AG181" s="107">
        <f>($R$5+1)-($R$2/12)</f>
        <v>2017.5</v>
      </c>
      <c r="AH181" s="107">
        <f>$I181+(($E181-1)/12)</f>
        <v>2003.75</v>
      </c>
      <c r="AI181" s="108">
        <f>$R$4+($R$3/12)</f>
        <v>2016.5</v>
      </c>
      <c r="AJ181" s="108">
        <f>$J181+(($K181-1)/12)</f>
        <v>-8.3333333333333329E-2</v>
      </c>
      <c r="AK181" s="108">
        <f>$I181+(($E181-1)/12)</f>
        <v>2003.75</v>
      </c>
      <c r="AL181" s="108">
        <f>$R$4+($R$3/12)</f>
        <v>2016.5</v>
      </c>
      <c r="AM181" s="108">
        <f>$J181+(($K181-1)/12)</f>
        <v>-8.3333333333333329E-2</v>
      </c>
    </row>
    <row r="182" spans="1:39" x14ac:dyDescent="0.25">
      <c r="A182">
        <v>53</v>
      </c>
      <c r="B182" t="s">
        <v>457</v>
      </c>
      <c r="D182" s="34">
        <v>1996</v>
      </c>
      <c r="E182" s="34">
        <v>11</v>
      </c>
      <c r="F182" s="75"/>
      <c r="G182" s="34" t="s">
        <v>433</v>
      </c>
      <c r="H182" s="34">
        <v>5</v>
      </c>
      <c r="I182">
        <f>+D182+H182</f>
        <v>2001</v>
      </c>
      <c r="L182" s="53" t="s">
        <v>788</v>
      </c>
      <c r="M182" s="53" t="s">
        <v>788</v>
      </c>
      <c r="N182" s="53" t="s">
        <v>788</v>
      </c>
      <c r="O182" s="53" t="s">
        <v>788</v>
      </c>
      <c r="P182" s="32">
        <v>7851</v>
      </c>
      <c r="Q182" s="32"/>
      <c r="R182" s="32">
        <f>+P182-P182*F182</f>
        <v>7851</v>
      </c>
      <c r="S182" s="107">
        <f>R182/H182/12</f>
        <v>130.85</v>
      </c>
      <c r="T182" s="107">
        <f>IF(Q182&gt;0,0,IF((OR((AF182&gt;AG182),(AH182&lt;AI182))),0,IF((AND((AH182&gt;=AI182),(AH182&lt;=AG182))),S182*((AH182-AI182)*12),IF((AND((AI182&lt;=AF182),(AG182&gt;=AF182))),((AG182-AF182)*12)*S182,IF(AH182&gt;AG182,12*S182,0)))))</f>
        <v>0</v>
      </c>
      <c r="U182" s="107">
        <f>IF(Q182=0,0,IF((AND((AJ182&gt;=AI182),(AJ182&lt;=AH182))),((AJ182-AI182)*12)*S182,0))</f>
        <v>0</v>
      </c>
      <c r="V182" s="107">
        <f>IF(U182&gt;0,U182,T182)</f>
        <v>0</v>
      </c>
      <c r="W182" s="105">
        <v>1</v>
      </c>
      <c r="X182" s="107">
        <f>W182*SUM(T182:U182)</f>
        <v>0</v>
      </c>
      <c r="Y182" s="105"/>
      <c r="Z182" s="107">
        <f>IF(AF182&gt;AG182,0,IF(AH182&lt;AI182,R182,IF((AND((AH182&gt;=AI182),(AH182&lt;=AG182))),(R182-V182),IF((AND((AI182&lt;=AF182),(AG182&gt;=AF182))),0,IF(AH182&gt;AG182,((AI182-AF182)*12)*S182,0)))))</f>
        <v>7851</v>
      </c>
      <c r="AA182" s="107">
        <f>Z182*W182</f>
        <v>7851</v>
      </c>
      <c r="AB182" s="105">
        <v>1</v>
      </c>
      <c r="AC182" s="107">
        <f>AA182*AB182</f>
        <v>7851</v>
      </c>
      <c r="AD182" s="107">
        <f>IF(Q182&gt;0,0,AC182+X182*AB182)*AB182</f>
        <v>7851</v>
      </c>
      <c r="AE182" s="107">
        <f>IF(Q182&gt;0,(P182-AC182)/2,IF(AF182&gt;=AI182,(((P182*W182)*AB182)-AD182)/2,((((P182*W182)*AB182)-AC182)+(((P182*W182)*AB182)-AD182))/2))</f>
        <v>0</v>
      </c>
      <c r="AF182" s="107">
        <f>$D182+(($E182-1)/12)</f>
        <v>1996.8333333333333</v>
      </c>
      <c r="AG182" s="107">
        <f>($R$5+1)-($R$2/12)</f>
        <v>2017.5</v>
      </c>
      <c r="AH182" s="107">
        <f>$I182+(($E182-1)/12)</f>
        <v>2001.8333333333333</v>
      </c>
      <c r="AI182" s="108">
        <f>$R$4+($R$3/12)</f>
        <v>2016.5</v>
      </c>
      <c r="AJ182" s="108">
        <f>$J182+(($K182-1)/12)</f>
        <v>-8.3333333333333329E-2</v>
      </c>
      <c r="AK182" s="108">
        <f>$I182+(($E182-1)/12)</f>
        <v>2001.8333333333333</v>
      </c>
      <c r="AL182" s="108">
        <f>$R$4+($R$3/12)</f>
        <v>2016.5</v>
      </c>
      <c r="AM182" s="108">
        <f>$J182+(($K182-1)/12)</f>
        <v>-8.3333333333333329E-2</v>
      </c>
    </row>
    <row r="183" spans="1:39" x14ac:dyDescent="0.25">
      <c r="A183">
        <v>56</v>
      </c>
      <c r="B183" t="s">
        <v>488</v>
      </c>
      <c r="D183" s="34">
        <v>2005</v>
      </c>
      <c r="E183" s="34">
        <v>11</v>
      </c>
      <c r="F183" s="75"/>
      <c r="G183" s="34" t="s">
        <v>433</v>
      </c>
      <c r="H183" s="34">
        <v>7</v>
      </c>
      <c r="I183">
        <f>+D183+H183</f>
        <v>2012</v>
      </c>
      <c r="L183" s="53" t="s">
        <v>788</v>
      </c>
      <c r="M183" s="53" t="s">
        <v>788</v>
      </c>
      <c r="N183" s="53" t="s">
        <v>788</v>
      </c>
      <c r="O183" s="53" t="s">
        <v>788</v>
      </c>
      <c r="P183" s="32">
        <v>56109</v>
      </c>
      <c r="Q183" s="32"/>
      <c r="R183" s="32">
        <f>+P183-P183*F183</f>
        <v>56109</v>
      </c>
      <c r="S183" s="107">
        <f>R183/H183/12</f>
        <v>667.96428571428567</v>
      </c>
      <c r="T183" s="107">
        <f>IF(Q183&gt;0,0,IF((OR((AF183&gt;AG183),(AH183&lt;AI183))),0,IF((AND((AH183&gt;=AI183),(AH183&lt;=AG183))),S183*((AH183-AI183)*12),IF((AND((AI183&lt;=AF183),(AG183&gt;=AF183))),((AG183-AF183)*12)*S183,IF(AH183&gt;AG183,12*S183,0)))))</f>
        <v>0</v>
      </c>
      <c r="U183" s="107">
        <f>IF(Q183=0,0,IF((AND((AJ183&gt;=AI183),(AJ183&lt;=AH183))),((AJ183-AI183)*12)*S183,0))</f>
        <v>0</v>
      </c>
      <c r="V183" s="107">
        <f>IF(U183&gt;0,U183,T183)</f>
        <v>0</v>
      </c>
      <c r="W183" s="105">
        <v>1</v>
      </c>
      <c r="X183" s="107">
        <f>W183*SUM(T183:U183)</f>
        <v>0</v>
      </c>
      <c r="Y183" s="105"/>
      <c r="Z183" s="107">
        <f>IF(AF183&gt;AG183,0,IF(AH183&lt;AI183,R183,IF((AND((AH183&gt;=AI183),(AH183&lt;=AG183))),(R183-V183),IF((AND((AI183&lt;=AF183),(AG183&gt;=AF183))),0,IF(AH183&gt;AG183,((AI183-AF183)*12)*S183,0)))))</f>
        <v>56109</v>
      </c>
      <c r="AA183" s="107">
        <f>Z183*W183</f>
        <v>56109</v>
      </c>
      <c r="AB183" s="105">
        <v>1</v>
      </c>
      <c r="AC183" s="107">
        <f>AA183*AB183</f>
        <v>56109</v>
      </c>
      <c r="AD183" s="107">
        <f>IF(Q183&gt;0,0,AC183+X183*AB183)*AB183</f>
        <v>56109</v>
      </c>
      <c r="AE183" s="107">
        <f>IF(Q183&gt;0,(P183-AC183)/2,IF(AF183&gt;=AI183,(((P183*W183)*AB183)-AD183)/2,((((P183*W183)*AB183)-AC183)+(((P183*W183)*AB183)-AD183))/2))</f>
        <v>0</v>
      </c>
      <c r="AF183" s="107">
        <f>$D183+(($E183-1)/12)</f>
        <v>2005.8333333333333</v>
      </c>
      <c r="AG183" s="107">
        <f>($R$5+1)-($R$2/12)</f>
        <v>2017.5</v>
      </c>
      <c r="AH183" s="107">
        <f>$I183+(($E183-1)/12)</f>
        <v>2012.8333333333333</v>
      </c>
      <c r="AI183" s="108">
        <f>$R$4+($R$3/12)</f>
        <v>2016.5</v>
      </c>
      <c r="AJ183" s="108">
        <f>$J183+(($K183-1)/12)</f>
        <v>-8.3333333333333329E-2</v>
      </c>
      <c r="AK183" s="108">
        <f>$I183+(($E183-1)/12)</f>
        <v>2012.8333333333333</v>
      </c>
      <c r="AL183" s="108">
        <f>$R$4+($R$3/12)</f>
        <v>2016.5</v>
      </c>
      <c r="AM183" s="108">
        <f>$J183+(($K183-1)/12)</f>
        <v>-8.3333333333333329E-2</v>
      </c>
    </row>
    <row r="184" spans="1:39" x14ac:dyDescent="0.25">
      <c r="A184">
        <v>63</v>
      </c>
      <c r="B184" t="s">
        <v>495</v>
      </c>
      <c r="D184" s="34">
        <v>2008</v>
      </c>
      <c r="E184" s="34">
        <v>7</v>
      </c>
      <c r="F184" s="75"/>
      <c r="G184" s="34" t="s">
        <v>433</v>
      </c>
      <c r="H184" s="34">
        <v>7</v>
      </c>
      <c r="I184">
        <f>+D184+H184</f>
        <v>2015</v>
      </c>
      <c r="L184" s="53" t="s">
        <v>788</v>
      </c>
      <c r="M184" s="53" t="s">
        <v>788</v>
      </c>
      <c r="N184" s="53" t="s">
        <v>788</v>
      </c>
      <c r="O184" s="53" t="s">
        <v>788</v>
      </c>
      <c r="P184" s="32">
        <v>16622</v>
      </c>
      <c r="Q184" s="32"/>
      <c r="R184" s="32">
        <f>+P184-P184*F184</f>
        <v>16622</v>
      </c>
      <c r="S184" s="107">
        <f>R184/H184/12</f>
        <v>197.88095238095238</v>
      </c>
      <c r="T184" s="107">
        <f>IF(Q184&gt;0,0,IF((OR((AF184&gt;AG184),(AH184&lt;AI184))),0,IF((AND((AH184&gt;=AI184),(AH184&lt;=AG184))),S184*((AH184-AI184)*12),IF((AND((AI184&lt;=AF184),(AG184&gt;=AF184))),((AG184-AF184)*12)*S184,IF(AH184&gt;AG184,12*S184,0)))))</f>
        <v>0</v>
      </c>
      <c r="U184" s="107">
        <f>IF(Q184=0,0,IF((AND((AJ184&gt;=AI184),(AJ184&lt;=AH184))),((AJ184-AI184)*12)*S184,0))</f>
        <v>0</v>
      </c>
      <c r="V184" s="107">
        <f>IF(U184&gt;0,U184,T184)</f>
        <v>0</v>
      </c>
      <c r="W184" s="105">
        <v>1</v>
      </c>
      <c r="X184" s="107">
        <f>W184*SUM(T184:U184)</f>
        <v>0</v>
      </c>
      <c r="Y184" s="105"/>
      <c r="Z184" s="107">
        <f>IF(AF184&gt;AG184,0,IF(AH184&lt;AI184,R184,IF((AND((AH184&gt;=AI184),(AH184&lt;=AG184))),(R184-V184),IF((AND((AI184&lt;=AF184),(AG184&gt;=AF184))),0,IF(AH184&gt;AG184,((AI184-AF184)*12)*S184,0)))))</f>
        <v>16622</v>
      </c>
      <c r="AA184" s="107">
        <f>Z184*W184</f>
        <v>16622</v>
      </c>
      <c r="AB184" s="105">
        <v>1</v>
      </c>
      <c r="AC184" s="107">
        <f>AA184*AB184</f>
        <v>16622</v>
      </c>
      <c r="AD184" s="107">
        <f>IF(Q184&gt;0,0,AC184+X184*AB184)*AB184</f>
        <v>16622</v>
      </c>
      <c r="AE184" s="107">
        <f>IF(Q184&gt;0,(P184-AC184)/2,IF(AF184&gt;=AI184,(((P184*W184)*AB184)-AD184)/2,((((P184*W184)*AB184)-AC184)+(((P184*W184)*AB184)-AD184))/2))</f>
        <v>0</v>
      </c>
      <c r="AF184" s="107">
        <f>$D184+(($E184-1)/12)</f>
        <v>2008.5</v>
      </c>
      <c r="AG184" s="107">
        <f>($R$5+1)-($R$2/12)</f>
        <v>2017.5</v>
      </c>
      <c r="AH184" s="107">
        <f>$I184+(($E184-1)/12)</f>
        <v>2015.5</v>
      </c>
      <c r="AI184" s="108">
        <f>$R$4+($R$3/12)</f>
        <v>2016.5</v>
      </c>
      <c r="AJ184" s="108">
        <f>$J184+(($K184-1)/12)</f>
        <v>-8.3333333333333329E-2</v>
      </c>
      <c r="AK184" s="108">
        <f>$I184+(($E184-1)/12)</f>
        <v>2015.5</v>
      </c>
      <c r="AL184" s="108">
        <f>$R$4+($R$3/12)</f>
        <v>2016.5</v>
      </c>
      <c r="AM184" s="108">
        <f>$J184+(($K184-1)/12)</f>
        <v>-8.3333333333333329E-2</v>
      </c>
    </row>
    <row r="185" spans="1:39" x14ac:dyDescent="0.25">
      <c r="A185">
        <v>78</v>
      </c>
      <c r="B185" t="s">
        <v>500</v>
      </c>
      <c r="D185" s="34">
        <v>2009</v>
      </c>
      <c r="E185" s="34">
        <v>9</v>
      </c>
      <c r="F185" s="75"/>
      <c r="G185" s="34" t="s">
        <v>433</v>
      </c>
      <c r="H185" s="34">
        <v>7</v>
      </c>
      <c r="I185">
        <f>+D185+H185</f>
        <v>2016</v>
      </c>
      <c r="L185" s="53" t="s">
        <v>788</v>
      </c>
      <c r="M185" s="53" t="s">
        <v>788</v>
      </c>
      <c r="N185" s="53" t="s">
        <v>788</v>
      </c>
      <c r="O185" s="53" t="s">
        <v>788</v>
      </c>
      <c r="P185" s="32">
        <v>4664</v>
      </c>
      <c r="Q185" s="32"/>
      <c r="R185" s="32">
        <f>+P185-P185*F185</f>
        <v>4664</v>
      </c>
      <c r="S185" s="107">
        <f>R185/H185/12</f>
        <v>55.523809523809526</v>
      </c>
      <c r="T185" s="107">
        <f>IF(Q185&gt;0,0,IF((OR((AF185&gt;AG185),(AH185&lt;AI185))),0,IF((AND((AH185&gt;=AI185),(AH185&lt;=AG185))),S185*((AH185-AI185)*12),IF((AND((AI185&lt;=AF185),(AG185&gt;=AF185))),((AG185-AF185)*12)*S185,IF(AH185&gt;AG185,12*S185,0)))))</f>
        <v>111.04761904766956</v>
      </c>
      <c r="U185" s="107">
        <f>IF(Q185=0,0,IF((AND((AJ185&gt;=AI185),(AJ185&lt;=AH185))),((AJ185-AI185)*12)*S185,0))</f>
        <v>0</v>
      </c>
      <c r="V185" s="107">
        <f>IF(U185&gt;0,U185,T185)</f>
        <v>111.04761904766956</v>
      </c>
      <c r="W185" s="105">
        <v>1</v>
      </c>
      <c r="X185" s="107">
        <f>W185*SUM(T185:U185)</f>
        <v>111.04761904766956</v>
      </c>
      <c r="Y185" s="105"/>
      <c r="Z185" s="107">
        <f>IF(AF185&gt;AG185,0,IF(AH185&lt;AI185,R185,IF((AND((AH185&gt;=AI185),(AH185&lt;=AG185))),(R185-V185),IF((AND((AI185&lt;=AF185),(AG185&gt;=AF185))),0,IF(AH185&gt;AG185,((AI185-AF185)*12)*S185,0)))))</f>
        <v>4552.9523809523307</v>
      </c>
      <c r="AA185" s="107">
        <f>Z185*W185</f>
        <v>4552.9523809523307</v>
      </c>
      <c r="AB185" s="105">
        <v>1</v>
      </c>
      <c r="AC185" s="107">
        <f>AA185*AB185</f>
        <v>4552.9523809523307</v>
      </c>
      <c r="AD185" s="107">
        <f>IF(Q185&gt;0,0,AC185+X185*AB185)*AB185</f>
        <v>4664</v>
      </c>
      <c r="AE185" s="107">
        <f>IF(Q185&gt;0,(P185-AC185)/2,IF(AF185&gt;=AI185,(((P185*W185)*AB185)-AD185)/2,((((P185*W185)*AB185)-AC185)+(((P185*W185)*AB185)-AD185))/2))</f>
        <v>55.523809523834643</v>
      </c>
      <c r="AF185" s="107">
        <f>$D185+(($E185-1)/12)</f>
        <v>2009.6666666666667</v>
      </c>
      <c r="AG185" s="107">
        <f>($R$5+1)-($R$2/12)</f>
        <v>2017.5</v>
      </c>
      <c r="AH185" s="107">
        <f>$I185+(($E185-1)/12)</f>
        <v>2016.6666666666667</v>
      </c>
      <c r="AI185" s="108">
        <f>$R$4+($R$3/12)</f>
        <v>2016.5</v>
      </c>
      <c r="AJ185" s="108">
        <f>$J185+(($K185-1)/12)</f>
        <v>-8.3333333333333329E-2</v>
      </c>
      <c r="AK185" s="108">
        <f>$I185+(($E185-1)/12)</f>
        <v>2016.6666666666667</v>
      </c>
      <c r="AL185" s="108">
        <f>$R$4+($R$3/12)</f>
        <v>2016.5</v>
      </c>
      <c r="AM185" s="108">
        <f>$J185+(($K185-1)/12)</f>
        <v>-8.3333333333333329E-2</v>
      </c>
    </row>
    <row r="186" spans="1:39" x14ac:dyDescent="0.25">
      <c r="A186">
        <v>93</v>
      </c>
      <c r="B186" t="s">
        <v>495</v>
      </c>
      <c r="D186" s="34">
        <v>2009</v>
      </c>
      <c r="E186" s="34">
        <v>3</v>
      </c>
      <c r="F186" s="75"/>
      <c r="G186" s="34" t="s">
        <v>433</v>
      </c>
      <c r="H186" s="34">
        <v>7</v>
      </c>
      <c r="I186">
        <f>+D186+H186</f>
        <v>2016</v>
      </c>
      <c r="L186" s="53" t="s">
        <v>788</v>
      </c>
      <c r="M186" s="53" t="s">
        <v>788</v>
      </c>
      <c r="N186" s="53" t="s">
        <v>788</v>
      </c>
      <c r="O186" s="53" t="s">
        <v>788</v>
      </c>
      <c r="P186" s="32">
        <v>5956</v>
      </c>
      <c r="Q186" s="32"/>
      <c r="R186" s="32">
        <f>+P186-P186*F186</f>
        <v>5956</v>
      </c>
      <c r="S186" s="107">
        <f>R186/H186/12</f>
        <v>70.904761904761912</v>
      </c>
      <c r="T186" s="107">
        <f>IF(Q186&gt;0,0,IF((OR((AF186&gt;AG186),(AH186&lt;AI186))),0,IF((AND((AH186&gt;=AI186),(AH186&lt;=AG186))),S186*((AH186-AI186)*12),IF((AND((AI186&lt;=AF186),(AG186&gt;=AF186))),((AG186-AF186)*12)*S186,IF(AH186&gt;AG186,12*S186,0)))))</f>
        <v>0</v>
      </c>
      <c r="U186" s="107">
        <f>IF(Q186=0,0,IF((AND((AJ186&gt;=AI186),(AJ186&lt;=AH186))),((AJ186-AI186)*12)*S186,0))</f>
        <v>0</v>
      </c>
      <c r="V186" s="107">
        <f>IF(U186&gt;0,U186,T186)</f>
        <v>0</v>
      </c>
      <c r="W186" s="105">
        <v>1</v>
      </c>
      <c r="X186" s="107">
        <f>W186*SUM(T186:U186)</f>
        <v>0</v>
      </c>
      <c r="Y186" s="105"/>
      <c r="Z186" s="107">
        <f>IF(AF186&gt;AG186,0,IF(AH186&lt;AI186,R186,IF((AND((AH186&gt;=AI186),(AH186&lt;=AG186))),(R186-V186),IF((AND((AI186&lt;=AF186),(AG186&gt;=AF186))),0,IF(AH186&gt;AG186,((AI186-AF186)*12)*S186,0)))))</f>
        <v>5956</v>
      </c>
      <c r="AA186" s="107">
        <f>Z186*W186</f>
        <v>5956</v>
      </c>
      <c r="AB186" s="105">
        <v>1</v>
      </c>
      <c r="AC186" s="107">
        <f>AA186*AB186</f>
        <v>5956</v>
      </c>
      <c r="AD186" s="107">
        <f>IF(Q186&gt;0,0,AC186+X186*AB186)*AB186</f>
        <v>5956</v>
      </c>
      <c r="AE186" s="107">
        <f>IF(Q186&gt;0,(P186-AC186)/2,IF(AF186&gt;=AI186,(((P186*W186)*AB186)-AD186)/2,((((P186*W186)*AB186)-AC186)+(((P186*W186)*AB186)-AD186))/2))</f>
        <v>0</v>
      </c>
      <c r="AF186" s="107">
        <f>$D186+(($E186-1)/12)</f>
        <v>2009.1666666666667</v>
      </c>
      <c r="AG186" s="107">
        <f>($R$5+1)-($R$2/12)</f>
        <v>2017.5</v>
      </c>
      <c r="AH186" s="107">
        <f>$I186+(($E186-1)/12)</f>
        <v>2016.1666666666667</v>
      </c>
      <c r="AI186" s="108">
        <f>$R$4+($R$3/12)</f>
        <v>2016.5</v>
      </c>
      <c r="AJ186" s="108">
        <f>$J186+(($K186-1)/12)</f>
        <v>-8.3333333333333329E-2</v>
      </c>
      <c r="AK186" s="108">
        <f>$I186+(($E186-1)/12)</f>
        <v>2016.1666666666667</v>
      </c>
      <c r="AL186" s="108">
        <f>$R$4+($R$3/12)</f>
        <v>2016.5</v>
      </c>
      <c r="AM186" s="108">
        <f>$J186+(($K186-1)/12)</f>
        <v>-8.3333333333333329E-2</v>
      </c>
    </row>
    <row r="187" spans="1:39" x14ac:dyDescent="0.25">
      <c r="A187">
        <v>107</v>
      </c>
      <c r="B187" t="s">
        <v>520</v>
      </c>
      <c r="D187" s="34">
        <v>2010</v>
      </c>
      <c r="E187" s="34">
        <v>3</v>
      </c>
      <c r="F187" s="75"/>
      <c r="G187" s="34" t="s">
        <v>433</v>
      </c>
      <c r="H187" s="34">
        <v>7</v>
      </c>
      <c r="I187">
        <f>+D187+H187</f>
        <v>2017</v>
      </c>
      <c r="L187" s="53" t="s">
        <v>788</v>
      </c>
      <c r="M187" s="53" t="s">
        <v>788</v>
      </c>
      <c r="N187" s="53" t="s">
        <v>788</v>
      </c>
      <c r="O187" s="53" t="s">
        <v>788</v>
      </c>
      <c r="P187" s="32">
        <v>7716</v>
      </c>
      <c r="Q187" s="32"/>
      <c r="R187" s="32">
        <f>+P187-P187*F187</f>
        <v>7716</v>
      </c>
      <c r="S187" s="107">
        <f>R187/H187/12</f>
        <v>91.857142857142847</v>
      </c>
      <c r="T187" s="107">
        <f>IF(Q187&gt;0,0,IF((OR((AF187&gt;AG187),(AH187&lt;AI187))),0,IF((AND((AH187&gt;=AI187),(AH187&lt;=AG187))),S187*((AH187-AI187)*12),IF((AND((AI187&lt;=AF187),(AG187&gt;=AF187))),((AG187-AF187)*12)*S187,IF(AH187&gt;AG187,12*S187,0)))))</f>
        <v>734.85714285722634</v>
      </c>
      <c r="U187" s="107">
        <f>IF(Q187=0,0,IF((AND((AJ187&gt;=AI187),(AJ187&lt;=AH187))),((AJ187-AI187)*12)*S187,0))</f>
        <v>0</v>
      </c>
      <c r="V187" s="107">
        <f>IF(U187&gt;0,U187,T187)</f>
        <v>734.85714285722634</v>
      </c>
      <c r="W187" s="105">
        <v>1</v>
      </c>
      <c r="X187" s="107">
        <f>W187*SUM(T187:U187)</f>
        <v>734.85714285722634</v>
      </c>
      <c r="Y187" s="105"/>
      <c r="Z187" s="107">
        <f>IF(AF187&gt;AG187,0,IF(AH187&lt;AI187,R187,IF((AND((AH187&gt;=AI187),(AH187&lt;=AG187))),(R187-V187),IF((AND((AI187&lt;=AF187),(AG187&gt;=AF187))),0,IF(AH187&gt;AG187,((AI187-AF187)*12)*S187,0)))))</f>
        <v>6981.1428571427732</v>
      </c>
      <c r="AA187" s="107">
        <f>Z187*W187</f>
        <v>6981.1428571427732</v>
      </c>
      <c r="AB187" s="105">
        <v>1</v>
      </c>
      <c r="AC187" s="107">
        <f>AA187*AB187</f>
        <v>6981.1428571427732</v>
      </c>
      <c r="AD187" s="107">
        <f>IF(Q187&gt;0,0,AC187+X187*AB187)*AB187</f>
        <v>7716</v>
      </c>
      <c r="AE187" s="107">
        <f>IF(Q187&gt;0,(P187-AC187)/2,IF(AF187&gt;=AI187,(((P187*W187)*AB187)-AD187)/2,((((P187*W187)*AB187)-AC187)+(((P187*W187)*AB187)-AD187))/2))</f>
        <v>367.4285714286134</v>
      </c>
      <c r="AF187" s="107">
        <f>$D187+(($E187-1)/12)</f>
        <v>2010.1666666666667</v>
      </c>
      <c r="AG187" s="107">
        <f>($R$5+1)-($R$2/12)</f>
        <v>2017.5</v>
      </c>
      <c r="AH187" s="107">
        <f>$I187+(($E187-1)/12)</f>
        <v>2017.1666666666667</v>
      </c>
      <c r="AI187" s="108">
        <f>$R$4+($R$3/12)</f>
        <v>2016.5</v>
      </c>
      <c r="AJ187" s="108">
        <f>$J187+(($K187-1)/12)</f>
        <v>-8.3333333333333329E-2</v>
      </c>
      <c r="AK187" s="108">
        <f>$I187+(($E187-1)/12)</f>
        <v>2017.1666666666667</v>
      </c>
      <c r="AL187" s="108">
        <f>$R$4+($R$3/12)</f>
        <v>2016.5</v>
      </c>
      <c r="AM187" s="108">
        <f>$J187+(($K187-1)/12)</f>
        <v>-8.3333333333333329E-2</v>
      </c>
    </row>
    <row r="188" spans="1:39" x14ac:dyDescent="0.25">
      <c r="A188">
        <v>109</v>
      </c>
      <c r="B188" t="s">
        <v>522</v>
      </c>
      <c r="D188" s="34">
        <v>2010</v>
      </c>
      <c r="E188" s="34">
        <v>5</v>
      </c>
      <c r="F188" s="75"/>
      <c r="G188" s="34" t="s">
        <v>433</v>
      </c>
      <c r="H188" s="34">
        <v>7</v>
      </c>
      <c r="I188">
        <f>+D188+H188</f>
        <v>2017</v>
      </c>
      <c r="L188" s="53" t="s">
        <v>788</v>
      </c>
      <c r="M188" s="53" t="s">
        <v>788</v>
      </c>
      <c r="N188" s="53" t="s">
        <v>788</v>
      </c>
      <c r="O188" s="53" t="s">
        <v>788</v>
      </c>
      <c r="P188" s="32">
        <v>5530</v>
      </c>
      <c r="Q188" s="32"/>
      <c r="R188" s="32">
        <f>+P188-P188*F188</f>
        <v>5530</v>
      </c>
      <c r="S188" s="107">
        <f>R188/H188/12</f>
        <v>65.833333333333329</v>
      </c>
      <c r="T188" s="107">
        <f>IF(Q188&gt;0,0,IF((OR((AF188&gt;AG188),(AH188&lt;AI188))),0,IF((AND((AH188&gt;=AI188),(AH188&lt;=AG188))),S188*((AH188-AI188)*12),IF((AND((AI188&lt;=AF188),(AG188&gt;=AF188))),((AG188-AF188)*12)*S188,IF(AH188&gt;AG188,12*S188,0)))))</f>
        <v>658.33333333327346</v>
      </c>
      <c r="U188" s="107">
        <f>IF(Q188=0,0,IF((AND((AJ188&gt;=AI188),(AJ188&lt;=AH188))),((AJ188-AI188)*12)*S188,0))</f>
        <v>0</v>
      </c>
      <c r="V188" s="107">
        <f>IF(U188&gt;0,U188,T188)</f>
        <v>658.33333333327346</v>
      </c>
      <c r="W188" s="105">
        <v>1</v>
      </c>
      <c r="X188" s="107">
        <f>W188*SUM(T188:U188)</f>
        <v>658.33333333327346</v>
      </c>
      <c r="Y188" s="105"/>
      <c r="Z188" s="107">
        <f>IF(AF188&gt;AG188,0,IF(AH188&lt;AI188,R188,IF((AND((AH188&gt;=AI188),(AH188&lt;=AG188))),(R188-V188),IF((AND((AI188&lt;=AF188),(AG188&gt;=AF188))),0,IF(AH188&gt;AG188,((AI188-AF188)*12)*S188,0)))))</f>
        <v>4871.6666666667261</v>
      </c>
      <c r="AA188" s="107">
        <f>Z188*W188</f>
        <v>4871.6666666667261</v>
      </c>
      <c r="AB188" s="105">
        <v>1</v>
      </c>
      <c r="AC188" s="107">
        <f>AA188*AB188</f>
        <v>4871.6666666667261</v>
      </c>
      <c r="AD188" s="107">
        <f>IF(Q188&gt;0,0,AC188+X188*AB188)*AB188</f>
        <v>5530</v>
      </c>
      <c r="AE188" s="107">
        <f>IF(Q188&gt;0,(P188-AC188)/2,IF(AF188&gt;=AI188,(((P188*W188)*AB188)-AD188)/2,((((P188*W188)*AB188)-AC188)+(((P188*W188)*AB188)-AD188))/2))</f>
        <v>329.16666666663696</v>
      </c>
      <c r="AF188" s="107">
        <f>$D188+(($E188-1)/12)</f>
        <v>2010.3333333333333</v>
      </c>
      <c r="AG188" s="107">
        <f>($R$5+1)-($R$2/12)</f>
        <v>2017.5</v>
      </c>
      <c r="AH188" s="107">
        <f>$I188+(($E188-1)/12)</f>
        <v>2017.3333333333333</v>
      </c>
      <c r="AI188" s="108">
        <f>$R$4+($R$3/12)</f>
        <v>2016.5</v>
      </c>
      <c r="AJ188" s="108">
        <f>$J188+(($K188-1)/12)</f>
        <v>-8.3333333333333329E-2</v>
      </c>
      <c r="AK188" s="108">
        <f>$I188+(($E188-1)/12)</f>
        <v>2017.3333333333333</v>
      </c>
      <c r="AL188" s="108">
        <f>$R$4+($R$3/12)</f>
        <v>2016.5</v>
      </c>
      <c r="AM188" s="108">
        <f>$J188+(($K188-1)/12)</f>
        <v>-8.3333333333333329E-2</v>
      </c>
    </row>
    <row r="189" spans="1:39" x14ac:dyDescent="0.25">
      <c r="A189">
        <v>119</v>
      </c>
      <c r="B189" t="s">
        <v>526</v>
      </c>
      <c r="D189" s="34">
        <v>2011</v>
      </c>
      <c r="E189" s="34">
        <v>4</v>
      </c>
      <c r="F189" s="75"/>
      <c r="G189" s="34" t="s">
        <v>433</v>
      </c>
      <c r="H189" s="34">
        <v>7</v>
      </c>
      <c r="I189">
        <f>+D189+H189</f>
        <v>2018</v>
      </c>
      <c r="L189" s="53" t="s">
        <v>788</v>
      </c>
      <c r="M189" s="53" t="s">
        <v>788</v>
      </c>
      <c r="N189" s="53" t="s">
        <v>788</v>
      </c>
      <c r="O189" s="53" t="s">
        <v>788</v>
      </c>
      <c r="P189" s="32">
        <v>11900</v>
      </c>
      <c r="Q189" s="32"/>
      <c r="R189" s="32">
        <f>+P189-P189*F189</f>
        <v>11900</v>
      </c>
      <c r="S189" s="107">
        <f>R189/H189/12</f>
        <v>141.66666666666666</v>
      </c>
      <c r="T189" s="107">
        <f>IF(Q189&gt;0,0,IF((OR((AF189&gt;AG189),(AH189&lt;AI189))),0,IF((AND((AH189&gt;=AI189),(AH189&lt;=AG189))),S189*((AH189-AI189)*12),IF((AND((AI189&lt;=AF189),(AG189&gt;=AF189))),((AG189-AF189)*12)*S189,IF(AH189&gt;AG189,12*S189,0)))))</f>
        <v>1700</v>
      </c>
      <c r="U189" s="107">
        <f>IF(Q189=0,0,IF((AND((AJ189&gt;=AI189),(AJ189&lt;=AH189))),((AJ189-AI189)*12)*S189,0))</f>
        <v>0</v>
      </c>
      <c r="V189" s="107">
        <f>IF(U189&gt;0,U189,T189)</f>
        <v>1700</v>
      </c>
      <c r="W189" s="105">
        <v>1</v>
      </c>
      <c r="X189" s="107">
        <f>W189*SUM(T189:U189)</f>
        <v>1700</v>
      </c>
      <c r="Y189" s="105"/>
      <c r="Z189" s="107">
        <f>IF(AF189&gt;AG189,0,IF(AH189&lt;AI189,R189,IF((AND((AH189&gt;=AI189),(AH189&lt;=AG189))),(R189-V189),IF((AND((AI189&lt;=AF189),(AG189&gt;=AF189))),0,IF(AH189&gt;AG189,((AI189-AF189)*12)*S189,0)))))</f>
        <v>8925</v>
      </c>
      <c r="AA189" s="107">
        <f>Z189*W189</f>
        <v>8925</v>
      </c>
      <c r="AB189" s="105">
        <v>1</v>
      </c>
      <c r="AC189" s="107">
        <f>AA189*AB189</f>
        <v>8925</v>
      </c>
      <c r="AD189" s="107">
        <f>IF(Q189&gt;0,0,AC189+X189*AB189)*AB189</f>
        <v>10625</v>
      </c>
      <c r="AE189" s="107">
        <f>IF(Q189&gt;0,(P189-AC189)/2,IF(AF189&gt;=AI189,(((P189*W189)*AB189)-AD189)/2,((((P189*W189)*AB189)-AC189)+(((P189*W189)*AB189)-AD189))/2))</f>
        <v>2125</v>
      </c>
      <c r="AF189" s="107">
        <f>$D189+(($E189-1)/12)</f>
        <v>2011.25</v>
      </c>
      <c r="AG189" s="107">
        <f>($R$5+1)-($R$2/12)</f>
        <v>2017.5</v>
      </c>
      <c r="AH189" s="107">
        <f>$I189+(($E189-1)/12)</f>
        <v>2018.25</v>
      </c>
      <c r="AI189" s="108">
        <f>$R$4+($R$3/12)</f>
        <v>2016.5</v>
      </c>
      <c r="AJ189" s="108">
        <f>$J189+(($K189-1)/12)</f>
        <v>-8.3333333333333329E-2</v>
      </c>
      <c r="AK189" s="108">
        <f>$I189+(($E189-1)/12)</f>
        <v>2018.25</v>
      </c>
      <c r="AL189" s="108">
        <f>$R$4+($R$3/12)</f>
        <v>2016.5</v>
      </c>
      <c r="AM189" s="108">
        <f>$J189+(($K189-1)/12)</f>
        <v>-8.3333333333333329E-2</v>
      </c>
    </row>
    <row r="190" spans="1:39" x14ac:dyDescent="0.25">
      <c r="A190">
        <v>123</v>
      </c>
      <c r="B190" t="s">
        <v>529</v>
      </c>
      <c r="D190" s="34">
        <v>2011</v>
      </c>
      <c r="E190" s="34">
        <v>9</v>
      </c>
      <c r="F190" s="75"/>
      <c r="G190" s="34" t="s">
        <v>433</v>
      </c>
      <c r="H190" s="34">
        <v>7</v>
      </c>
      <c r="I190">
        <f>+D190+H190</f>
        <v>2018</v>
      </c>
      <c r="L190" s="53" t="s">
        <v>788</v>
      </c>
      <c r="M190" s="53" t="s">
        <v>788</v>
      </c>
      <c r="N190" s="53" t="s">
        <v>788</v>
      </c>
      <c r="O190" s="53" t="s">
        <v>788</v>
      </c>
      <c r="P190" s="32">
        <v>5999</v>
      </c>
      <c r="Q190" s="32"/>
      <c r="R190" s="32">
        <f>+P190-P190*F190</f>
        <v>5999</v>
      </c>
      <c r="S190" s="107">
        <f>R190/H190/12</f>
        <v>71.416666666666671</v>
      </c>
      <c r="T190" s="107">
        <f>IF(Q190&gt;0,0,IF((OR((AF190&gt;AG190),(AH190&lt;AI190))),0,IF((AND((AH190&gt;=AI190),(AH190&lt;=AG190))),S190*((AH190-AI190)*12),IF((AND((AI190&lt;=AF190),(AG190&gt;=AF190))),((AG190-AF190)*12)*S190,IF(AH190&gt;AG190,12*S190,0)))))</f>
        <v>857</v>
      </c>
      <c r="U190" s="107">
        <f>IF(Q190=0,0,IF((AND((AJ190&gt;=AI190),(AJ190&lt;=AH190))),((AJ190-AI190)*12)*S190,0))</f>
        <v>0</v>
      </c>
      <c r="V190" s="107">
        <f>IF(U190&gt;0,U190,T190)</f>
        <v>857</v>
      </c>
      <c r="W190" s="105">
        <v>1</v>
      </c>
      <c r="X190" s="107">
        <f>W190*SUM(T190:U190)</f>
        <v>857</v>
      </c>
      <c r="Y190" s="105"/>
      <c r="Z190" s="107">
        <f>IF(AF190&gt;AG190,0,IF(AH190&lt;AI190,R190,IF((AND((AH190&gt;=AI190),(AH190&lt;=AG190))),(R190-V190),IF((AND((AI190&lt;=AF190),(AG190&gt;=AF190))),0,IF(AH190&gt;AG190,((AI190-AF190)*12)*S190,0)))))</f>
        <v>4142.1666666666024</v>
      </c>
      <c r="AA190" s="107">
        <f>Z190*W190</f>
        <v>4142.1666666666024</v>
      </c>
      <c r="AB190" s="105">
        <v>1</v>
      </c>
      <c r="AC190" s="107">
        <f>AA190*AB190</f>
        <v>4142.1666666666024</v>
      </c>
      <c r="AD190" s="107">
        <f>IF(Q190&gt;0,0,AC190+X190*AB190)*AB190</f>
        <v>4999.1666666666024</v>
      </c>
      <c r="AE190" s="107">
        <f>IF(Q190&gt;0,(P190-AC190)/2,IF(AF190&gt;=AI190,(((P190*W190)*AB190)-AD190)/2,((((P190*W190)*AB190)-AC190)+(((P190*W190)*AB190)-AD190))/2))</f>
        <v>1428.3333333333976</v>
      </c>
      <c r="AF190" s="107">
        <f>$D190+(($E190-1)/12)</f>
        <v>2011.6666666666667</v>
      </c>
      <c r="AG190" s="107">
        <f>($R$5+1)-($R$2/12)</f>
        <v>2017.5</v>
      </c>
      <c r="AH190" s="107">
        <f>$I190+(($E190-1)/12)</f>
        <v>2018.6666666666667</v>
      </c>
      <c r="AI190" s="108">
        <f>$R$4+($R$3/12)</f>
        <v>2016.5</v>
      </c>
      <c r="AJ190" s="108">
        <f>$J190+(($K190-1)/12)</f>
        <v>-8.3333333333333329E-2</v>
      </c>
      <c r="AK190" s="108">
        <f>$I190+(($E190-1)/12)</f>
        <v>2018.6666666666667</v>
      </c>
      <c r="AL190" s="108">
        <f>$R$4+($R$3/12)</f>
        <v>2016.5</v>
      </c>
      <c r="AM190" s="108">
        <f>$J190+(($K190-1)/12)</f>
        <v>-8.3333333333333329E-2</v>
      </c>
    </row>
    <row r="191" spans="1:39" x14ac:dyDescent="0.25">
      <c r="A191">
        <v>131</v>
      </c>
      <c r="B191" t="s">
        <v>537</v>
      </c>
      <c r="D191" s="34">
        <v>2011</v>
      </c>
      <c r="E191" s="34">
        <v>2</v>
      </c>
      <c r="F191" s="75"/>
      <c r="G191" s="34" t="s">
        <v>433</v>
      </c>
      <c r="H191" s="34">
        <v>5</v>
      </c>
      <c r="I191">
        <f>+D191+H191</f>
        <v>2016</v>
      </c>
      <c r="L191" s="53" t="s">
        <v>788</v>
      </c>
      <c r="M191" s="53" t="s">
        <v>788</v>
      </c>
      <c r="N191" s="53" t="s">
        <v>788</v>
      </c>
      <c r="O191" s="53" t="s">
        <v>788</v>
      </c>
      <c r="P191" s="32">
        <v>1084</v>
      </c>
      <c r="Q191" s="32"/>
      <c r="R191" s="32">
        <f>+P191-P191*F191</f>
        <v>1084</v>
      </c>
      <c r="S191" s="107">
        <f>R191/H191/12</f>
        <v>18.066666666666666</v>
      </c>
      <c r="T191" s="107">
        <f>IF(Q191&gt;0,0,IF((OR((AF191&gt;AG191),(AH191&lt;AI191))),0,IF((AND((AH191&gt;=AI191),(AH191&lt;=AG191))),S191*((AH191-AI191)*12),IF((AND((AI191&lt;=AF191),(AG191&gt;=AF191))),((AG191-AF191)*12)*S191,IF(AH191&gt;AG191,12*S191,0)))))</f>
        <v>0</v>
      </c>
      <c r="U191" s="107">
        <f>IF(Q191=0,0,IF((AND((AJ191&gt;=AI191),(AJ191&lt;=AH191))),((AJ191-AI191)*12)*S191,0))</f>
        <v>0</v>
      </c>
      <c r="V191" s="107">
        <f>IF(U191&gt;0,U191,T191)</f>
        <v>0</v>
      </c>
      <c r="W191" s="105">
        <v>1</v>
      </c>
      <c r="X191" s="107">
        <f>W191*SUM(T191:U191)</f>
        <v>0</v>
      </c>
      <c r="Y191" s="105"/>
      <c r="Z191" s="107">
        <f>IF(AF191&gt;AG191,0,IF(AH191&lt;AI191,R191,IF((AND((AH191&gt;=AI191),(AH191&lt;=AG191))),(R191-V191),IF((AND((AI191&lt;=AF191),(AG191&gt;=AF191))),0,IF(AH191&gt;AG191,((AI191-AF191)*12)*S191,0)))))</f>
        <v>1084</v>
      </c>
      <c r="AA191" s="107">
        <f>Z191*W191</f>
        <v>1084</v>
      </c>
      <c r="AB191" s="105">
        <v>1</v>
      </c>
      <c r="AC191" s="107">
        <f>AA191*AB191</f>
        <v>1084</v>
      </c>
      <c r="AD191" s="107">
        <f>IF(Q191&gt;0,0,AC191+X191*AB191)*AB191</f>
        <v>1084</v>
      </c>
      <c r="AE191" s="107">
        <f>IF(Q191&gt;0,(P191-AC191)/2,IF(AF191&gt;=AI191,(((P191*W191)*AB191)-AD191)/2,((((P191*W191)*AB191)-AC191)+(((P191*W191)*AB191)-AD191))/2))</f>
        <v>0</v>
      </c>
      <c r="AF191" s="107">
        <f>$D191+(($E191-1)/12)</f>
        <v>2011.0833333333333</v>
      </c>
      <c r="AG191" s="107">
        <f>($R$5+1)-($R$2/12)</f>
        <v>2017.5</v>
      </c>
      <c r="AH191" s="107">
        <f>$I191+(($E191-1)/12)</f>
        <v>2016.0833333333333</v>
      </c>
      <c r="AI191" s="108">
        <f>$R$4+($R$3/12)</f>
        <v>2016.5</v>
      </c>
      <c r="AJ191" s="108">
        <f>$J191+(($K191-1)/12)</f>
        <v>-8.3333333333333329E-2</v>
      </c>
      <c r="AK191" s="108">
        <f>$I191+(($E191-1)/12)</f>
        <v>2016.0833333333333</v>
      </c>
      <c r="AL191" s="108">
        <f>$R$4+($R$3/12)</f>
        <v>2016.5</v>
      </c>
      <c r="AM191" s="108">
        <f>$J191+(($K191-1)/12)</f>
        <v>-8.3333333333333329E-2</v>
      </c>
    </row>
    <row r="192" spans="1:39" x14ac:dyDescent="0.25">
      <c r="A192">
        <v>132</v>
      </c>
      <c r="B192" t="s">
        <v>537</v>
      </c>
      <c r="D192" s="34">
        <v>2011</v>
      </c>
      <c r="E192" s="34">
        <v>2</v>
      </c>
      <c r="F192" s="75"/>
      <c r="G192" s="34" t="s">
        <v>433</v>
      </c>
      <c r="H192" s="34">
        <v>5</v>
      </c>
      <c r="I192">
        <f>+D192+H192</f>
        <v>2016</v>
      </c>
      <c r="L192" s="53" t="s">
        <v>788</v>
      </c>
      <c r="M192" s="53" t="s">
        <v>788</v>
      </c>
      <c r="N192" s="53" t="s">
        <v>788</v>
      </c>
      <c r="O192" s="53" t="s">
        <v>788</v>
      </c>
      <c r="P192" s="32">
        <v>1470</v>
      </c>
      <c r="Q192" s="32"/>
      <c r="R192" s="32">
        <f>+P192-P192*F192</f>
        <v>1470</v>
      </c>
      <c r="S192" s="107">
        <f>R192/H192/12</f>
        <v>24.5</v>
      </c>
      <c r="T192" s="107">
        <f>IF(Q192&gt;0,0,IF((OR((AF192&gt;AG192),(AH192&lt;AI192))),0,IF((AND((AH192&gt;=AI192),(AH192&lt;=AG192))),S192*((AH192-AI192)*12),IF((AND((AI192&lt;=AF192),(AG192&gt;=AF192))),((AG192-AF192)*12)*S192,IF(AH192&gt;AG192,12*S192,0)))))</f>
        <v>0</v>
      </c>
      <c r="U192" s="107">
        <f>IF(Q192=0,0,IF((AND((AJ192&gt;=AI192),(AJ192&lt;=AH192))),((AJ192-AI192)*12)*S192,0))</f>
        <v>0</v>
      </c>
      <c r="V192" s="107">
        <f>IF(U192&gt;0,U192,T192)</f>
        <v>0</v>
      </c>
      <c r="W192" s="105">
        <v>1</v>
      </c>
      <c r="X192" s="107">
        <f>W192*SUM(T192:U192)</f>
        <v>0</v>
      </c>
      <c r="Y192" s="105"/>
      <c r="Z192" s="107">
        <f>IF(AF192&gt;AG192,0,IF(AH192&lt;AI192,R192,IF((AND((AH192&gt;=AI192),(AH192&lt;=AG192))),(R192-V192),IF((AND((AI192&lt;=AF192),(AG192&gt;=AF192))),0,IF(AH192&gt;AG192,((AI192-AF192)*12)*S192,0)))))</f>
        <v>1470</v>
      </c>
      <c r="AA192" s="107">
        <f>Z192*W192</f>
        <v>1470</v>
      </c>
      <c r="AB192" s="105">
        <v>1</v>
      </c>
      <c r="AC192" s="107">
        <f>AA192*AB192</f>
        <v>1470</v>
      </c>
      <c r="AD192" s="107">
        <f>IF(Q192&gt;0,0,AC192+X192*AB192)*AB192</f>
        <v>1470</v>
      </c>
      <c r="AE192" s="107">
        <f>IF(Q192&gt;0,(P192-AC192)/2,IF(AF192&gt;=AI192,(((P192*W192)*AB192)-AD192)/2,((((P192*W192)*AB192)-AC192)+(((P192*W192)*AB192)-AD192))/2))</f>
        <v>0</v>
      </c>
      <c r="AF192" s="107">
        <f>$D192+(($E192-1)/12)</f>
        <v>2011.0833333333333</v>
      </c>
      <c r="AG192" s="107">
        <f>($R$5+1)-($R$2/12)</f>
        <v>2017.5</v>
      </c>
      <c r="AH192" s="107">
        <f>$I192+(($E192-1)/12)</f>
        <v>2016.0833333333333</v>
      </c>
      <c r="AI192" s="108">
        <f>$R$4+($R$3/12)</f>
        <v>2016.5</v>
      </c>
      <c r="AJ192" s="108">
        <f>$J192+(($K192-1)/12)</f>
        <v>-8.3333333333333329E-2</v>
      </c>
      <c r="AK192" s="108">
        <f>$I192+(($E192-1)/12)</f>
        <v>2016.0833333333333</v>
      </c>
      <c r="AL192" s="108">
        <f>$R$4+($R$3/12)</f>
        <v>2016.5</v>
      </c>
      <c r="AM192" s="108">
        <f>$J192+(($K192-1)/12)</f>
        <v>-8.3333333333333329E-2</v>
      </c>
    </row>
    <row r="193" spans="1:39" x14ac:dyDescent="0.25">
      <c r="A193">
        <v>135</v>
      </c>
      <c r="B193" t="s">
        <v>540</v>
      </c>
      <c r="D193" s="34">
        <v>2011</v>
      </c>
      <c r="E193" s="34">
        <v>3</v>
      </c>
      <c r="F193" s="75"/>
      <c r="G193" s="34" t="s">
        <v>433</v>
      </c>
      <c r="H193" s="34">
        <v>10</v>
      </c>
      <c r="I193">
        <f>+D193+H193</f>
        <v>2021</v>
      </c>
      <c r="L193" s="53" t="s">
        <v>788</v>
      </c>
      <c r="M193" s="53" t="s">
        <v>788</v>
      </c>
      <c r="N193" s="53" t="s">
        <v>788</v>
      </c>
      <c r="O193" s="53" t="s">
        <v>788</v>
      </c>
      <c r="P193" s="32">
        <v>1488</v>
      </c>
      <c r="Q193" s="32"/>
      <c r="R193" s="32">
        <f>+P193-P193*F193</f>
        <v>1488</v>
      </c>
      <c r="S193" s="107">
        <f>R193/H193/12</f>
        <v>12.4</v>
      </c>
      <c r="T193" s="107">
        <f>IF(Q193&gt;0,0,IF((OR((AF193&gt;AG193),(AH193&lt;AI193))),0,IF((AND((AH193&gt;=AI193),(AH193&lt;=AG193))),S193*((AH193-AI193)*12),IF((AND((AI193&lt;=AF193),(AG193&gt;=AF193))),((AG193-AF193)*12)*S193,IF(AH193&gt;AG193,12*S193,0)))))</f>
        <v>148.80000000000001</v>
      </c>
      <c r="U193" s="107">
        <f>IF(Q193=0,0,IF((AND((AJ193&gt;=AI193),(AJ193&lt;=AH193))),((AJ193-AI193)*12)*S193,0))</f>
        <v>0</v>
      </c>
      <c r="V193" s="107">
        <f>IF(U193&gt;0,U193,T193)</f>
        <v>148.80000000000001</v>
      </c>
      <c r="W193" s="105">
        <v>1</v>
      </c>
      <c r="X193" s="107">
        <f>W193*SUM(T193:U193)</f>
        <v>148.80000000000001</v>
      </c>
      <c r="Y193" s="105"/>
      <c r="Z193" s="107">
        <f>IF(AF193&gt;AG193,0,IF(AH193&lt;AI193,R193,IF((AND((AH193&gt;=AI193),(AH193&lt;=AG193))),(R193-V193),IF((AND((AI193&lt;=AF193),(AG193&gt;=AF193))),0,IF(AH193&gt;AG193,((AI193-AF193)*12)*S193,0)))))</f>
        <v>793.59999999998877</v>
      </c>
      <c r="AA193" s="107">
        <f>Z193*W193</f>
        <v>793.59999999998877</v>
      </c>
      <c r="AB193" s="105">
        <v>1</v>
      </c>
      <c r="AC193" s="107">
        <f>AA193*AB193</f>
        <v>793.59999999998877</v>
      </c>
      <c r="AD193" s="107">
        <f>IF(Q193&gt;0,0,AC193+X193*AB193)*AB193</f>
        <v>942.39999999998872</v>
      </c>
      <c r="AE193" s="107">
        <f>IF(Q193&gt;0,(P193-AC193)/2,IF(AF193&gt;=AI193,(((P193*W193)*AB193)-AD193)/2,((((P193*W193)*AB193)-AC193)+(((P193*W193)*AB193)-AD193))/2))</f>
        <v>620.00000000001125</v>
      </c>
      <c r="AF193" s="107">
        <f>$D193+(($E193-1)/12)</f>
        <v>2011.1666666666667</v>
      </c>
      <c r="AG193" s="107">
        <f>($R$5+1)-($R$2/12)</f>
        <v>2017.5</v>
      </c>
      <c r="AH193" s="107">
        <f>$I193+(($E193-1)/12)</f>
        <v>2021.1666666666667</v>
      </c>
      <c r="AI193" s="108">
        <f>$R$4+($R$3/12)</f>
        <v>2016.5</v>
      </c>
      <c r="AJ193" s="108">
        <f>$J193+(($K193-1)/12)</f>
        <v>-8.3333333333333329E-2</v>
      </c>
      <c r="AK193" s="108">
        <f>$I193+(($E193-1)/12)</f>
        <v>2021.1666666666667</v>
      </c>
      <c r="AL193" s="108">
        <f>$R$4+($R$3/12)</f>
        <v>2016.5</v>
      </c>
      <c r="AM193" s="108">
        <f>$J193+(($K193-1)/12)</f>
        <v>-8.3333333333333329E-2</v>
      </c>
    </row>
    <row r="194" spans="1:39" x14ac:dyDescent="0.25">
      <c r="A194">
        <v>136</v>
      </c>
      <c r="B194" t="s">
        <v>540</v>
      </c>
      <c r="D194" s="34">
        <v>2011</v>
      </c>
      <c r="E194" s="34">
        <v>4</v>
      </c>
      <c r="F194" s="75"/>
      <c r="G194" s="34" t="s">
        <v>433</v>
      </c>
      <c r="H194" s="34">
        <v>10</v>
      </c>
      <c r="I194">
        <f>+D194+H194</f>
        <v>2021</v>
      </c>
      <c r="L194" s="53" t="s">
        <v>788</v>
      </c>
      <c r="M194" s="53" t="s">
        <v>788</v>
      </c>
      <c r="N194" s="53" t="s">
        <v>788</v>
      </c>
      <c r="O194" s="53" t="s">
        <v>788</v>
      </c>
      <c r="P194" s="32">
        <v>690</v>
      </c>
      <c r="Q194" s="32"/>
      <c r="R194" s="32">
        <f>+P194-P194*F194</f>
        <v>690</v>
      </c>
      <c r="S194" s="107">
        <f>R194/H194/12</f>
        <v>5.75</v>
      </c>
      <c r="T194" s="107">
        <f>IF(Q194&gt;0,0,IF((OR((AF194&gt;AG194),(AH194&lt;AI194))),0,IF((AND((AH194&gt;=AI194),(AH194&lt;=AG194))),S194*((AH194-AI194)*12),IF((AND((AI194&lt;=AF194),(AG194&gt;=AF194))),((AG194-AF194)*12)*S194,IF(AH194&gt;AG194,12*S194,0)))))</f>
        <v>69</v>
      </c>
      <c r="U194" s="107">
        <f>IF(Q194=0,0,IF((AND((AJ194&gt;=AI194),(AJ194&lt;=AH194))),((AJ194-AI194)*12)*S194,0))</f>
        <v>0</v>
      </c>
      <c r="V194" s="107">
        <f>IF(U194&gt;0,U194,T194)</f>
        <v>69</v>
      </c>
      <c r="W194" s="105">
        <v>1</v>
      </c>
      <c r="X194" s="107">
        <f>W194*SUM(T194:U194)</f>
        <v>69</v>
      </c>
      <c r="Y194" s="105"/>
      <c r="Z194" s="107">
        <f>IF(AF194&gt;AG194,0,IF(AH194&lt;AI194,R194,IF((AND((AH194&gt;=AI194),(AH194&lt;=AG194))),(R194-V194),IF((AND((AI194&lt;=AF194),(AG194&gt;=AF194))),0,IF(AH194&gt;AG194,((AI194-AF194)*12)*S194,0)))))</f>
        <v>362.25</v>
      </c>
      <c r="AA194" s="107">
        <f>Z194*W194</f>
        <v>362.25</v>
      </c>
      <c r="AB194" s="105">
        <v>1</v>
      </c>
      <c r="AC194" s="107">
        <f>AA194*AB194</f>
        <v>362.25</v>
      </c>
      <c r="AD194" s="107">
        <f>IF(Q194&gt;0,0,AC194+X194*AB194)*AB194</f>
        <v>431.25</v>
      </c>
      <c r="AE194" s="107">
        <f>IF(Q194&gt;0,(P194-AC194)/2,IF(AF194&gt;=AI194,(((P194*W194)*AB194)-AD194)/2,((((P194*W194)*AB194)-AC194)+(((P194*W194)*AB194)-AD194))/2))</f>
        <v>293.25</v>
      </c>
      <c r="AF194" s="107">
        <f>$D194+(($E194-1)/12)</f>
        <v>2011.25</v>
      </c>
      <c r="AG194" s="107">
        <f>($R$5+1)-($R$2/12)</f>
        <v>2017.5</v>
      </c>
      <c r="AH194" s="107">
        <f>$I194+(($E194-1)/12)</f>
        <v>2021.25</v>
      </c>
      <c r="AI194" s="108">
        <f>$R$4+($R$3/12)</f>
        <v>2016.5</v>
      </c>
      <c r="AJ194" s="108">
        <f>$J194+(($K194-1)/12)</f>
        <v>-8.3333333333333329E-2</v>
      </c>
      <c r="AK194" s="108">
        <f>$I194+(($E194-1)/12)</f>
        <v>2021.25</v>
      </c>
      <c r="AL194" s="108">
        <f>$R$4+($R$3/12)</f>
        <v>2016.5</v>
      </c>
      <c r="AM194" s="108">
        <f>$J194+(($K194-1)/12)</f>
        <v>-8.3333333333333329E-2</v>
      </c>
    </row>
    <row r="195" spans="1:39" x14ac:dyDescent="0.25">
      <c r="A195">
        <v>138</v>
      </c>
      <c r="B195" t="s">
        <v>540</v>
      </c>
      <c r="D195" s="34">
        <v>2011</v>
      </c>
      <c r="E195" s="34">
        <v>4</v>
      </c>
      <c r="F195" s="75"/>
      <c r="G195" s="34" t="s">
        <v>433</v>
      </c>
      <c r="H195" s="34">
        <v>10</v>
      </c>
      <c r="I195">
        <f>+D195+H195</f>
        <v>2021</v>
      </c>
      <c r="L195" s="53" t="s">
        <v>788</v>
      </c>
      <c r="M195" s="53" t="s">
        <v>788</v>
      </c>
      <c r="N195" s="53" t="s">
        <v>788</v>
      </c>
      <c r="O195" s="53" t="s">
        <v>788</v>
      </c>
      <c r="P195" s="32">
        <v>633</v>
      </c>
      <c r="Q195" s="32"/>
      <c r="R195" s="32">
        <f>+P195-P195*F195</f>
        <v>633</v>
      </c>
      <c r="S195" s="107">
        <f>R195/H195/12</f>
        <v>5.2749999999999995</v>
      </c>
      <c r="T195" s="107">
        <f>IF(Q195&gt;0,0,IF((OR((AF195&gt;AG195),(AH195&lt;AI195))),0,IF((AND((AH195&gt;=AI195),(AH195&lt;=AG195))),S195*((AH195-AI195)*12),IF((AND((AI195&lt;=AF195),(AG195&gt;=AF195))),((AG195-AF195)*12)*S195,IF(AH195&gt;AG195,12*S195,0)))))</f>
        <v>63.3</v>
      </c>
      <c r="U195" s="107">
        <f>IF(Q195=0,0,IF((AND((AJ195&gt;=AI195),(AJ195&lt;=AH195))),((AJ195-AI195)*12)*S195,0))</f>
        <v>0</v>
      </c>
      <c r="V195" s="107">
        <f>IF(U195&gt;0,U195,T195)</f>
        <v>63.3</v>
      </c>
      <c r="W195" s="105">
        <v>1</v>
      </c>
      <c r="X195" s="107">
        <f>W195*SUM(T195:U195)</f>
        <v>63.3</v>
      </c>
      <c r="Y195" s="105"/>
      <c r="Z195" s="107">
        <f>IF(AF195&gt;AG195,0,IF(AH195&lt;AI195,R195,IF((AND((AH195&gt;=AI195),(AH195&lt;=AG195))),(R195-V195),IF((AND((AI195&lt;=AF195),(AG195&gt;=AF195))),0,IF(AH195&gt;AG195,((AI195-AF195)*12)*S195,0)))))</f>
        <v>332.32499999999999</v>
      </c>
      <c r="AA195" s="107">
        <f>Z195*W195</f>
        <v>332.32499999999999</v>
      </c>
      <c r="AB195" s="105">
        <v>1</v>
      </c>
      <c r="AC195" s="107">
        <f>AA195*AB195</f>
        <v>332.32499999999999</v>
      </c>
      <c r="AD195" s="107">
        <f>IF(Q195&gt;0,0,AC195+X195*AB195)*AB195</f>
        <v>395.625</v>
      </c>
      <c r="AE195" s="107">
        <f>IF(Q195&gt;0,(P195-AC195)/2,IF(AF195&gt;=AI195,(((P195*W195)*AB195)-AD195)/2,((((P195*W195)*AB195)-AC195)+(((P195*W195)*AB195)-AD195))/2))</f>
        <v>269.02499999999998</v>
      </c>
      <c r="AF195" s="107">
        <f>$D195+(($E195-1)/12)</f>
        <v>2011.25</v>
      </c>
      <c r="AG195" s="107">
        <f>($R$5+1)-($R$2/12)</f>
        <v>2017.5</v>
      </c>
      <c r="AH195" s="107">
        <f>$I195+(($E195-1)/12)</f>
        <v>2021.25</v>
      </c>
      <c r="AI195" s="108">
        <f>$R$4+($R$3/12)</f>
        <v>2016.5</v>
      </c>
      <c r="AJ195" s="108">
        <f>$J195+(($K195-1)/12)</f>
        <v>-8.3333333333333329E-2</v>
      </c>
      <c r="AK195" s="108">
        <f>$I195+(($E195-1)/12)</f>
        <v>2021.25</v>
      </c>
      <c r="AL195" s="108">
        <f>$R$4+($R$3/12)</f>
        <v>2016.5</v>
      </c>
      <c r="AM195" s="108">
        <f>$J195+(($K195-1)/12)</f>
        <v>-8.3333333333333329E-2</v>
      </c>
    </row>
    <row r="196" spans="1:39" x14ac:dyDescent="0.25">
      <c r="A196">
        <v>143</v>
      </c>
      <c r="B196" t="s">
        <v>542</v>
      </c>
      <c r="D196" s="34">
        <v>2011</v>
      </c>
      <c r="E196" s="34">
        <v>2</v>
      </c>
      <c r="F196" s="75"/>
      <c r="G196" s="34" t="s">
        <v>433</v>
      </c>
      <c r="H196" s="34">
        <v>10</v>
      </c>
      <c r="I196">
        <f>+D196+H196</f>
        <v>2021</v>
      </c>
      <c r="L196" s="53" t="s">
        <v>788</v>
      </c>
      <c r="M196" s="53" t="s">
        <v>788</v>
      </c>
      <c r="N196" s="53" t="s">
        <v>788</v>
      </c>
      <c r="O196" s="53" t="s">
        <v>788</v>
      </c>
      <c r="P196" s="32">
        <v>3760</v>
      </c>
      <c r="Q196" s="32"/>
      <c r="R196" s="32">
        <f>+P196-P196*F196</f>
        <v>3760</v>
      </c>
      <c r="S196" s="107">
        <f>R196/H196/12</f>
        <v>31.333333333333332</v>
      </c>
      <c r="T196" s="107">
        <f>IF(Q196&gt;0,0,IF((OR((AF196&gt;AG196),(AH196&lt;AI196))),0,IF((AND((AH196&gt;=AI196),(AH196&lt;=AG196))),S196*((AH196-AI196)*12),IF((AND((AI196&lt;=AF196),(AG196&gt;=AF196))),((AG196-AF196)*12)*S196,IF(AH196&gt;AG196,12*S196,0)))))</f>
        <v>376</v>
      </c>
      <c r="U196" s="107">
        <f>IF(Q196=0,0,IF((AND((AJ196&gt;=AI196),(AJ196&lt;=AH196))),((AJ196-AI196)*12)*S196,0))</f>
        <v>0</v>
      </c>
      <c r="V196" s="107">
        <f>IF(U196&gt;0,U196,T196)</f>
        <v>376</v>
      </c>
      <c r="W196" s="105">
        <v>1</v>
      </c>
      <c r="X196" s="107">
        <f>W196*SUM(T196:U196)</f>
        <v>376</v>
      </c>
      <c r="Y196" s="105"/>
      <c r="Z196" s="107">
        <f>IF(AF196&gt;AG196,0,IF(AH196&lt;AI196,R196,IF((AND((AH196&gt;=AI196),(AH196&lt;=AG196))),(R196-V196),IF((AND((AI196&lt;=AF196),(AG196&gt;=AF196))),0,IF(AH196&gt;AG196,((AI196-AF196)*12)*S196,0)))))</f>
        <v>2036.6666666666952</v>
      </c>
      <c r="AA196" s="107">
        <f>Z196*W196</f>
        <v>2036.6666666666952</v>
      </c>
      <c r="AB196" s="105">
        <v>1</v>
      </c>
      <c r="AC196" s="107">
        <f>AA196*AB196</f>
        <v>2036.6666666666952</v>
      </c>
      <c r="AD196" s="107">
        <f>IF(Q196&gt;0,0,AC196+X196*AB196)*AB196</f>
        <v>2412.6666666666952</v>
      </c>
      <c r="AE196" s="107">
        <f>IF(Q196&gt;0,(P196-AC196)/2,IF(AF196&gt;=AI196,(((P196*W196)*AB196)-AD196)/2,((((P196*W196)*AB196)-AC196)+(((P196*W196)*AB196)-AD196))/2))</f>
        <v>1535.3333333333048</v>
      </c>
      <c r="AF196" s="107">
        <f>$D196+(($E196-1)/12)</f>
        <v>2011.0833333333333</v>
      </c>
      <c r="AG196" s="107">
        <f>($R$5+1)-($R$2/12)</f>
        <v>2017.5</v>
      </c>
      <c r="AH196" s="107">
        <f>$I196+(($E196-1)/12)</f>
        <v>2021.0833333333333</v>
      </c>
      <c r="AI196" s="108">
        <f>$R$4+($R$3/12)</f>
        <v>2016.5</v>
      </c>
      <c r="AJ196" s="108">
        <f>$J196+(($K196-1)/12)</f>
        <v>-8.3333333333333329E-2</v>
      </c>
      <c r="AK196" s="108">
        <f>$I196+(($E196-1)/12)</f>
        <v>2021.0833333333333</v>
      </c>
      <c r="AL196" s="108">
        <f>$R$4+($R$3/12)</f>
        <v>2016.5</v>
      </c>
      <c r="AM196" s="108">
        <f>$J196+(($K196-1)/12)</f>
        <v>-8.3333333333333329E-2</v>
      </c>
    </row>
    <row r="197" spans="1:39" x14ac:dyDescent="0.25">
      <c r="A197">
        <v>159</v>
      </c>
      <c r="B197" t="s">
        <v>553</v>
      </c>
      <c r="D197" s="34">
        <v>2012</v>
      </c>
      <c r="E197" s="34">
        <v>12</v>
      </c>
      <c r="F197" s="75"/>
      <c r="G197" s="34" t="s">
        <v>433</v>
      </c>
      <c r="H197" s="34">
        <v>7</v>
      </c>
      <c r="I197">
        <f>+D197+H197</f>
        <v>2019</v>
      </c>
      <c r="L197" s="53" t="s">
        <v>788</v>
      </c>
      <c r="M197" s="53" t="s">
        <v>788</v>
      </c>
      <c r="N197" s="53" t="s">
        <v>788</v>
      </c>
      <c r="O197" s="53" t="s">
        <v>788</v>
      </c>
      <c r="P197" s="32">
        <v>13788</v>
      </c>
      <c r="Q197" s="32"/>
      <c r="R197" s="32">
        <f>+P197-P197*F197</f>
        <v>13788</v>
      </c>
      <c r="S197" s="107">
        <f>R197/H197/12</f>
        <v>164.14285714285714</v>
      </c>
      <c r="T197" s="107">
        <f>IF(Q197&gt;0,0,IF((OR((AF197&gt;AG197),(AH197&lt;AI197))),0,IF((AND((AH197&gt;=AI197),(AH197&lt;=AG197))),S197*((AH197-AI197)*12),IF((AND((AI197&lt;=AF197),(AG197&gt;=AF197))),((AG197-AF197)*12)*S197,IF(AH197&gt;AG197,12*S197,0)))))</f>
        <v>1969.7142857142858</v>
      </c>
      <c r="U197" s="107">
        <f>IF(Q197=0,0,IF((AND((AJ197&gt;=AI197),(AJ197&lt;=AH197))),((AJ197-AI197)*12)*S197,0))</f>
        <v>0</v>
      </c>
      <c r="V197" s="107">
        <f>IF(U197&gt;0,U197,T197)</f>
        <v>1969.7142857142858</v>
      </c>
      <c r="W197" s="105">
        <v>1</v>
      </c>
      <c r="X197" s="107">
        <f>W197*SUM(T197:U197)</f>
        <v>1969.7142857142858</v>
      </c>
      <c r="Y197" s="105"/>
      <c r="Z197" s="107">
        <f>IF(AF197&gt;AG197,0,IF(AH197&lt;AI197,R197,IF((AND((AH197&gt;=AI197),(AH197&lt;=AG197))),(R197-V197),IF((AND((AI197&lt;=AF197),(AG197&gt;=AF197))),0,IF(AH197&gt;AG197,((AI197-AF197)*12)*S197,0)))))</f>
        <v>7058.1428571427077</v>
      </c>
      <c r="AA197" s="107">
        <f>Z197*W197</f>
        <v>7058.1428571427077</v>
      </c>
      <c r="AB197" s="105">
        <v>1</v>
      </c>
      <c r="AC197" s="107">
        <f>AA197*AB197</f>
        <v>7058.1428571427077</v>
      </c>
      <c r="AD197" s="107">
        <f>IF(Q197&gt;0,0,AC197+X197*AB197)*AB197</f>
        <v>9027.857142856994</v>
      </c>
      <c r="AE197" s="107">
        <f>IF(Q197&gt;0,(P197-AC197)/2,IF(AF197&gt;=AI197,(((P197*W197)*AB197)-AD197)/2,((((P197*W197)*AB197)-AC197)+(((P197*W197)*AB197)-AD197))/2))</f>
        <v>5745.0000000001492</v>
      </c>
      <c r="AF197" s="107">
        <f>$D197+(($E197-1)/12)</f>
        <v>2012.9166666666667</v>
      </c>
      <c r="AG197" s="107">
        <f>($R$5+1)-($R$2/12)</f>
        <v>2017.5</v>
      </c>
      <c r="AH197" s="107">
        <f>$I197+(($E197-1)/12)</f>
        <v>2019.9166666666667</v>
      </c>
      <c r="AI197" s="108">
        <f>$R$4+($R$3/12)</f>
        <v>2016.5</v>
      </c>
      <c r="AJ197" s="108">
        <f>$J197+(($K197-1)/12)</f>
        <v>-8.3333333333333329E-2</v>
      </c>
      <c r="AK197" s="108">
        <f>$I197+(($E197-1)/12)</f>
        <v>2019.9166666666667</v>
      </c>
      <c r="AL197" s="108">
        <f>$R$4+($R$3/12)</f>
        <v>2016.5</v>
      </c>
      <c r="AM197" s="108">
        <f>$J197+(($K197-1)/12)</f>
        <v>-8.3333333333333329E-2</v>
      </c>
    </row>
    <row r="198" spans="1:39" x14ac:dyDescent="0.25">
      <c r="A198">
        <v>160</v>
      </c>
      <c r="B198" t="s">
        <v>554</v>
      </c>
      <c r="D198" s="34">
        <v>2012</v>
      </c>
      <c r="E198" s="34">
        <v>8</v>
      </c>
      <c r="F198" s="75"/>
      <c r="G198" s="34" t="s">
        <v>433</v>
      </c>
      <c r="H198" s="34">
        <v>7</v>
      </c>
      <c r="I198">
        <f>+D198+H198</f>
        <v>2019</v>
      </c>
      <c r="L198" s="53" t="s">
        <v>788</v>
      </c>
      <c r="M198" s="53" t="s">
        <v>788</v>
      </c>
      <c r="N198" s="53" t="s">
        <v>788</v>
      </c>
      <c r="O198" s="53" t="s">
        <v>788</v>
      </c>
      <c r="P198" s="32">
        <v>1937</v>
      </c>
      <c r="Q198" s="32"/>
      <c r="R198" s="32">
        <f>+P198-P198*F198</f>
        <v>1937</v>
      </c>
      <c r="S198" s="107">
        <f>R198/H198/12</f>
        <v>23.05952380952381</v>
      </c>
      <c r="T198" s="107">
        <f>IF(Q198&gt;0,0,IF((OR((AF198&gt;AG198),(AH198&lt;AI198))),0,IF((AND((AH198&gt;=AI198),(AH198&lt;=AG198))),S198*((AH198-AI198)*12),IF((AND((AI198&lt;=AF198),(AG198&gt;=AF198))),((AG198-AF198)*12)*S198,IF(AH198&gt;AG198,12*S198,0)))))</f>
        <v>276.71428571428572</v>
      </c>
      <c r="U198" s="107">
        <f>IF(Q198=0,0,IF((AND((AJ198&gt;=AI198),(AJ198&lt;=AH198))),((AJ198-AI198)*12)*S198,0))</f>
        <v>0</v>
      </c>
      <c r="V198" s="107">
        <f>IF(U198&gt;0,U198,T198)</f>
        <v>276.71428571428572</v>
      </c>
      <c r="W198" s="105">
        <v>1</v>
      </c>
      <c r="X198" s="107">
        <f>W198*SUM(T198:U198)</f>
        <v>276.71428571428572</v>
      </c>
      <c r="Y198" s="105"/>
      <c r="Z198" s="107">
        <f>IF(AF198&gt;AG198,0,IF(AH198&lt;AI198,R198,IF((AND((AH198&gt;=AI198),(AH198&lt;=AG198))),(R198-V198),IF((AND((AI198&lt;=AF198),(AG198&gt;=AF198))),0,IF(AH198&gt;AG198,((AI198-AF198)*12)*S198,0)))))</f>
        <v>1083.79761904764</v>
      </c>
      <c r="AA198" s="107">
        <f>Z198*W198</f>
        <v>1083.79761904764</v>
      </c>
      <c r="AB198" s="105">
        <v>1</v>
      </c>
      <c r="AC198" s="107">
        <f>AA198*AB198</f>
        <v>1083.79761904764</v>
      </c>
      <c r="AD198" s="107">
        <f>IF(Q198&gt;0,0,AC198+X198*AB198)*AB198</f>
        <v>1360.5119047619257</v>
      </c>
      <c r="AE198" s="107">
        <f>IF(Q198&gt;0,(P198-AC198)/2,IF(AF198&gt;=AI198,(((P198*W198)*AB198)-AD198)/2,((((P198*W198)*AB198)-AC198)+(((P198*W198)*AB198)-AD198))/2))</f>
        <v>714.84523809521716</v>
      </c>
      <c r="AF198" s="107">
        <f>$D198+(($E198-1)/12)</f>
        <v>2012.5833333333333</v>
      </c>
      <c r="AG198" s="107">
        <f>($R$5+1)-($R$2/12)</f>
        <v>2017.5</v>
      </c>
      <c r="AH198" s="107">
        <f>$I198+(($E198-1)/12)</f>
        <v>2019.5833333333333</v>
      </c>
      <c r="AI198" s="108">
        <f>$R$4+($R$3/12)</f>
        <v>2016.5</v>
      </c>
      <c r="AJ198" s="108">
        <f>$J198+(($K198-1)/12)</f>
        <v>-8.3333333333333329E-2</v>
      </c>
      <c r="AK198" s="108">
        <f>$I198+(($E198-1)/12)</f>
        <v>2019.5833333333333</v>
      </c>
      <c r="AL198" s="108">
        <f>$R$4+($R$3/12)</f>
        <v>2016.5</v>
      </c>
      <c r="AM198" s="108">
        <f>$J198+(($K198-1)/12)</f>
        <v>-8.3333333333333329E-2</v>
      </c>
    </row>
    <row r="199" spans="1:39" x14ac:dyDescent="0.25">
      <c r="A199">
        <v>161</v>
      </c>
      <c r="B199" t="s">
        <v>554</v>
      </c>
      <c r="D199" s="34">
        <v>2012</v>
      </c>
      <c r="E199" s="34">
        <v>8</v>
      </c>
      <c r="F199" s="75"/>
      <c r="G199" s="34" t="s">
        <v>433</v>
      </c>
      <c r="H199" s="34">
        <v>7</v>
      </c>
      <c r="I199">
        <f>+D199+H199</f>
        <v>2019</v>
      </c>
      <c r="L199" s="53" t="s">
        <v>788</v>
      </c>
      <c r="M199" s="53" t="s">
        <v>788</v>
      </c>
      <c r="N199" s="53" t="s">
        <v>788</v>
      </c>
      <c r="O199" s="53" t="s">
        <v>788</v>
      </c>
      <c r="P199" s="32">
        <v>6371</v>
      </c>
      <c r="Q199" s="32"/>
      <c r="R199" s="32">
        <f>+P199-P199*F199</f>
        <v>6371</v>
      </c>
      <c r="S199" s="107">
        <f>R199/H199/12</f>
        <v>75.845238095238088</v>
      </c>
      <c r="T199" s="107">
        <f>IF(Q199&gt;0,0,IF((OR((AF199&gt;AG199),(AH199&lt;AI199))),0,IF((AND((AH199&gt;=AI199),(AH199&lt;=AG199))),S199*((AH199-AI199)*12),IF((AND((AI199&lt;=AF199),(AG199&gt;=AF199))),((AG199-AF199)*12)*S199,IF(AH199&gt;AG199,12*S199,0)))))</f>
        <v>910.14285714285711</v>
      </c>
      <c r="U199" s="107">
        <f>IF(Q199=0,0,IF((AND((AJ199&gt;=AI199),(AJ199&lt;=AH199))),((AJ199-AI199)*12)*S199,0))</f>
        <v>0</v>
      </c>
      <c r="V199" s="107">
        <f>IF(U199&gt;0,U199,T199)</f>
        <v>910.14285714285711</v>
      </c>
      <c r="W199" s="105">
        <v>1</v>
      </c>
      <c r="X199" s="107">
        <f>W199*SUM(T199:U199)</f>
        <v>910.14285714285711</v>
      </c>
      <c r="Y199" s="105"/>
      <c r="Z199" s="107">
        <f>IF(AF199&gt;AG199,0,IF(AH199&lt;AI199,R199,IF((AND((AH199&gt;=AI199),(AH199&lt;=AG199))),(R199-V199),IF((AND((AI199&lt;=AF199),(AG199&gt;=AF199))),0,IF(AH199&gt;AG199,((AI199-AF199)*12)*S199,0)))))</f>
        <v>3564.726190476259</v>
      </c>
      <c r="AA199" s="107">
        <f>Z199*W199</f>
        <v>3564.726190476259</v>
      </c>
      <c r="AB199" s="105">
        <v>1</v>
      </c>
      <c r="AC199" s="107">
        <f>AA199*AB199</f>
        <v>3564.726190476259</v>
      </c>
      <c r="AD199" s="107">
        <f>IF(Q199&gt;0,0,AC199+X199*AB199)*AB199</f>
        <v>4474.8690476191159</v>
      </c>
      <c r="AE199" s="107">
        <f>IF(Q199&gt;0,(P199-AC199)/2,IF(AF199&gt;=AI199,(((P199*W199)*AB199)-AD199)/2,((((P199*W199)*AB199)-AC199)+(((P199*W199)*AB199)-AD199))/2))</f>
        <v>2351.2023809523125</v>
      </c>
      <c r="AF199" s="107">
        <f>$D199+(($E199-1)/12)</f>
        <v>2012.5833333333333</v>
      </c>
      <c r="AG199" s="107">
        <f>($R$5+1)-($R$2/12)</f>
        <v>2017.5</v>
      </c>
      <c r="AH199" s="107">
        <f>$I199+(($E199-1)/12)</f>
        <v>2019.5833333333333</v>
      </c>
      <c r="AI199" s="108">
        <f>$R$4+($R$3/12)</f>
        <v>2016.5</v>
      </c>
      <c r="AJ199" s="108">
        <f>$J199+(($K199-1)/12)</f>
        <v>-8.3333333333333329E-2</v>
      </c>
      <c r="AK199" s="108">
        <f>$I199+(($E199-1)/12)</f>
        <v>2019.5833333333333</v>
      </c>
      <c r="AL199" s="108">
        <f>$R$4+($R$3/12)</f>
        <v>2016.5</v>
      </c>
      <c r="AM199" s="108">
        <f>$J199+(($K199-1)/12)</f>
        <v>-8.3333333333333329E-2</v>
      </c>
    </row>
    <row r="200" spans="1:39" x14ac:dyDescent="0.25">
      <c r="A200">
        <v>162</v>
      </c>
      <c r="B200" t="s">
        <v>555</v>
      </c>
      <c r="D200" s="34">
        <v>2012</v>
      </c>
      <c r="E200" s="34">
        <v>9</v>
      </c>
      <c r="F200" s="75"/>
      <c r="G200" s="34" t="s">
        <v>433</v>
      </c>
      <c r="H200" s="34">
        <v>7</v>
      </c>
      <c r="I200">
        <f>+D200+H200</f>
        <v>2019</v>
      </c>
      <c r="L200" s="53" t="s">
        <v>788</v>
      </c>
      <c r="M200" s="53" t="s">
        <v>788</v>
      </c>
      <c r="N200" s="53" t="s">
        <v>788</v>
      </c>
      <c r="O200" s="53" t="s">
        <v>788</v>
      </c>
      <c r="P200" s="32">
        <v>6155</v>
      </c>
      <c r="Q200" s="32"/>
      <c r="R200" s="32">
        <f>+P200-P200*F200</f>
        <v>6155</v>
      </c>
      <c r="S200" s="107">
        <f>R200/H200/12</f>
        <v>73.273809523809533</v>
      </c>
      <c r="T200" s="107">
        <f>IF(Q200&gt;0,0,IF((OR((AF200&gt;AG200),(AH200&lt;AI200))),0,IF((AND((AH200&gt;=AI200),(AH200&lt;=AG200))),S200*((AH200-AI200)*12),IF((AND((AI200&lt;=AF200),(AG200&gt;=AF200))),((AG200-AF200)*12)*S200,IF(AH200&gt;AG200,12*S200,0)))))</f>
        <v>879.28571428571445</v>
      </c>
      <c r="U200" s="107">
        <f>IF(Q200=0,0,IF((AND((AJ200&gt;=AI200),(AJ200&lt;=AH200))),((AJ200-AI200)*12)*S200,0))</f>
        <v>0</v>
      </c>
      <c r="V200" s="107">
        <f>IF(U200&gt;0,U200,T200)</f>
        <v>879.28571428571445</v>
      </c>
      <c r="W200" s="105">
        <v>1</v>
      </c>
      <c r="X200" s="107">
        <f>W200*SUM(T200:U200)</f>
        <v>879.28571428571445</v>
      </c>
      <c r="Y200" s="105"/>
      <c r="Z200" s="107">
        <f>IF(AF200&gt;AG200,0,IF(AH200&lt;AI200,R200,IF((AND((AH200&gt;=AI200),(AH200&lt;=AG200))),(R200-V200),IF((AND((AI200&lt;=AF200),(AG200&gt;=AF200))),0,IF(AH200&gt;AG200,((AI200-AF200)*12)*S200,0)))))</f>
        <v>3370.5952380951717</v>
      </c>
      <c r="AA200" s="107">
        <f>Z200*W200</f>
        <v>3370.5952380951717</v>
      </c>
      <c r="AB200" s="105">
        <v>1</v>
      </c>
      <c r="AC200" s="107">
        <f>AA200*AB200</f>
        <v>3370.5952380951717</v>
      </c>
      <c r="AD200" s="107">
        <f>IF(Q200&gt;0,0,AC200+X200*AB200)*AB200</f>
        <v>4249.8809523808859</v>
      </c>
      <c r="AE200" s="107">
        <f>IF(Q200&gt;0,(P200-AC200)/2,IF(AF200&gt;=AI200,(((P200*W200)*AB200)-AD200)/2,((((P200*W200)*AB200)-AC200)+(((P200*W200)*AB200)-AD200))/2))</f>
        <v>2344.761904761971</v>
      </c>
      <c r="AF200" s="107">
        <f>$D200+(($E200-1)/12)</f>
        <v>2012.6666666666667</v>
      </c>
      <c r="AG200" s="107">
        <f>($R$5+1)-($R$2/12)</f>
        <v>2017.5</v>
      </c>
      <c r="AH200" s="107">
        <f>$I200+(($E200-1)/12)</f>
        <v>2019.6666666666667</v>
      </c>
      <c r="AI200" s="108">
        <f>$R$4+($R$3/12)</f>
        <v>2016.5</v>
      </c>
      <c r="AJ200" s="108">
        <f>$J200+(($K200-1)/12)</f>
        <v>-8.3333333333333329E-2</v>
      </c>
      <c r="AK200" s="108">
        <f>$I200+(($E200-1)/12)</f>
        <v>2019.6666666666667</v>
      </c>
      <c r="AL200" s="108">
        <f>$R$4+($R$3/12)</f>
        <v>2016.5</v>
      </c>
      <c r="AM200" s="108">
        <f>$J200+(($K200-1)/12)</f>
        <v>-8.3333333333333329E-2</v>
      </c>
    </row>
    <row r="201" spans="1:39" x14ac:dyDescent="0.25">
      <c r="A201">
        <v>163</v>
      </c>
      <c r="B201" t="s">
        <v>556</v>
      </c>
      <c r="D201" s="34">
        <v>2012</v>
      </c>
      <c r="E201" s="34">
        <v>12</v>
      </c>
      <c r="F201" s="75"/>
      <c r="G201" s="34" t="s">
        <v>433</v>
      </c>
      <c r="H201" s="34">
        <v>7</v>
      </c>
      <c r="I201">
        <f>+D201+H201</f>
        <v>2019</v>
      </c>
      <c r="L201" s="53" t="s">
        <v>788</v>
      </c>
      <c r="M201" s="53" t="s">
        <v>788</v>
      </c>
      <c r="N201" s="53" t="s">
        <v>788</v>
      </c>
      <c r="O201" s="53" t="s">
        <v>788</v>
      </c>
      <c r="P201" s="32">
        <v>1650</v>
      </c>
      <c r="Q201" s="32"/>
      <c r="R201" s="32">
        <f>+P201-P201*F201</f>
        <v>1650</v>
      </c>
      <c r="S201" s="107">
        <f>R201/H201/12</f>
        <v>19.642857142857142</v>
      </c>
      <c r="T201" s="107">
        <f>IF(Q201&gt;0,0,IF((OR((AF201&gt;AG201),(AH201&lt;AI201))),0,IF((AND((AH201&gt;=AI201),(AH201&lt;=AG201))),S201*((AH201-AI201)*12),IF((AND((AI201&lt;=AF201),(AG201&gt;=AF201))),((AG201-AF201)*12)*S201,IF(AH201&gt;AG201,12*S201,0)))))</f>
        <v>235.71428571428572</v>
      </c>
      <c r="U201" s="107">
        <f>IF(Q201=0,0,IF((AND((AJ201&gt;=AI201),(AJ201&lt;=AH201))),((AJ201-AI201)*12)*S201,0))</f>
        <v>0</v>
      </c>
      <c r="V201" s="107">
        <f>IF(U201&gt;0,U201,T201)</f>
        <v>235.71428571428572</v>
      </c>
      <c r="W201" s="105">
        <v>1</v>
      </c>
      <c r="X201" s="107">
        <f>W201*SUM(T201:U201)</f>
        <v>235.71428571428572</v>
      </c>
      <c r="Y201" s="105"/>
      <c r="Z201" s="107">
        <f>IF(AF201&gt;AG201,0,IF(AH201&lt;AI201,R201,IF((AND((AH201&gt;=AI201),(AH201&lt;=AG201))),(R201-V201),IF((AND((AI201&lt;=AF201),(AG201&gt;=AF201))),0,IF(AH201&gt;AG201,((AI201-AF201)*12)*S201,0)))))</f>
        <v>844.64285714283926</v>
      </c>
      <c r="AA201" s="107">
        <f>Z201*W201</f>
        <v>844.64285714283926</v>
      </c>
      <c r="AB201" s="105">
        <v>1</v>
      </c>
      <c r="AC201" s="107">
        <f>AA201*AB201</f>
        <v>844.64285714283926</v>
      </c>
      <c r="AD201" s="107">
        <f>IF(Q201&gt;0,0,AC201+X201*AB201)*AB201</f>
        <v>1080.3571428571249</v>
      </c>
      <c r="AE201" s="107">
        <f>IF(Q201&gt;0,(P201-AC201)/2,IF(AF201&gt;=AI201,(((P201*W201)*AB201)-AD201)/2,((((P201*W201)*AB201)-AC201)+(((P201*W201)*AB201)-AD201))/2))</f>
        <v>687.50000000001796</v>
      </c>
      <c r="AF201" s="107">
        <f>$D201+(($E201-1)/12)</f>
        <v>2012.9166666666667</v>
      </c>
      <c r="AG201" s="107">
        <f>($R$5+1)-($R$2/12)</f>
        <v>2017.5</v>
      </c>
      <c r="AH201" s="107">
        <f>$I201+(($E201-1)/12)</f>
        <v>2019.9166666666667</v>
      </c>
      <c r="AI201" s="108">
        <f>$R$4+($R$3/12)</f>
        <v>2016.5</v>
      </c>
      <c r="AJ201" s="108">
        <f>$J201+(($K201-1)/12)</f>
        <v>-8.3333333333333329E-2</v>
      </c>
      <c r="AK201" s="108">
        <f>$I201+(($E201-1)/12)</f>
        <v>2019.9166666666667</v>
      </c>
      <c r="AL201" s="108">
        <f>$R$4+($R$3/12)</f>
        <v>2016.5</v>
      </c>
      <c r="AM201" s="108">
        <f>$J201+(($K201-1)/12)</f>
        <v>-8.3333333333333329E-2</v>
      </c>
    </row>
    <row r="202" spans="1:39" x14ac:dyDescent="0.25">
      <c r="A202">
        <v>175</v>
      </c>
      <c r="B202" t="s">
        <v>563</v>
      </c>
      <c r="D202" s="34">
        <v>2013</v>
      </c>
      <c r="E202" s="34">
        <v>5</v>
      </c>
      <c r="F202" s="75"/>
      <c r="G202" s="34" t="s">
        <v>433</v>
      </c>
      <c r="H202" s="34">
        <v>10</v>
      </c>
      <c r="I202">
        <f>+D202+H202</f>
        <v>2023</v>
      </c>
      <c r="L202" s="53" t="s">
        <v>788</v>
      </c>
      <c r="M202" s="53" t="s">
        <v>788</v>
      </c>
      <c r="N202" s="53" t="s">
        <v>788</v>
      </c>
      <c r="O202" s="53" t="s">
        <v>788</v>
      </c>
      <c r="P202" s="32">
        <v>10582.08</v>
      </c>
      <c r="Q202" s="32"/>
      <c r="R202" s="32">
        <f>+P202-P202*F202</f>
        <v>10582.08</v>
      </c>
      <c r="S202" s="107">
        <f>R202/H202/12</f>
        <v>88.184000000000012</v>
      </c>
      <c r="T202" s="107">
        <f>IF(Q202&gt;0,0,IF((OR((AF202&gt;AG202),(AH202&lt;AI202))),0,IF((AND((AH202&gt;=AI202),(AH202&lt;=AG202))),S202*((AH202-AI202)*12),IF((AND((AI202&lt;=AF202),(AG202&gt;=AF202))),((AG202-AF202)*12)*S202,IF(AH202&gt;AG202,12*S202,0)))))</f>
        <v>1058.2080000000001</v>
      </c>
      <c r="U202" s="107">
        <f>IF(Q202=0,0,IF((AND((AJ202&gt;=AI202),(AJ202&lt;=AH202))),((AJ202-AI202)*12)*S202,0))</f>
        <v>0</v>
      </c>
      <c r="V202" s="107">
        <f>IF(U202&gt;0,U202,T202)</f>
        <v>1058.2080000000001</v>
      </c>
      <c r="W202" s="105">
        <v>1</v>
      </c>
      <c r="X202" s="107">
        <f>W202*SUM(T202:U202)</f>
        <v>1058.2080000000001</v>
      </c>
      <c r="Y202" s="105"/>
      <c r="Z202" s="107">
        <f>IF(AF202&gt;AG202,0,IF(AH202&lt;AI202,R202,IF((AND((AH202&gt;=AI202),(AH202&lt;=AG202))),(R202-V202),IF((AND((AI202&lt;=AF202),(AG202&gt;=AF202))),0,IF(AH202&gt;AG202,((AI202-AF202)*12)*S202,0)))))</f>
        <v>3350.9920000000807</v>
      </c>
      <c r="AA202" s="107">
        <f>Z202*W202</f>
        <v>3350.9920000000807</v>
      </c>
      <c r="AB202" s="105">
        <v>1</v>
      </c>
      <c r="AC202" s="107">
        <f>AA202*AB202</f>
        <v>3350.9920000000807</v>
      </c>
      <c r="AD202" s="107">
        <f>IF(Q202&gt;0,0,AC202+X202*AB202)*AB202</f>
        <v>4409.2000000000808</v>
      </c>
      <c r="AE202" s="107">
        <f>IF(Q202&gt;0,(P202-AC202)/2,IF(AF202&gt;=AI202,(((P202*W202)*AB202)-AD202)/2,((((P202*W202)*AB202)-AC202)+(((P202*W202)*AB202)-AD202))/2))</f>
        <v>6701.9839999999194</v>
      </c>
      <c r="AF202" s="107">
        <f>$D202+(($E202-1)/12)</f>
        <v>2013.3333333333333</v>
      </c>
      <c r="AG202" s="107">
        <f>($R$5+1)-($R$2/12)</f>
        <v>2017.5</v>
      </c>
      <c r="AH202" s="107">
        <f>$I202+(($E202-1)/12)</f>
        <v>2023.3333333333333</v>
      </c>
      <c r="AI202" s="108">
        <f>$R$4+($R$3/12)</f>
        <v>2016.5</v>
      </c>
      <c r="AJ202" s="108">
        <f>$J202+(($K202-1)/12)</f>
        <v>-8.3333333333333329E-2</v>
      </c>
      <c r="AK202" s="108">
        <f>$I202+(($E202-1)/12)</f>
        <v>2023.3333333333333</v>
      </c>
      <c r="AL202" s="108">
        <f>$R$4+($R$3/12)</f>
        <v>2016.5</v>
      </c>
      <c r="AM202" s="108">
        <f>$J202+(($K202-1)/12)</f>
        <v>-8.3333333333333329E-2</v>
      </c>
    </row>
    <row r="203" spans="1:39" x14ac:dyDescent="0.25">
      <c r="A203">
        <v>179</v>
      </c>
      <c r="B203" t="s">
        <v>566</v>
      </c>
      <c r="D203" s="34">
        <v>2013</v>
      </c>
      <c r="E203" s="34">
        <v>11</v>
      </c>
      <c r="F203" s="75"/>
      <c r="G203" s="34" t="s">
        <v>433</v>
      </c>
      <c r="H203" s="34">
        <v>7</v>
      </c>
      <c r="I203">
        <f>+D203+H203</f>
        <v>2020</v>
      </c>
      <c r="L203" s="53" t="s">
        <v>788</v>
      </c>
      <c r="M203" s="53" t="s">
        <v>788</v>
      </c>
      <c r="N203" s="53" t="s">
        <v>788</v>
      </c>
      <c r="O203" s="53" t="s">
        <v>788</v>
      </c>
      <c r="P203" s="32">
        <v>1540.06</v>
      </c>
      <c r="Q203" s="32"/>
      <c r="R203" s="32">
        <f>+P203-P203*F203</f>
        <v>1540.06</v>
      </c>
      <c r="S203" s="107">
        <f>R203/H203/12</f>
        <v>18.33404761904762</v>
      </c>
      <c r="T203" s="107">
        <f>IF(Q203&gt;0,0,IF((OR((AF203&gt;AG203),(AH203&lt;AI203))),0,IF((AND((AH203&gt;=AI203),(AH203&lt;=AG203))),S203*((AH203-AI203)*12),IF((AND((AI203&lt;=AF203),(AG203&gt;=AF203))),((AG203-AF203)*12)*S203,IF(AH203&gt;AG203,12*S203,0)))))</f>
        <v>220.00857142857143</v>
      </c>
      <c r="U203" s="107">
        <f>IF(Q203=0,0,IF((AND((AJ203&gt;=AI203),(AJ203&lt;=AH203))),((AJ203-AI203)*12)*S203,0))</f>
        <v>0</v>
      </c>
      <c r="V203" s="107">
        <f>IF(U203&gt;0,U203,T203)</f>
        <v>220.00857142857143</v>
      </c>
      <c r="W203" s="105">
        <v>1</v>
      </c>
      <c r="X203" s="107">
        <f>W203*SUM(T203:U203)</f>
        <v>220.00857142857143</v>
      </c>
      <c r="Y203" s="105"/>
      <c r="Z203" s="107">
        <f>IF(AF203&gt;AG203,0,IF(AH203&lt;AI203,R203,IF((AND((AH203&gt;=AI203),(AH203&lt;=AG203))),(R203-V203),IF((AND((AI203&lt;=AF203),(AG203&gt;=AF203))),0,IF(AH203&gt;AG203,((AI203-AF203)*12)*S203,0)))))</f>
        <v>586.68952380954056</v>
      </c>
      <c r="AA203" s="107">
        <f>Z203*W203</f>
        <v>586.68952380954056</v>
      </c>
      <c r="AB203" s="105">
        <v>1</v>
      </c>
      <c r="AC203" s="107">
        <f>AA203*AB203</f>
        <v>586.68952380954056</v>
      </c>
      <c r="AD203" s="107">
        <f>IF(Q203&gt;0,0,AC203+X203*AB203)*AB203</f>
        <v>806.69809523811205</v>
      </c>
      <c r="AE203" s="107">
        <f>IF(Q203&gt;0,(P203-AC203)/2,IF(AF203&gt;=AI203,(((P203*W203)*AB203)-AD203)/2,((((P203*W203)*AB203)-AC203)+(((P203*W203)*AB203)-AD203))/2))</f>
        <v>843.36619047617364</v>
      </c>
      <c r="AF203" s="107">
        <f>$D203+(($E203-1)/12)</f>
        <v>2013.8333333333333</v>
      </c>
      <c r="AG203" s="107">
        <f>($R$5+1)-($R$2/12)</f>
        <v>2017.5</v>
      </c>
      <c r="AH203" s="107">
        <f>$I203+(($E203-1)/12)</f>
        <v>2020.8333333333333</v>
      </c>
      <c r="AI203" s="108">
        <f>$R$4+($R$3/12)</f>
        <v>2016.5</v>
      </c>
      <c r="AJ203" s="108">
        <f>$J203+(($K203-1)/12)</f>
        <v>-8.3333333333333329E-2</v>
      </c>
      <c r="AK203" s="108">
        <f>$I203+(($E203-1)/12)</f>
        <v>2020.8333333333333</v>
      </c>
      <c r="AL203" s="108">
        <f>$R$4+($R$3/12)</f>
        <v>2016.5</v>
      </c>
      <c r="AM203" s="108">
        <f>$J203+(($K203-1)/12)</f>
        <v>-8.3333333333333329E-2</v>
      </c>
    </row>
    <row r="204" spans="1:39" x14ac:dyDescent="0.25">
      <c r="A204">
        <v>185</v>
      </c>
      <c r="B204" t="s">
        <v>569</v>
      </c>
      <c r="D204" s="34">
        <v>2013</v>
      </c>
      <c r="E204" s="34">
        <v>6</v>
      </c>
      <c r="F204" s="75"/>
      <c r="G204" s="34" t="s">
        <v>433</v>
      </c>
      <c r="H204" s="34">
        <v>20</v>
      </c>
      <c r="I204">
        <f>+D204+H204</f>
        <v>2033</v>
      </c>
      <c r="L204">
        <v>10</v>
      </c>
      <c r="M204">
        <f>+D204+L204</f>
        <v>2023</v>
      </c>
      <c r="N204">
        <v>7</v>
      </c>
      <c r="O204" s="32">
        <f>+Z204</f>
        <v>89407.41666666446</v>
      </c>
      <c r="P204" s="32">
        <v>579940</v>
      </c>
      <c r="Q204" s="32"/>
      <c r="R204" s="32">
        <f>+P204-P204*F204</f>
        <v>579940</v>
      </c>
      <c r="S204" s="107">
        <f>R204/H204/12</f>
        <v>2416.4166666666665</v>
      </c>
      <c r="T204" s="107">
        <f>(+R204-O204)/7</f>
        <v>70076.083333333649</v>
      </c>
      <c r="U204" s="107">
        <f>IF(Q204=0,0,IF((AND((AJ204&gt;=AI204),(AJ204&lt;=AH204))),((AJ204-AI204)*12)*S204,0))</f>
        <v>0</v>
      </c>
      <c r="V204" s="107">
        <f>IF(U204&gt;0,U204,T204)</f>
        <v>70076.083333333649</v>
      </c>
      <c r="W204" s="105">
        <v>1</v>
      </c>
      <c r="X204" s="107">
        <f>W204*SUM(T204:U204)</f>
        <v>70076.083333333649</v>
      </c>
      <c r="Y204" s="105"/>
      <c r="Z204" s="107">
        <f>IF(AF204&gt;AG204,0,IF(AH204&lt;AI204,R204,IF((AND((AH204&gt;=AI204),(AH204&lt;=AG204))),(R204-V204),IF((AND((AI204&lt;=AF204),(AG204&gt;=AF204))),0,IF(AH204&gt;AG204,((AI204-AF204)*12)*S204,0)))))</f>
        <v>89407.41666666446</v>
      </c>
      <c r="AA204" s="107">
        <f>Z204*W204</f>
        <v>89407.41666666446</v>
      </c>
      <c r="AB204" s="105">
        <v>1</v>
      </c>
      <c r="AC204" s="107">
        <f>AA204*AB204</f>
        <v>89407.41666666446</v>
      </c>
      <c r="AD204" s="107">
        <f>IF(Q204&gt;0,0,AC204+X204*AB204)*AB204</f>
        <v>159483.49999999811</v>
      </c>
      <c r="AE204" s="107">
        <f>IF(Q204&gt;0,(P204-AC204)/2,IF(AF204&gt;=AI204,(((P204*W204)*AB204)-AD204)/2,((((P204*W204)*AB204)-AC204)+(((P204*W204)*AB204)-AD204))/2))</f>
        <v>455494.54166666872</v>
      </c>
      <c r="AF204" s="107">
        <f>$D204+(($E204-1)/12)</f>
        <v>2013.4166666666667</v>
      </c>
      <c r="AG204" s="107">
        <f>($R$5+1)-($R$2/12)</f>
        <v>2017.5</v>
      </c>
      <c r="AH204" s="107">
        <f>$I204+(($E204-1)/12)</f>
        <v>2033.4166666666667</v>
      </c>
      <c r="AI204" s="108">
        <f>$R$4+($R$3/12)</f>
        <v>2016.5</v>
      </c>
      <c r="AJ204" s="108">
        <f>$J204+(($K204-1)/12)</f>
        <v>-8.3333333333333329E-2</v>
      </c>
      <c r="AK204" s="108">
        <f>$I204+(($E204-1)/12)</f>
        <v>2033.4166666666667</v>
      </c>
      <c r="AL204" s="108">
        <f>$R$4+($R$3/12)</f>
        <v>2016.5</v>
      </c>
      <c r="AM204" s="108">
        <f>$J204+(($K204-1)/12)</f>
        <v>-8.3333333333333329E-2</v>
      </c>
    </row>
    <row r="205" spans="1:39" x14ac:dyDescent="0.25">
      <c r="A205">
        <v>186</v>
      </c>
      <c r="B205" t="s">
        <v>570</v>
      </c>
      <c r="D205" s="34">
        <v>2013</v>
      </c>
      <c r="E205" s="34">
        <v>6</v>
      </c>
      <c r="F205" s="75"/>
      <c r="G205" s="34" t="s">
        <v>433</v>
      </c>
      <c r="H205" s="34">
        <v>20</v>
      </c>
      <c r="I205">
        <f>+D205+H205</f>
        <v>2033</v>
      </c>
      <c r="L205">
        <v>10</v>
      </c>
      <c r="M205">
        <f>+D205+L205</f>
        <v>2023</v>
      </c>
      <c r="N205">
        <v>7</v>
      </c>
      <c r="O205" s="32">
        <f>+Z205</f>
        <v>5767.4674999998579</v>
      </c>
      <c r="P205" s="32">
        <v>37410.6</v>
      </c>
      <c r="Q205" s="32"/>
      <c r="R205" s="32">
        <f>+P205-P205*F205</f>
        <v>37410.6</v>
      </c>
      <c r="S205" s="107">
        <f>R205/H205/12</f>
        <v>155.8775</v>
      </c>
      <c r="T205" s="107">
        <f>(+R205-O205)/7</f>
        <v>4520.4475000000202</v>
      </c>
      <c r="U205" s="107">
        <f>IF(Q205=0,0,IF((AND((AJ205&gt;=AI205),(AJ205&lt;=AH205))),((AJ205-AI205)*12)*S205,0))</f>
        <v>0</v>
      </c>
      <c r="V205" s="107">
        <f>IF(U205&gt;0,U205,T205)</f>
        <v>4520.4475000000202</v>
      </c>
      <c r="W205" s="105">
        <v>1</v>
      </c>
      <c r="X205" s="107">
        <f>W205*SUM(T205:U205)</f>
        <v>4520.4475000000202</v>
      </c>
      <c r="Y205" s="105"/>
      <c r="Z205" s="107">
        <f>IF(AF205&gt;AG205,0,IF(AH205&lt;AI205,R205,IF((AND((AH205&gt;=AI205),(AH205&lt;=AG205))),(R205-V205),IF((AND((AI205&lt;=AF205),(AG205&gt;=AF205))),0,IF(AH205&gt;AG205,((AI205-AF205)*12)*S205,0)))))</f>
        <v>5767.4674999998579</v>
      </c>
      <c r="AA205" s="107">
        <f>Z205*W205</f>
        <v>5767.4674999998579</v>
      </c>
      <c r="AB205" s="105">
        <v>1</v>
      </c>
      <c r="AC205" s="107">
        <f>AA205*AB205</f>
        <v>5767.4674999998579</v>
      </c>
      <c r="AD205" s="107">
        <f>IF(Q205&gt;0,0,AC205+X205*AB205)*AB205</f>
        <v>10287.914999999877</v>
      </c>
      <c r="AE205" s="107">
        <f>IF(Q205&gt;0,(P205-AC205)/2,IF(AF205&gt;=AI205,(((P205*W205)*AB205)-AD205)/2,((((P205*W205)*AB205)-AC205)+(((P205*W205)*AB205)-AD205))/2))</f>
        <v>29382.908750000133</v>
      </c>
      <c r="AF205" s="107">
        <f>$D205+(($E205-1)/12)</f>
        <v>2013.4166666666667</v>
      </c>
      <c r="AG205" s="107">
        <f>($R$5+1)-($R$2/12)</f>
        <v>2017.5</v>
      </c>
      <c r="AH205" s="107">
        <f>$I205+(($E205-1)/12)</f>
        <v>2033.4166666666667</v>
      </c>
      <c r="AI205" s="108">
        <f>$R$4+($R$3/12)</f>
        <v>2016.5</v>
      </c>
      <c r="AJ205" s="108">
        <f>$J205+(($K205-1)/12)</f>
        <v>-8.3333333333333329E-2</v>
      </c>
      <c r="AK205" s="108">
        <f>$I205+(($E205-1)/12)</f>
        <v>2033.4166666666667</v>
      </c>
      <c r="AL205" s="108">
        <f>$R$4+($R$3/12)</f>
        <v>2016.5</v>
      </c>
      <c r="AM205" s="108">
        <f>$J205+(($K205-1)/12)</f>
        <v>-8.3333333333333329E-2</v>
      </c>
    </row>
    <row r="206" spans="1:39" x14ac:dyDescent="0.25">
      <c r="A206">
        <v>187</v>
      </c>
      <c r="B206" t="s">
        <v>571</v>
      </c>
      <c r="D206" s="34">
        <v>2013</v>
      </c>
      <c r="E206" s="34">
        <v>6</v>
      </c>
      <c r="F206" s="75"/>
      <c r="G206" s="34" t="s">
        <v>433</v>
      </c>
      <c r="H206" s="34">
        <v>20</v>
      </c>
      <c r="I206">
        <f>+D206+H206</f>
        <v>2033</v>
      </c>
      <c r="L206">
        <v>10</v>
      </c>
      <c r="M206">
        <f>+D206+L206</f>
        <v>2023</v>
      </c>
      <c r="N206">
        <v>7</v>
      </c>
      <c r="O206" s="32">
        <f>+Z206</f>
        <v>80.232958333331354</v>
      </c>
      <c r="P206" s="32">
        <v>520.42999999999995</v>
      </c>
      <c r="Q206" s="32"/>
      <c r="R206" s="32">
        <f>+P206-P206*F206</f>
        <v>520.42999999999995</v>
      </c>
      <c r="S206" s="107">
        <f>R206/H206/12</f>
        <v>2.1684583333333332</v>
      </c>
      <c r="T206" s="107">
        <f>(+R206-O206)/7</f>
        <v>62.885291666666944</v>
      </c>
      <c r="U206" s="107">
        <f>IF(Q206=0,0,IF((AND((AJ206&gt;=AI206),(AJ206&lt;=AH206))),((AJ206-AI206)*12)*S206,0))</f>
        <v>0</v>
      </c>
      <c r="V206" s="107">
        <f>IF(U206&gt;0,U206,T206)</f>
        <v>62.885291666666944</v>
      </c>
      <c r="W206" s="105">
        <v>1</v>
      </c>
      <c r="X206" s="107">
        <f>W206*SUM(T206:U206)</f>
        <v>62.885291666666944</v>
      </c>
      <c r="Y206" s="105"/>
      <c r="Z206" s="107">
        <f>IF(AF206&gt;AG206,0,IF(AH206&lt;AI206,R206,IF((AND((AH206&gt;=AI206),(AH206&lt;=AG206))),(R206-V206),IF((AND((AI206&lt;=AF206),(AG206&gt;=AF206))),0,IF(AH206&gt;AG206,((AI206-AF206)*12)*S206,0)))))</f>
        <v>80.232958333331354</v>
      </c>
      <c r="AA206" s="107">
        <f>Z206*W206</f>
        <v>80.232958333331354</v>
      </c>
      <c r="AB206" s="105">
        <v>1</v>
      </c>
      <c r="AC206" s="107">
        <f>AA206*AB206</f>
        <v>80.232958333331354</v>
      </c>
      <c r="AD206" s="107">
        <f>IF(Q206&gt;0,0,AC206+X206*AB206)*AB206</f>
        <v>143.11824999999828</v>
      </c>
      <c r="AE206" s="107">
        <f>IF(Q206&gt;0,(P206-AC206)/2,IF(AF206&gt;=AI206,(((P206*W206)*AB206)-AD206)/2,((((P206*W206)*AB206)-AC206)+(((P206*W206)*AB206)-AD206))/2))</f>
        <v>408.75439583333514</v>
      </c>
      <c r="AF206" s="107">
        <f>$D206+(($E206-1)/12)</f>
        <v>2013.4166666666667</v>
      </c>
      <c r="AG206" s="107">
        <f>($R$5+1)-($R$2/12)</f>
        <v>2017.5</v>
      </c>
      <c r="AH206" s="107">
        <f>$I206+(($E206-1)/12)</f>
        <v>2033.4166666666667</v>
      </c>
      <c r="AI206" s="108">
        <f>$R$4+($R$3/12)</f>
        <v>2016.5</v>
      </c>
      <c r="AJ206" s="108">
        <f>$J206+(($K206-1)/12)</f>
        <v>-8.3333333333333329E-2</v>
      </c>
      <c r="AK206" s="108">
        <f>$I206+(($E206-1)/12)</f>
        <v>2033.4166666666667</v>
      </c>
      <c r="AL206" s="108">
        <f>$R$4+($R$3/12)</f>
        <v>2016.5</v>
      </c>
      <c r="AM206" s="108">
        <f>$J206+(($K206-1)/12)</f>
        <v>-8.3333333333333329E-2</v>
      </c>
    </row>
    <row r="207" spans="1:39" x14ac:dyDescent="0.25">
      <c r="A207">
        <v>188</v>
      </c>
      <c r="B207" t="s">
        <v>572</v>
      </c>
      <c r="D207" s="34">
        <v>2013</v>
      </c>
      <c r="E207" s="34">
        <v>6</v>
      </c>
      <c r="F207" s="75"/>
      <c r="G207" s="34" t="s">
        <v>433</v>
      </c>
      <c r="H207" s="34">
        <v>20</v>
      </c>
      <c r="I207">
        <f>+D207+H207</f>
        <v>2033</v>
      </c>
      <c r="L207">
        <v>10</v>
      </c>
      <c r="M207">
        <f>+D207+L207</f>
        <v>2023</v>
      </c>
      <c r="N207">
        <v>7</v>
      </c>
      <c r="O207" s="32">
        <f>+Z207</f>
        <v>3411.6744166665831</v>
      </c>
      <c r="P207" s="32">
        <v>22129.78</v>
      </c>
      <c r="Q207" s="32"/>
      <c r="R207" s="32">
        <f>+P207-P207*F207</f>
        <v>22129.78</v>
      </c>
      <c r="S207" s="107">
        <f>R207/H207/12</f>
        <v>92.207416666666674</v>
      </c>
      <c r="T207" s="107">
        <f>(+R207-O207)/7</f>
        <v>2674.0150833333455</v>
      </c>
      <c r="U207" s="107">
        <f>IF(Q207=0,0,IF((AND((AJ207&gt;=AI207),(AJ207&lt;=AH207))),((AJ207-AI207)*12)*S207,0))</f>
        <v>0</v>
      </c>
      <c r="V207" s="107">
        <f>IF(U207&gt;0,U207,T207)</f>
        <v>2674.0150833333455</v>
      </c>
      <c r="W207" s="105">
        <v>1</v>
      </c>
      <c r="X207" s="107">
        <f>W207*SUM(T207:U207)</f>
        <v>2674.0150833333455</v>
      </c>
      <c r="Y207" s="105"/>
      <c r="Z207" s="107">
        <f>IF(AF207&gt;AG207,0,IF(AH207&lt;AI207,R207,IF((AND((AH207&gt;=AI207),(AH207&lt;=AG207))),(R207-V207),IF((AND((AI207&lt;=AF207),(AG207&gt;=AF207))),0,IF(AH207&gt;AG207,((AI207-AF207)*12)*S207,0)))))</f>
        <v>3411.6744166665831</v>
      </c>
      <c r="AA207" s="107">
        <f>Z207*W207</f>
        <v>3411.6744166665831</v>
      </c>
      <c r="AB207" s="105">
        <v>1</v>
      </c>
      <c r="AC207" s="107">
        <f>AA207*AB207</f>
        <v>3411.6744166665831</v>
      </c>
      <c r="AD207" s="107">
        <f>IF(Q207&gt;0,0,AC207+X207*AB207)*AB207</f>
        <v>6085.6894999999286</v>
      </c>
      <c r="AE207" s="107">
        <f>IF(Q207&gt;0,(P207-AC207)/2,IF(AF207&gt;=AI207,(((P207*W207)*AB207)-AD207)/2,((((P207*W207)*AB207)-AC207)+(((P207*W207)*AB207)-AD207))/2))</f>
        <v>17381.098041666744</v>
      </c>
      <c r="AF207" s="107">
        <f>$D207+(($E207-1)/12)</f>
        <v>2013.4166666666667</v>
      </c>
      <c r="AG207" s="107">
        <f>($R$5+1)-($R$2/12)</f>
        <v>2017.5</v>
      </c>
      <c r="AH207" s="107">
        <f>$I207+(($E207-1)/12)</f>
        <v>2033.4166666666667</v>
      </c>
      <c r="AI207" s="108">
        <f>$R$4+($R$3/12)</f>
        <v>2016.5</v>
      </c>
      <c r="AJ207" s="108">
        <f>$J207+(($K207-1)/12)</f>
        <v>-8.3333333333333329E-2</v>
      </c>
      <c r="AK207" s="108">
        <f>$I207+(($E207-1)/12)</f>
        <v>2033.4166666666667</v>
      </c>
      <c r="AL207" s="108">
        <f>$R$4+($R$3/12)</f>
        <v>2016.5</v>
      </c>
      <c r="AM207" s="108">
        <f>$J207+(($K207-1)/12)</f>
        <v>-8.3333333333333329E-2</v>
      </c>
    </row>
    <row r="208" spans="1:39" x14ac:dyDescent="0.25">
      <c r="A208">
        <v>189</v>
      </c>
      <c r="B208" t="s">
        <v>573</v>
      </c>
      <c r="D208" s="34">
        <v>2013</v>
      </c>
      <c r="E208" s="34">
        <v>6</v>
      </c>
      <c r="F208" s="75"/>
      <c r="G208" s="34" t="s">
        <v>433</v>
      </c>
      <c r="H208" s="34">
        <v>20</v>
      </c>
      <c r="I208">
        <f>+D208+H208</f>
        <v>2033</v>
      </c>
      <c r="L208">
        <v>10</v>
      </c>
      <c r="M208">
        <f>+D208+L208</f>
        <v>2023</v>
      </c>
      <c r="N208">
        <v>7</v>
      </c>
      <c r="O208" s="32">
        <f>+Z208</f>
        <v>2623.9829583332689</v>
      </c>
      <c r="P208" s="32">
        <v>17020.43</v>
      </c>
      <c r="Q208" s="32"/>
      <c r="R208" s="32">
        <f>+P208-P208*F208</f>
        <v>17020.43</v>
      </c>
      <c r="S208" s="107">
        <f>R208/H208/12</f>
        <v>70.918458333333334</v>
      </c>
      <c r="T208" s="107">
        <f>(+R208-O208)/7</f>
        <v>2056.635291666676</v>
      </c>
      <c r="U208" s="107">
        <f>IF(Q208=0,0,IF((AND((AJ208&gt;=AI208),(AJ208&lt;=AH208))),((AJ208-AI208)*12)*S208,0))</f>
        <v>0</v>
      </c>
      <c r="V208" s="107">
        <f>IF(U208&gt;0,U208,T208)</f>
        <v>2056.635291666676</v>
      </c>
      <c r="W208" s="105">
        <v>1</v>
      </c>
      <c r="X208" s="107">
        <f>W208*SUM(T208:U208)</f>
        <v>2056.635291666676</v>
      </c>
      <c r="Y208" s="105"/>
      <c r="Z208" s="107">
        <f>IF(AF208&gt;AG208,0,IF(AH208&lt;AI208,R208,IF((AND((AH208&gt;=AI208),(AH208&lt;=AG208))),(R208-V208),IF((AND((AI208&lt;=AF208),(AG208&gt;=AF208))),0,IF(AH208&gt;AG208,((AI208-AF208)*12)*S208,0)))))</f>
        <v>2623.9829583332689</v>
      </c>
      <c r="AA208" s="107">
        <f>Z208*W208</f>
        <v>2623.9829583332689</v>
      </c>
      <c r="AB208" s="105">
        <v>1</v>
      </c>
      <c r="AC208" s="107">
        <f>AA208*AB208</f>
        <v>2623.9829583332689</v>
      </c>
      <c r="AD208" s="107">
        <f>IF(Q208&gt;0,0,AC208+X208*AB208)*AB208</f>
        <v>4680.618249999945</v>
      </c>
      <c r="AE208" s="107">
        <f>IF(Q208&gt;0,(P208-AC208)/2,IF(AF208&gt;=AI208,(((P208*W208)*AB208)-AD208)/2,((((P208*W208)*AB208)-AC208)+(((P208*W208)*AB208)-AD208))/2))</f>
        <v>13368.129395833394</v>
      </c>
      <c r="AF208" s="107">
        <f>$D208+(($E208-1)/12)</f>
        <v>2013.4166666666667</v>
      </c>
      <c r="AG208" s="107">
        <f>($R$5+1)-($R$2/12)</f>
        <v>2017.5</v>
      </c>
      <c r="AH208" s="107">
        <f>$I208+(($E208-1)/12)</f>
        <v>2033.4166666666667</v>
      </c>
      <c r="AI208" s="108">
        <f>$R$4+($R$3/12)</f>
        <v>2016.5</v>
      </c>
      <c r="AJ208" s="108">
        <f>$J208+(($K208-1)/12)</f>
        <v>-8.3333333333333329E-2</v>
      </c>
      <c r="AK208" s="108">
        <f>$I208+(($E208-1)/12)</f>
        <v>2033.4166666666667</v>
      </c>
      <c r="AL208" s="108">
        <f>$R$4+($R$3/12)</f>
        <v>2016.5</v>
      </c>
      <c r="AM208" s="108">
        <f>$J208+(($K208-1)/12)</f>
        <v>-8.3333333333333329E-2</v>
      </c>
    </row>
    <row r="209" spans="1:39" x14ac:dyDescent="0.25">
      <c r="A209">
        <v>190</v>
      </c>
      <c r="B209" t="s">
        <v>574</v>
      </c>
      <c r="D209" s="34">
        <v>2013</v>
      </c>
      <c r="E209" s="34">
        <v>6</v>
      </c>
      <c r="F209" s="75"/>
      <c r="G209" s="34" t="s">
        <v>433</v>
      </c>
      <c r="H209" s="34">
        <v>20</v>
      </c>
      <c r="I209">
        <f>+D209+H209</f>
        <v>2033</v>
      </c>
      <c r="L209">
        <v>10</v>
      </c>
      <c r="M209">
        <f>+D209+L209</f>
        <v>2023</v>
      </c>
      <c r="N209">
        <v>7</v>
      </c>
      <c r="O209" s="32">
        <f>+Z209</f>
        <v>140.27779166666321</v>
      </c>
      <c r="P209" s="32">
        <v>909.91</v>
      </c>
      <c r="Q209" s="32"/>
      <c r="R209" s="32">
        <f>+P209-P209*F209</f>
        <v>909.91</v>
      </c>
      <c r="S209" s="107">
        <f>R209/H209/12</f>
        <v>3.7912916666666665</v>
      </c>
      <c r="T209" s="107">
        <f>(+R209-O209)/7</f>
        <v>109.94745833333381</v>
      </c>
      <c r="U209" s="107">
        <f>IF(Q209=0,0,IF((AND((AJ209&gt;=AI209),(AJ209&lt;=AH209))),((AJ209-AI209)*12)*S209,0))</f>
        <v>0</v>
      </c>
      <c r="V209" s="107">
        <f>IF(U209&gt;0,U209,T209)</f>
        <v>109.94745833333381</v>
      </c>
      <c r="W209" s="105">
        <v>1</v>
      </c>
      <c r="X209" s="107">
        <f>W209*SUM(T209:U209)</f>
        <v>109.94745833333381</v>
      </c>
      <c r="Y209" s="105"/>
      <c r="Z209" s="107">
        <f>IF(AF209&gt;AG209,0,IF(AH209&lt;AI209,R209,IF((AND((AH209&gt;=AI209),(AH209&lt;=AG209))),(R209-V209),IF((AND((AI209&lt;=AF209),(AG209&gt;=AF209))),0,IF(AH209&gt;AG209,((AI209-AF209)*12)*S209,0)))))</f>
        <v>140.27779166666321</v>
      </c>
      <c r="AA209" s="107">
        <f>Z209*W209</f>
        <v>140.27779166666321</v>
      </c>
      <c r="AB209" s="105">
        <v>1</v>
      </c>
      <c r="AC209" s="107">
        <f>AA209*AB209</f>
        <v>140.27779166666321</v>
      </c>
      <c r="AD209" s="107">
        <f>IF(Q209&gt;0,0,AC209+X209*AB209)*AB209</f>
        <v>250.225249999997</v>
      </c>
      <c r="AE209" s="107">
        <f>IF(Q209&gt;0,(P209-AC209)/2,IF(AF209&gt;=AI209,(((P209*W209)*AB209)-AD209)/2,((((P209*W209)*AB209)-AC209)+(((P209*W209)*AB209)-AD209))/2))</f>
        <v>714.65847916666985</v>
      </c>
      <c r="AF209" s="107">
        <f>$D209+(($E209-1)/12)</f>
        <v>2013.4166666666667</v>
      </c>
      <c r="AG209" s="107">
        <f>($R$5+1)-($R$2/12)</f>
        <v>2017.5</v>
      </c>
      <c r="AH209" s="107">
        <f>$I209+(($E209-1)/12)</f>
        <v>2033.4166666666667</v>
      </c>
      <c r="AI209" s="108">
        <f>$R$4+($R$3/12)</f>
        <v>2016.5</v>
      </c>
      <c r="AJ209" s="108">
        <f>$J209+(($K209-1)/12)</f>
        <v>-8.3333333333333329E-2</v>
      </c>
      <c r="AK209" s="108">
        <f>$I209+(($E209-1)/12)</f>
        <v>2033.4166666666667</v>
      </c>
      <c r="AL209" s="108">
        <f>$R$4+($R$3/12)</f>
        <v>2016.5</v>
      </c>
      <c r="AM209" s="108">
        <f>$J209+(($K209-1)/12)</f>
        <v>-8.3333333333333329E-2</v>
      </c>
    </row>
    <row r="210" spans="1:39" x14ac:dyDescent="0.25">
      <c r="A210">
        <v>191</v>
      </c>
      <c r="B210" t="s">
        <v>575</v>
      </c>
      <c r="D210" s="34">
        <v>2013</v>
      </c>
      <c r="E210" s="34">
        <v>6</v>
      </c>
      <c r="F210" s="75"/>
      <c r="G210" s="34" t="s">
        <v>433</v>
      </c>
      <c r="H210" s="34">
        <v>20</v>
      </c>
      <c r="I210">
        <f>+D210+H210</f>
        <v>2033</v>
      </c>
      <c r="L210">
        <v>10</v>
      </c>
      <c r="M210">
        <f>+D210+L210</f>
        <v>2023</v>
      </c>
      <c r="N210">
        <v>7</v>
      </c>
      <c r="O210" s="32">
        <f>+Z210</f>
        <v>623.88783333331799</v>
      </c>
      <c r="P210" s="32">
        <v>4046.84</v>
      </c>
      <c r="Q210" s="32"/>
      <c r="R210" s="32">
        <f>+P210-P210*F210</f>
        <v>4046.84</v>
      </c>
      <c r="S210" s="107">
        <f>R210/H210/12</f>
        <v>16.861833333333333</v>
      </c>
      <c r="T210" s="107">
        <f>(+R210-O210)/7</f>
        <v>488.99316666666891</v>
      </c>
      <c r="U210" s="107">
        <f>IF(Q210=0,0,IF((AND((AJ210&gt;=AI210),(AJ210&lt;=AH210))),((AJ210-AI210)*12)*S210,0))</f>
        <v>0</v>
      </c>
      <c r="V210" s="107">
        <f>IF(U210&gt;0,U210,T210)</f>
        <v>488.99316666666891</v>
      </c>
      <c r="W210" s="105">
        <v>1</v>
      </c>
      <c r="X210" s="107">
        <f>W210*SUM(T210:U210)</f>
        <v>488.99316666666891</v>
      </c>
      <c r="Y210" s="105"/>
      <c r="Z210" s="107">
        <f>IF(AF210&gt;AG210,0,IF(AH210&lt;AI210,R210,IF((AND((AH210&gt;=AI210),(AH210&lt;=AG210))),(R210-V210),IF((AND((AI210&lt;=AF210),(AG210&gt;=AF210))),0,IF(AH210&gt;AG210,((AI210-AF210)*12)*S210,0)))))</f>
        <v>623.88783333331799</v>
      </c>
      <c r="AA210" s="107">
        <f>Z210*W210</f>
        <v>623.88783333331799</v>
      </c>
      <c r="AB210" s="105">
        <v>1</v>
      </c>
      <c r="AC210" s="107">
        <f>AA210*AB210</f>
        <v>623.88783333331799</v>
      </c>
      <c r="AD210" s="107">
        <f>IF(Q210&gt;0,0,AC210+X210*AB210)*AB210</f>
        <v>1112.8809999999869</v>
      </c>
      <c r="AE210" s="107">
        <f>IF(Q210&gt;0,(P210-AC210)/2,IF(AF210&gt;=AI210,(((P210*W210)*AB210)-AD210)/2,((((P210*W210)*AB210)-AC210)+(((P210*W210)*AB210)-AD210))/2))</f>
        <v>3178.4555833333479</v>
      </c>
      <c r="AF210" s="107">
        <f>$D210+(($E210-1)/12)</f>
        <v>2013.4166666666667</v>
      </c>
      <c r="AG210" s="107">
        <f>($R$5+1)-($R$2/12)</f>
        <v>2017.5</v>
      </c>
      <c r="AH210" s="107">
        <f>$I210+(($E210-1)/12)</f>
        <v>2033.4166666666667</v>
      </c>
      <c r="AI210" s="108">
        <f>$R$4+($R$3/12)</f>
        <v>2016.5</v>
      </c>
      <c r="AJ210" s="108">
        <f>$J210+(($K210-1)/12)</f>
        <v>-8.3333333333333329E-2</v>
      </c>
      <c r="AK210" s="108">
        <f>$I210+(($E210-1)/12)</f>
        <v>2033.4166666666667</v>
      </c>
      <c r="AL210" s="108">
        <f>$R$4+($R$3/12)</f>
        <v>2016.5</v>
      </c>
      <c r="AM210" s="108">
        <f>$J210+(($K210-1)/12)</f>
        <v>-8.3333333333333329E-2</v>
      </c>
    </row>
    <row r="211" spans="1:39" x14ac:dyDescent="0.25">
      <c r="A211">
        <v>192</v>
      </c>
      <c r="B211" t="s">
        <v>576</v>
      </c>
      <c r="D211" s="34">
        <v>2013</v>
      </c>
      <c r="E211" s="34">
        <v>6</v>
      </c>
      <c r="F211" s="75"/>
      <c r="G211" s="34" t="s">
        <v>433</v>
      </c>
      <c r="H211" s="34">
        <v>20</v>
      </c>
      <c r="I211">
        <f>+D211+H211</f>
        <v>2033</v>
      </c>
      <c r="L211">
        <v>10</v>
      </c>
      <c r="M211">
        <f>+D211+L211</f>
        <v>2023</v>
      </c>
      <c r="N211">
        <v>7</v>
      </c>
      <c r="O211" s="32">
        <f>+Z211</f>
        <v>281.0597083333264</v>
      </c>
      <c r="P211" s="32">
        <v>1823.09</v>
      </c>
      <c r="Q211" s="32"/>
      <c r="R211" s="32">
        <f>+P211-P211*F211</f>
        <v>1823.09</v>
      </c>
      <c r="S211" s="107">
        <f>R211/H211/12</f>
        <v>7.5962083333333332</v>
      </c>
      <c r="T211" s="107">
        <f>(+R211-O211)/7</f>
        <v>220.29004166666763</v>
      </c>
      <c r="U211" s="107">
        <f>IF(Q211=0,0,IF((AND((AJ211&gt;=AI211),(AJ211&lt;=AH211))),((AJ211-AI211)*12)*S211,0))</f>
        <v>0</v>
      </c>
      <c r="V211" s="107">
        <f>IF(U211&gt;0,U211,T211)</f>
        <v>220.29004166666763</v>
      </c>
      <c r="W211" s="105">
        <v>1</v>
      </c>
      <c r="X211" s="107">
        <f>W211*SUM(T211:U211)</f>
        <v>220.29004166666763</v>
      </c>
      <c r="Y211" s="105"/>
      <c r="Z211" s="107">
        <f>IF(AF211&gt;AG211,0,IF(AH211&lt;AI211,R211,IF((AND((AH211&gt;=AI211),(AH211&lt;=AG211))),(R211-V211),IF((AND((AI211&lt;=AF211),(AG211&gt;=AF211))),0,IF(AH211&gt;AG211,((AI211-AF211)*12)*S211,0)))))</f>
        <v>281.0597083333264</v>
      </c>
      <c r="AA211" s="107">
        <f>Z211*W211</f>
        <v>281.0597083333264</v>
      </c>
      <c r="AB211" s="105">
        <v>1</v>
      </c>
      <c r="AC211" s="107">
        <f>AA211*AB211</f>
        <v>281.0597083333264</v>
      </c>
      <c r="AD211" s="107">
        <f>IF(Q211&gt;0,0,AC211+X211*AB211)*AB211</f>
        <v>501.34974999999406</v>
      </c>
      <c r="AE211" s="107">
        <f>IF(Q211&gt;0,(P211-AC211)/2,IF(AF211&gt;=AI211,(((P211*W211)*AB211)-AD211)/2,((((P211*W211)*AB211)-AC211)+(((P211*W211)*AB211)-AD211))/2))</f>
        <v>1431.8852708333397</v>
      </c>
      <c r="AF211" s="107">
        <f>$D211+(($E211-1)/12)</f>
        <v>2013.4166666666667</v>
      </c>
      <c r="AG211" s="107">
        <f>($R$5+1)-($R$2/12)</f>
        <v>2017.5</v>
      </c>
      <c r="AH211" s="107">
        <f>$I211+(($E211-1)/12)</f>
        <v>2033.4166666666667</v>
      </c>
      <c r="AI211" s="108">
        <f>$R$4+($R$3/12)</f>
        <v>2016.5</v>
      </c>
      <c r="AJ211" s="108">
        <f>$J211+(($K211-1)/12)</f>
        <v>-8.3333333333333329E-2</v>
      </c>
      <c r="AK211" s="108">
        <f>$I211+(($E211-1)/12)</f>
        <v>2033.4166666666667</v>
      </c>
      <c r="AL211" s="108">
        <f>$R$4+($R$3/12)</f>
        <v>2016.5</v>
      </c>
      <c r="AM211" s="108">
        <f>$J211+(($K211-1)/12)</f>
        <v>-8.3333333333333329E-2</v>
      </c>
    </row>
    <row r="212" spans="1:39" x14ac:dyDescent="0.25">
      <c r="A212">
        <v>193</v>
      </c>
      <c r="B212" t="s">
        <v>577</v>
      </c>
      <c r="D212" s="34">
        <v>2013</v>
      </c>
      <c r="E212" s="34">
        <v>6</v>
      </c>
      <c r="F212" s="75"/>
      <c r="G212" s="34" t="s">
        <v>433</v>
      </c>
      <c r="H212" s="34">
        <v>20</v>
      </c>
      <c r="I212">
        <f>+D212+H212</f>
        <v>2033</v>
      </c>
      <c r="L212">
        <v>10</v>
      </c>
      <c r="M212">
        <f>+D212+L212</f>
        <v>2023</v>
      </c>
      <c r="N212">
        <v>7</v>
      </c>
      <c r="O212" s="32">
        <f>+Z212</f>
        <v>2569.6947083332702</v>
      </c>
      <c r="P212" s="32">
        <v>16668.29</v>
      </c>
      <c r="Q212" s="32"/>
      <c r="R212" s="32">
        <f>+P212-P212*F212</f>
        <v>16668.29</v>
      </c>
      <c r="S212" s="107">
        <f>R212/H212/12</f>
        <v>69.451208333333341</v>
      </c>
      <c r="T212" s="107">
        <f>(+R212-O212)/7</f>
        <v>2014.0850416666758</v>
      </c>
      <c r="U212" s="107">
        <f>IF(Q212=0,0,IF((AND((AJ212&gt;=AI212),(AJ212&lt;=AH212))),((AJ212-AI212)*12)*S212,0))</f>
        <v>0</v>
      </c>
      <c r="V212" s="107">
        <f>IF(U212&gt;0,U212,T212)</f>
        <v>2014.0850416666758</v>
      </c>
      <c r="W212" s="105">
        <v>1</v>
      </c>
      <c r="X212" s="107">
        <f>W212*SUM(T212:U212)</f>
        <v>2014.0850416666758</v>
      </c>
      <c r="Y212" s="105"/>
      <c r="Z212" s="107">
        <f>IF(AF212&gt;AG212,0,IF(AH212&lt;AI212,R212,IF((AND((AH212&gt;=AI212),(AH212&lt;=AG212))),(R212-V212),IF((AND((AI212&lt;=AF212),(AG212&gt;=AF212))),0,IF(AH212&gt;AG212,((AI212-AF212)*12)*S212,0)))))</f>
        <v>2569.6947083332702</v>
      </c>
      <c r="AA212" s="107">
        <f>Z212*W212</f>
        <v>2569.6947083332702</v>
      </c>
      <c r="AB212" s="105">
        <v>1</v>
      </c>
      <c r="AC212" s="107">
        <f>AA212*AB212</f>
        <v>2569.6947083332702</v>
      </c>
      <c r="AD212" s="107">
        <f>IF(Q212&gt;0,0,AC212+X212*AB212)*AB212</f>
        <v>4583.779749999946</v>
      </c>
      <c r="AE212" s="107">
        <f>IF(Q212&gt;0,(P212-AC212)/2,IF(AF212&gt;=AI212,(((P212*W212)*AB212)-AD212)/2,((((P212*W212)*AB212)-AC212)+(((P212*W212)*AB212)-AD212))/2))</f>
        <v>13091.552770833392</v>
      </c>
      <c r="AF212" s="107">
        <f>$D212+(($E212-1)/12)</f>
        <v>2013.4166666666667</v>
      </c>
      <c r="AG212" s="107">
        <f>($R$5+1)-($R$2/12)</f>
        <v>2017.5</v>
      </c>
      <c r="AH212" s="107">
        <f>$I212+(($E212-1)/12)</f>
        <v>2033.4166666666667</v>
      </c>
      <c r="AI212" s="108">
        <f>$R$4+($R$3/12)</f>
        <v>2016.5</v>
      </c>
      <c r="AJ212" s="108">
        <f>$J212+(($K212-1)/12)</f>
        <v>-8.3333333333333329E-2</v>
      </c>
      <c r="AK212" s="108">
        <f>$I212+(($E212-1)/12)</f>
        <v>2033.4166666666667</v>
      </c>
      <c r="AL212" s="108">
        <f>$R$4+($R$3/12)</f>
        <v>2016.5</v>
      </c>
      <c r="AM212" s="108">
        <f>$J212+(($K212-1)/12)</f>
        <v>-8.3333333333333329E-2</v>
      </c>
    </row>
    <row r="213" spans="1:39" x14ac:dyDescent="0.25">
      <c r="A213">
        <v>194</v>
      </c>
      <c r="B213" t="s">
        <v>578</v>
      </c>
      <c r="D213" s="34">
        <v>2013</v>
      </c>
      <c r="E213" s="34">
        <v>6</v>
      </c>
      <c r="F213" s="75"/>
      <c r="G213" s="34" t="s">
        <v>433</v>
      </c>
      <c r="H213" s="34">
        <v>20</v>
      </c>
      <c r="I213">
        <f>+D213+H213</f>
        <v>2033</v>
      </c>
      <c r="L213">
        <v>10</v>
      </c>
      <c r="M213">
        <f>+D213+L213</f>
        <v>2023</v>
      </c>
      <c r="N213">
        <v>7</v>
      </c>
      <c r="O213" s="32">
        <f>+Z213</f>
        <v>161.22595833332934</v>
      </c>
      <c r="P213" s="32">
        <v>1045.79</v>
      </c>
      <c r="Q213" s="32"/>
      <c r="R213" s="32">
        <f>+P213-P213*F213</f>
        <v>1045.79</v>
      </c>
      <c r="S213" s="107">
        <f>R213/H213/12</f>
        <v>4.3574583333333328</v>
      </c>
      <c r="T213" s="107">
        <f>(+R213-O213)/7</f>
        <v>126.36629166666724</v>
      </c>
      <c r="U213" s="107">
        <f>IF(Q213=0,0,IF((AND((AJ213&gt;=AI213),(AJ213&lt;=AH213))),((AJ213-AI213)*12)*S213,0))</f>
        <v>0</v>
      </c>
      <c r="V213" s="107">
        <f>IF(U213&gt;0,U213,T213)</f>
        <v>126.36629166666724</v>
      </c>
      <c r="W213" s="105">
        <v>1</v>
      </c>
      <c r="X213" s="107">
        <f>W213*SUM(T213:U213)</f>
        <v>126.36629166666724</v>
      </c>
      <c r="Y213" s="105"/>
      <c r="Z213" s="107">
        <f>IF(AF213&gt;AG213,0,IF(AH213&lt;AI213,R213,IF((AND((AH213&gt;=AI213),(AH213&lt;=AG213))),(R213-V213),IF((AND((AI213&lt;=AF213),(AG213&gt;=AF213))),0,IF(AH213&gt;AG213,((AI213-AF213)*12)*S213,0)))))</f>
        <v>161.22595833332934</v>
      </c>
      <c r="AA213" s="107">
        <f>Z213*W213</f>
        <v>161.22595833332934</v>
      </c>
      <c r="AB213" s="105">
        <v>1</v>
      </c>
      <c r="AC213" s="107">
        <f>AA213*AB213</f>
        <v>161.22595833332934</v>
      </c>
      <c r="AD213" s="107">
        <f>IF(Q213&gt;0,0,AC213+X213*AB213)*AB213</f>
        <v>287.59224999999657</v>
      </c>
      <c r="AE213" s="107">
        <f>IF(Q213&gt;0,(P213-AC213)/2,IF(AF213&gt;=AI213,(((P213*W213)*AB213)-AD213)/2,((((P213*W213)*AB213)-AC213)+(((P213*W213)*AB213)-AD213))/2))</f>
        <v>821.38089583333704</v>
      </c>
      <c r="AF213" s="107">
        <f>$D213+(($E213-1)/12)</f>
        <v>2013.4166666666667</v>
      </c>
      <c r="AG213" s="107">
        <f>($R$5+1)-($R$2/12)</f>
        <v>2017.5</v>
      </c>
      <c r="AH213" s="107">
        <f>$I213+(($E213-1)/12)</f>
        <v>2033.4166666666667</v>
      </c>
      <c r="AI213" s="108">
        <f>$R$4+($R$3/12)</f>
        <v>2016.5</v>
      </c>
      <c r="AJ213" s="108">
        <f>$J213+(($K213-1)/12)</f>
        <v>-8.3333333333333329E-2</v>
      </c>
      <c r="AK213" s="108">
        <f>$I213+(($E213-1)/12)</f>
        <v>2033.4166666666667</v>
      </c>
      <c r="AL213" s="108">
        <f>$R$4+($R$3/12)</f>
        <v>2016.5</v>
      </c>
      <c r="AM213" s="108">
        <f>$J213+(($K213-1)/12)</f>
        <v>-8.3333333333333329E-2</v>
      </c>
    </row>
    <row r="214" spans="1:39" x14ac:dyDescent="0.25">
      <c r="A214">
        <v>195</v>
      </c>
      <c r="B214" t="s">
        <v>579</v>
      </c>
      <c r="D214" s="34">
        <v>2013</v>
      </c>
      <c r="E214" s="34">
        <v>6</v>
      </c>
      <c r="F214" s="75"/>
      <c r="G214" s="34" t="s">
        <v>433</v>
      </c>
      <c r="H214" s="34">
        <v>20</v>
      </c>
      <c r="I214">
        <f>+D214+H214</f>
        <v>2033</v>
      </c>
      <c r="L214">
        <v>10</v>
      </c>
      <c r="M214">
        <f>+D214+L214</f>
        <v>2023</v>
      </c>
      <c r="N214">
        <v>7</v>
      </c>
      <c r="O214" s="32">
        <f>+Z214</f>
        <v>3010.0347916665924</v>
      </c>
      <c r="P214" s="32">
        <v>19524.55</v>
      </c>
      <c r="Q214" s="32"/>
      <c r="R214" s="32">
        <f>+P214-P214*F214</f>
        <v>19524.55</v>
      </c>
      <c r="S214" s="107">
        <f>R214/H214/12</f>
        <v>81.352291666666659</v>
      </c>
      <c r="T214" s="107">
        <f>(+R214-O214)/7</f>
        <v>2359.2164583333438</v>
      </c>
      <c r="U214" s="107">
        <f>IF(Q214=0,0,IF((AND((AJ214&gt;=AI214),(AJ214&lt;=AH214))),((AJ214-AI214)*12)*S214,0))</f>
        <v>0</v>
      </c>
      <c r="V214" s="107">
        <f>IF(U214&gt;0,U214,T214)</f>
        <v>2359.2164583333438</v>
      </c>
      <c r="W214" s="105">
        <v>1</v>
      </c>
      <c r="X214" s="107">
        <f>W214*SUM(T214:U214)</f>
        <v>2359.2164583333438</v>
      </c>
      <c r="Y214" s="105"/>
      <c r="Z214" s="107">
        <f>IF(AF214&gt;AG214,0,IF(AH214&lt;AI214,R214,IF((AND((AH214&gt;=AI214),(AH214&lt;=AG214))),(R214-V214),IF((AND((AI214&lt;=AF214),(AG214&gt;=AF214))),0,IF(AH214&gt;AG214,((AI214-AF214)*12)*S214,0)))))</f>
        <v>3010.0347916665924</v>
      </c>
      <c r="AA214" s="107">
        <f>Z214*W214</f>
        <v>3010.0347916665924</v>
      </c>
      <c r="AB214" s="105">
        <v>1</v>
      </c>
      <c r="AC214" s="107">
        <f>AA214*AB214</f>
        <v>3010.0347916665924</v>
      </c>
      <c r="AD214" s="107">
        <f>IF(Q214&gt;0,0,AC214+X214*AB214)*AB214</f>
        <v>5369.2512499999357</v>
      </c>
      <c r="AE214" s="107">
        <f>IF(Q214&gt;0,(P214-AC214)/2,IF(AF214&gt;=AI214,(((P214*W214)*AB214)-AD214)/2,((((P214*W214)*AB214)-AC214)+(((P214*W214)*AB214)-AD214))/2))</f>
        <v>15334.906979166735</v>
      </c>
      <c r="AF214" s="107">
        <f>$D214+(($E214-1)/12)</f>
        <v>2013.4166666666667</v>
      </c>
      <c r="AG214" s="107">
        <f>($R$5+1)-($R$2/12)</f>
        <v>2017.5</v>
      </c>
      <c r="AH214" s="107">
        <f>$I214+(($E214-1)/12)</f>
        <v>2033.4166666666667</v>
      </c>
      <c r="AI214" s="108">
        <f>$R$4+($R$3/12)</f>
        <v>2016.5</v>
      </c>
      <c r="AJ214" s="108">
        <f>$J214+(($K214-1)/12)</f>
        <v>-8.3333333333333329E-2</v>
      </c>
      <c r="AK214" s="108">
        <f>$I214+(($E214-1)/12)</f>
        <v>2033.4166666666667</v>
      </c>
      <c r="AL214" s="108">
        <f>$R$4+($R$3/12)</f>
        <v>2016.5</v>
      </c>
      <c r="AM214" s="108">
        <f>$J214+(($K214-1)/12)</f>
        <v>-8.3333333333333329E-2</v>
      </c>
    </row>
    <row r="215" spans="1:39" x14ac:dyDescent="0.25">
      <c r="A215">
        <v>196</v>
      </c>
      <c r="B215" t="s">
        <v>580</v>
      </c>
      <c r="D215" s="34">
        <v>2013</v>
      </c>
      <c r="E215" s="34">
        <v>6</v>
      </c>
      <c r="F215" s="75"/>
      <c r="G215" s="34" t="s">
        <v>433</v>
      </c>
      <c r="H215" s="34">
        <v>20</v>
      </c>
      <c r="I215">
        <f>+D215+H215</f>
        <v>2033</v>
      </c>
      <c r="L215">
        <v>10</v>
      </c>
      <c r="M215">
        <f>+D215+L215</f>
        <v>2023</v>
      </c>
      <c r="N215">
        <v>7</v>
      </c>
      <c r="O215" s="32">
        <f>+Z215</f>
        <v>644.84216666665077</v>
      </c>
      <c r="P215" s="32">
        <v>4182.76</v>
      </c>
      <c r="Q215" s="32"/>
      <c r="R215" s="32">
        <f>+P215-P215*F215</f>
        <v>4182.76</v>
      </c>
      <c r="S215" s="107">
        <f>R215/H215/12</f>
        <v>17.428166666666666</v>
      </c>
      <c r="T215" s="107">
        <f>(+R215-O215)/7</f>
        <v>505.4168333333356</v>
      </c>
      <c r="U215" s="107">
        <f>IF(Q215=0,0,IF((AND((AJ215&gt;=AI215),(AJ215&lt;=AH215))),((AJ215-AI215)*12)*S215,0))</f>
        <v>0</v>
      </c>
      <c r="V215" s="107">
        <f>IF(U215&gt;0,U215,T215)</f>
        <v>505.4168333333356</v>
      </c>
      <c r="W215" s="105">
        <v>1</v>
      </c>
      <c r="X215" s="107">
        <f>W215*SUM(T215:U215)</f>
        <v>505.4168333333356</v>
      </c>
      <c r="Y215" s="105"/>
      <c r="Z215" s="107">
        <f>IF(AF215&gt;AG215,0,IF(AH215&lt;AI215,R215,IF((AND((AH215&gt;=AI215),(AH215&lt;=AG215))),(R215-V215),IF((AND((AI215&lt;=AF215),(AG215&gt;=AF215))),0,IF(AH215&gt;AG215,((AI215-AF215)*12)*S215,0)))))</f>
        <v>644.84216666665077</v>
      </c>
      <c r="AA215" s="107">
        <f>Z215*W215</f>
        <v>644.84216666665077</v>
      </c>
      <c r="AB215" s="105">
        <v>1</v>
      </c>
      <c r="AC215" s="107">
        <f>AA215*AB215</f>
        <v>644.84216666665077</v>
      </c>
      <c r="AD215" s="107">
        <f>IF(Q215&gt;0,0,AC215+X215*AB215)*AB215</f>
        <v>1150.2589999999864</v>
      </c>
      <c r="AE215" s="107">
        <f>IF(Q215&gt;0,(P215-AC215)/2,IF(AF215&gt;=AI215,(((P215*W215)*AB215)-AD215)/2,((((P215*W215)*AB215)-AC215)+(((P215*W215)*AB215)-AD215))/2))</f>
        <v>3285.2094166666816</v>
      </c>
      <c r="AF215" s="107">
        <f>$D215+(($E215-1)/12)</f>
        <v>2013.4166666666667</v>
      </c>
      <c r="AG215" s="107">
        <f>($R$5+1)-($R$2/12)</f>
        <v>2017.5</v>
      </c>
      <c r="AH215" s="107">
        <f>$I215+(($E215-1)/12)</f>
        <v>2033.4166666666667</v>
      </c>
      <c r="AI215" s="108">
        <f>$R$4+($R$3/12)</f>
        <v>2016.5</v>
      </c>
      <c r="AJ215" s="108">
        <f>$J215+(($K215-1)/12)</f>
        <v>-8.3333333333333329E-2</v>
      </c>
      <c r="AK215" s="108">
        <f>$I215+(($E215-1)/12)</f>
        <v>2033.4166666666667</v>
      </c>
      <c r="AL215" s="108">
        <f>$R$4+($R$3/12)</f>
        <v>2016.5</v>
      </c>
      <c r="AM215" s="108">
        <f>$J215+(($K215-1)/12)</f>
        <v>-8.3333333333333329E-2</v>
      </c>
    </row>
    <row r="216" spans="1:39" x14ac:dyDescent="0.25">
      <c r="A216">
        <v>197</v>
      </c>
      <c r="B216" t="s">
        <v>581</v>
      </c>
      <c r="D216" s="34">
        <v>2013</v>
      </c>
      <c r="E216" s="34">
        <v>6</v>
      </c>
      <c r="F216" s="75"/>
      <c r="G216" s="34" t="s">
        <v>433</v>
      </c>
      <c r="H216" s="34">
        <v>20</v>
      </c>
      <c r="I216">
        <f>+D216+H216</f>
        <v>2033</v>
      </c>
      <c r="L216">
        <v>10</v>
      </c>
      <c r="M216">
        <f>+D216+L216</f>
        <v>2023</v>
      </c>
      <c r="N216">
        <v>7</v>
      </c>
      <c r="O216" s="32">
        <f>+Z216</f>
        <v>4137.4016666665648</v>
      </c>
      <c r="P216" s="32">
        <v>26837.200000000001</v>
      </c>
      <c r="Q216" s="32"/>
      <c r="R216" s="32">
        <f>+P216-P216*F216</f>
        <v>26837.200000000001</v>
      </c>
      <c r="S216" s="107">
        <f>R216/H216/12</f>
        <v>111.82166666666667</v>
      </c>
      <c r="T216" s="107">
        <f>(+R216-O216)/7</f>
        <v>3242.8283333333479</v>
      </c>
      <c r="U216" s="107">
        <f>IF(Q216=0,0,IF((AND((AJ216&gt;=AI216),(AJ216&lt;=AH216))),((AJ216-AI216)*12)*S216,0))</f>
        <v>0</v>
      </c>
      <c r="V216" s="107">
        <f>IF(U216&gt;0,U216,T216)</f>
        <v>3242.8283333333479</v>
      </c>
      <c r="W216" s="105">
        <v>1</v>
      </c>
      <c r="X216" s="107">
        <f>W216*SUM(T216:U216)</f>
        <v>3242.8283333333479</v>
      </c>
      <c r="Y216" s="105"/>
      <c r="Z216" s="107">
        <f>IF(AF216&gt;AG216,0,IF(AH216&lt;AI216,R216,IF((AND((AH216&gt;=AI216),(AH216&lt;=AG216))),(R216-V216),IF((AND((AI216&lt;=AF216),(AG216&gt;=AF216))),0,IF(AH216&gt;AG216,((AI216-AF216)*12)*S216,0)))))</f>
        <v>4137.4016666665648</v>
      </c>
      <c r="AA216" s="107">
        <f>Z216*W216</f>
        <v>4137.4016666665648</v>
      </c>
      <c r="AB216" s="105">
        <v>1</v>
      </c>
      <c r="AC216" s="107">
        <f>AA216*AB216</f>
        <v>4137.4016666665648</v>
      </c>
      <c r="AD216" s="107">
        <f>IF(Q216&gt;0,0,AC216+X216*AB216)*AB216</f>
        <v>7380.2299999999123</v>
      </c>
      <c r="AE216" s="107">
        <f>IF(Q216&gt;0,(P216-AC216)/2,IF(AF216&gt;=AI216,(((P216*W216)*AB216)-AD216)/2,((((P216*W216)*AB216)-AC216)+(((P216*W216)*AB216)-AD216))/2))</f>
        <v>21078.384166666761</v>
      </c>
      <c r="AF216" s="107">
        <f>$D216+(($E216-1)/12)</f>
        <v>2013.4166666666667</v>
      </c>
      <c r="AG216" s="107">
        <f>($R$5+1)-($R$2/12)</f>
        <v>2017.5</v>
      </c>
      <c r="AH216" s="107">
        <f>$I216+(($E216-1)/12)</f>
        <v>2033.4166666666667</v>
      </c>
      <c r="AI216" s="108">
        <f>$R$4+($R$3/12)</f>
        <v>2016.5</v>
      </c>
      <c r="AJ216" s="108">
        <f>$J216+(($K216-1)/12)</f>
        <v>-8.3333333333333329E-2</v>
      </c>
      <c r="AK216" s="108">
        <f>$I216+(($E216-1)/12)</f>
        <v>2033.4166666666667</v>
      </c>
      <c r="AL216" s="108">
        <f>$R$4+($R$3/12)</f>
        <v>2016.5</v>
      </c>
      <c r="AM216" s="108">
        <f>$J216+(($K216-1)/12)</f>
        <v>-8.3333333333333329E-2</v>
      </c>
    </row>
    <row r="217" spans="1:39" x14ac:dyDescent="0.25">
      <c r="A217">
        <v>198</v>
      </c>
      <c r="B217" t="s">
        <v>582</v>
      </c>
      <c r="D217" s="34">
        <v>2013</v>
      </c>
      <c r="E217" s="34">
        <v>6</v>
      </c>
      <c r="F217" s="75"/>
      <c r="G217" s="34" t="s">
        <v>433</v>
      </c>
      <c r="H217" s="34">
        <v>20</v>
      </c>
      <c r="I217">
        <f>+D217+H217</f>
        <v>2033</v>
      </c>
      <c r="L217">
        <v>10</v>
      </c>
      <c r="M217">
        <f>+D217+L217</f>
        <v>2023</v>
      </c>
      <c r="N217">
        <v>7</v>
      </c>
      <c r="O217" s="32">
        <f>+Z217</f>
        <v>422.13916666665625</v>
      </c>
      <c r="P217" s="32">
        <v>2738.2</v>
      </c>
      <c r="Q217" s="32"/>
      <c r="R217" s="32">
        <f>+P217-P217*F217</f>
        <v>2738.2</v>
      </c>
      <c r="S217" s="107">
        <f>R217/H217/12</f>
        <v>11.409166666666666</v>
      </c>
      <c r="T217" s="107">
        <f>(+R217-O217)/7</f>
        <v>330.86583333333476</v>
      </c>
      <c r="U217" s="107">
        <f>IF(Q217=0,0,IF((AND((AJ217&gt;=AI217),(AJ217&lt;=AH217))),((AJ217-AI217)*12)*S217,0))</f>
        <v>0</v>
      </c>
      <c r="V217" s="107">
        <f>IF(U217&gt;0,U217,T217)</f>
        <v>330.86583333333476</v>
      </c>
      <c r="W217" s="105">
        <v>1</v>
      </c>
      <c r="X217" s="107">
        <f>W217*SUM(T217:U217)</f>
        <v>330.86583333333476</v>
      </c>
      <c r="Y217" s="105"/>
      <c r="Z217" s="107">
        <f>IF(AF217&gt;AG217,0,IF(AH217&lt;AI217,R217,IF((AND((AH217&gt;=AI217),(AH217&lt;=AG217))),(R217-V217),IF((AND((AI217&lt;=AF217),(AG217&gt;=AF217))),0,IF(AH217&gt;AG217,((AI217-AF217)*12)*S217,0)))))</f>
        <v>422.13916666665625</v>
      </c>
      <c r="AA217" s="107">
        <f>Z217*W217</f>
        <v>422.13916666665625</v>
      </c>
      <c r="AB217" s="105">
        <v>1</v>
      </c>
      <c r="AC217" s="107">
        <f>AA217*AB217</f>
        <v>422.13916666665625</v>
      </c>
      <c r="AD217" s="107">
        <f>IF(Q217&gt;0,0,AC217+X217*AB217)*AB217</f>
        <v>753.00499999999101</v>
      </c>
      <c r="AE217" s="107">
        <f>IF(Q217&gt;0,(P217-AC217)/2,IF(AF217&gt;=AI217,(((P217*W217)*AB217)-AD217)/2,((((P217*W217)*AB217)-AC217)+(((P217*W217)*AB217)-AD217))/2))</f>
        <v>2150.6279166666764</v>
      </c>
      <c r="AF217" s="107">
        <f>$D217+(($E217-1)/12)</f>
        <v>2013.4166666666667</v>
      </c>
      <c r="AG217" s="107">
        <f>($R$5+1)-($R$2/12)</f>
        <v>2017.5</v>
      </c>
      <c r="AH217" s="107">
        <f>$I217+(($E217-1)/12)</f>
        <v>2033.4166666666667</v>
      </c>
      <c r="AI217" s="108">
        <f>$R$4+($R$3/12)</f>
        <v>2016.5</v>
      </c>
      <c r="AJ217" s="108">
        <f>$J217+(($K217-1)/12)</f>
        <v>-8.3333333333333329E-2</v>
      </c>
      <c r="AK217" s="108">
        <f>$I217+(($E217-1)/12)</f>
        <v>2033.4166666666667</v>
      </c>
      <c r="AL217" s="108">
        <f>$R$4+($R$3/12)</f>
        <v>2016.5</v>
      </c>
      <c r="AM217" s="108">
        <f>$J217+(($K217-1)/12)</f>
        <v>-8.3333333333333329E-2</v>
      </c>
    </row>
    <row r="218" spans="1:39" x14ac:dyDescent="0.25">
      <c r="A218">
        <v>199</v>
      </c>
      <c r="B218" t="s">
        <v>583</v>
      </c>
      <c r="D218" s="34">
        <v>2013</v>
      </c>
      <c r="E218" s="34">
        <v>6</v>
      </c>
      <c r="F218" s="75"/>
      <c r="G218" s="34" t="s">
        <v>433</v>
      </c>
      <c r="H218" s="34">
        <v>20</v>
      </c>
      <c r="I218">
        <f>+D218+H218</f>
        <v>2033</v>
      </c>
      <c r="L218">
        <v>10</v>
      </c>
      <c r="M218">
        <f>+D218+L218</f>
        <v>2023</v>
      </c>
      <c r="N218">
        <v>7</v>
      </c>
      <c r="O218" s="32">
        <f>+Z218</f>
        <v>209.66512499999484</v>
      </c>
      <c r="P218" s="32">
        <v>1359.99</v>
      </c>
      <c r="Q218" s="32"/>
      <c r="R218" s="32">
        <f>+P218-P218*F218</f>
        <v>1359.99</v>
      </c>
      <c r="S218" s="107">
        <f>R218/H218/12</f>
        <v>5.6666249999999998</v>
      </c>
      <c r="T218" s="107">
        <f>(+R218-O218)/7</f>
        <v>164.33212500000076</v>
      </c>
      <c r="U218" s="107">
        <f>IF(Q218=0,0,IF((AND((AJ218&gt;=AI218),(AJ218&lt;=AH218))),((AJ218-AI218)*12)*S218,0))</f>
        <v>0</v>
      </c>
      <c r="V218" s="107">
        <f>IF(U218&gt;0,U218,T218)</f>
        <v>164.33212500000076</v>
      </c>
      <c r="W218" s="105">
        <v>1</v>
      </c>
      <c r="X218" s="107">
        <f>W218*SUM(T218:U218)</f>
        <v>164.33212500000076</v>
      </c>
      <c r="Y218" s="105"/>
      <c r="Z218" s="107">
        <f>IF(AF218&gt;AG218,0,IF(AH218&lt;AI218,R218,IF((AND((AH218&gt;=AI218),(AH218&lt;=AG218))),(R218-V218),IF((AND((AI218&lt;=AF218),(AG218&gt;=AF218))),0,IF(AH218&gt;AG218,((AI218-AF218)*12)*S218,0)))))</f>
        <v>209.66512499999484</v>
      </c>
      <c r="AA218" s="107">
        <f>Z218*W218</f>
        <v>209.66512499999484</v>
      </c>
      <c r="AB218" s="105">
        <v>1</v>
      </c>
      <c r="AC218" s="107">
        <f>AA218*AB218</f>
        <v>209.66512499999484</v>
      </c>
      <c r="AD218" s="107">
        <f>IF(Q218&gt;0,0,AC218+X218*AB218)*AB218</f>
        <v>373.99724999999557</v>
      </c>
      <c r="AE218" s="107">
        <f>IF(Q218&gt;0,(P218-AC218)/2,IF(AF218&gt;=AI218,(((P218*W218)*AB218)-AD218)/2,((((P218*W218)*AB218)-AC218)+(((P218*W218)*AB218)-AD218))/2))</f>
        <v>1068.1588125000048</v>
      </c>
      <c r="AF218" s="107">
        <f>$D218+(($E218-1)/12)</f>
        <v>2013.4166666666667</v>
      </c>
      <c r="AG218" s="107">
        <f>($R$5+1)-($R$2/12)</f>
        <v>2017.5</v>
      </c>
      <c r="AH218" s="107">
        <f>$I218+(($E218-1)/12)</f>
        <v>2033.4166666666667</v>
      </c>
      <c r="AI218" s="108">
        <f>$R$4+($R$3/12)</f>
        <v>2016.5</v>
      </c>
      <c r="AJ218" s="108">
        <f>$J218+(($K218-1)/12)</f>
        <v>-8.3333333333333329E-2</v>
      </c>
      <c r="AK218" s="108">
        <f>$I218+(($E218-1)/12)</f>
        <v>2033.4166666666667</v>
      </c>
      <c r="AL218" s="108">
        <f>$R$4+($R$3/12)</f>
        <v>2016.5</v>
      </c>
      <c r="AM218" s="108">
        <f>$J218+(($K218-1)/12)</f>
        <v>-8.3333333333333329E-2</v>
      </c>
    </row>
    <row r="219" spans="1:39" x14ac:dyDescent="0.25">
      <c r="A219">
        <v>200</v>
      </c>
      <c r="B219" t="s">
        <v>584</v>
      </c>
      <c r="D219" s="34">
        <v>2013</v>
      </c>
      <c r="E219" s="34">
        <v>6</v>
      </c>
      <c r="F219" s="75"/>
      <c r="G219" s="34" t="s">
        <v>433</v>
      </c>
      <c r="H219" s="34">
        <v>20</v>
      </c>
      <c r="I219">
        <f>+D219+H219</f>
        <v>2033</v>
      </c>
      <c r="L219">
        <v>10</v>
      </c>
      <c r="M219">
        <f>+D219+L219</f>
        <v>2023</v>
      </c>
      <c r="N219">
        <v>7</v>
      </c>
      <c r="O219" s="32">
        <f>+Z219</f>
        <v>8972.4999999997799</v>
      </c>
      <c r="P219" s="32">
        <v>58200</v>
      </c>
      <c r="Q219" s="32"/>
      <c r="R219" s="32">
        <f>+P219-P219*F219</f>
        <v>58200</v>
      </c>
      <c r="S219" s="107">
        <f>R219/H219/12</f>
        <v>242.5</v>
      </c>
      <c r="T219" s="107">
        <f>(+R219-O219)/7</f>
        <v>7032.5000000000309</v>
      </c>
      <c r="U219" s="107">
        <f>IF(Q219=0,0,IF((AND((AJ219&gt;=AI219),(AJ219&lt;=AH219))),((AJ219-AI219)*12)*S219,0))</f>
        <v>0</v>
      </c>
      <c r="V219" s="107">
        <f>IF(U219&gt;0,U219,T219)</f>
        <v>7032.5000000000309</v>
      </c>
      <c r="W219" s="105">
        <v>1</v>
      </c>
      <c r="X219" s="107">
        <f>W219*SUM(T219:U219)</f>
        <v>7032.5000000000309</v>
      </c>
      <c r="Y219" s="105"/>
      <c r="Z219" s="107">
        <f>IF(AF219&gt;AG219,0,IF(AH219&lt;AI219,R219,IF((AND((AH219&gt;=AI219),(AH219&lt;=AG219))),(R219-V219),IF((AND((AI219&lt;=AF219),(AG219&gt;=AF219))),0,IF(AH219&gt;AG219,((AI219-AF219)*12)*S219,0)))))</f>
        <v>8972.4999999997799</v>
      </c>
      <c r="AA219" s="107">
        <f>Z219*W219</f>
        <v>8972.4999999997799</v>
      </c>
      <c r="AB219" s="105">
        <v>1</v>
      </c>
      <c r="AC219" s="107">
        <f>AA219*AB219</f>
        <v>8972.4999999997799</v>
      </c>
      <c r="AD219" s="107">
        <f>IF(Q219&gt;0,0,AC219+X219*AB219)*AB219</f>
        <v>16004.999999999811</v>
      </c>
      <c r="AE219" s="107">
        <f>IF(Q219&gt;0,(P219-AC219)/2,IF(AF219&gt;=AI219,(((P219*W219)*AB219)-AD219)/2,((((P219*W219)*AB219)-AC219)+(((P219*W219)*AB219)-AD219))/2))</f>
        <v>45711.250000000204</v>
      </c>
      <c r="AF219" s="107">
        <f>$D219+(($E219-1)/12)</f>
        <v>2013.4166666666667</v>
      </c>
      <c r="AG219" s="107">
        <f>($R$5+1)-($R$2/12)</f>
        <v>2017.5</v>
      </c>
      <c r="AH219" s="107">
        <f>$I219+(($E219-1)/12)</f>
        <v>2033.4166666666667</v>
      </c>
      <c r="AI219" s="108">
        <f>$R$4+($R$3/12)</f>
        <v>2016.5</v>
      </c>
      <c r="AJ219" s="108">
        <f>$J219+(($K219-1)/12)</f>
        <v>-8.3333333333333329E-2</v>
      </c>
      <c r="AK219" s="108">
        <f>$I219+(($E219-1)/12)</f>
        <v>2033.4166666666667</v>
      </c>
      <c r="AL219" s="108">
        <f>$R$4+($R$3/12)</f>
        <v>2016.5</v>
      </c>
      <c r="AM219" s="108">
        <f>$J219+(($K219-1)/12)</f>
        <v>-8.3333333333333329E-2</v>
      </c>
    </row>
    <row r="220" spans="1:39" x14ac:dyDescent="0.25">
      <c r="A220">
        <v>201</v>
      </c>
      <c r="B220" t="s">
        <v>585</v>
      </c>
      <c r="D220" s="34">
        <v>2013</v>
      </c>
      <c r="E220" s="34">
        <v>6</v>
      </c>
      <c r="F220" s="75"/>
      <c r="G220" s="34" t="s">
        <v>433</v>
      </c>
      <c r="H220" s="34">
        <v>20</v>
      </c>
      <c r="I220">
        <f>+D220+H220</f>
        <v>2033</v>
      </c>
      <c r="L220">
        <v>10</v>
      </c>
      <c r="M220">
        <f>+D220+L220</f>
        <v>2023</v>
      </c>
      <c r="N220">
        <v>7</v>
      </c>
      <c r="O220" s="32">
        <f>+Z220</f>
        <v>550.8791249999864</v>
      </c>
      <c r="P220" s="32">
        <v>3573.27</v>
      </c>
      <c r="Q220" s="32"/>
      <c r="R220" s="32">
        <f>+P220-P220*F220</f>
        <v>3573.27</v>
      </c>
      <c r="S220" s="107">
        <f>R220/H220/12</f>
        <v>14.888624999999999</v>
      </c>
      <c r="T220" s="107">
        <f>(+R220-O220)/7</f>
        <v>431.77012500000194</v>
      </c>
      <c r="U220" s="107">
        <f>IF(Q220=0,0,IF((AND((AJ220&gt;=AI220),(AJ220&lt;=AH220))),((AJ220-AI220)*12)*S220,0))</f>
        <v>0</v>
      </c>
      <c r="V220" s="107">
        <f>IF(U220&gt;0,U220,T220)</f>
        <v>431.77012500000194</v>
      </c>
      <c r="W220" s="105">
        <v>1</v>
      </c>
      <c r="X220" s="107">
        <f>W220*SUM(T220:U220)</f>
        <v>431.77012500000194</v>
      </c>
      <c r="Y220" s="105"/>
      <c r="Z220" s="107">
        <f>IF(AF220&gt;AG220,0,IF(AH220&lt;AI220,R220,IF((AND((AH220&gt;=AI220),(AH220&lt;=AG220))),(R220-V220),IF((AND((AI220&lt;=AF220),(AG220&gt;=AF220))),0,IF(AH220&gt;AG220,((AI220-AF220)*12)*S220,0)))))</f>
        <v>550.8791249999864</v>
      </c>
      <c r="AA220" s="107">
        <f>Z220*W220</f>
        <v>550.8791249999864</v>
      </c>
      <c r="AB220" s="105">
        <v>1</v>
      </c>
      <c r="AC220" s="107">
        <f>AA220*AB220</f>
        <v>550.8791249999864</v>
      </c>
      <c r="AD220" s="107">
        <f>IF(Q220&gt;0,0,AC220+X220*AB220)*AB220</f>
        <v>982.64924999998834</v>
      </c>
      <c r="AE220" s="107">
        <f>IF(Q220&gt;0,(P220-AC220)/2,IF(AF220&gt;=AI220,(((P220*W220)*AB220)-AD220)/2,((((P220*W220)*AB220)-AC220)+(((P220*W220)*AB220)-AD220))/2))</f>
        <v>2806.5058125000128</v>
      </c>
      <c r="AF220" s="107">
        <f>$D220+(($E220-1)/12)</f>
        <v>2013.4166666666667</v>
      </c>
      <c r="AG220" s="107">
        <f>($R$5+1)-($R$2/12)</f>
        <v>2017.5</v>
      </c>
      <c r="AH220" s="107">
        <f>$I220+(($E220-1)/12)</f>
        <v>2033.4166666666667</v>
      </c>
      <c r="AI220" s="108">
        <f>$R$4+($R$3/12)</f>
        <v>2016.5</v>
      </c>
      <c r="AJ220" s="108">
        <f>$J220+(($K220-1)/12)</f>
        <v>-8.3333333333333329E-2</v>
      </c>
      <c r="AK220" s="108">
        <f>$I220+(($E220-1)/12)</f>
        <v>2033.4166666666667</v>
      </c>
      <c r="AL220" s="108">
        <f>$R$4+($R$3/12)</f>
        <v>2016.5</v>
      </c>
      <c r="AM220" s="108">
        <f>$J220+(($K220-1)/12)</f>
        <v>-8.3333333333333329E-2</v>
      </c>
    </row>
    <row r="221" spans="1:39" x14ac:dyDescent="0.25">
      <c r="A221">
        <v>202</v>
      </c>
      <c r="B221" t="s">
        <v>586</v>
      </c>
      <c r="D221" s="34">
        <v>2013</v>
      </c>
      <c r="E221" s="34">
        <v>6</v>
      </c>
      <c r="F221" s="75"/>
      <c r="G221" s="34" t="s">
        <v>433</v>
      </c>
      <c r="H221" s="34">
        <v>20</v>
      </c>
      <c r="I221">
        <f>+D221+H221</f>
        <v>2033</v>
      </c>
      <c r="L221">
        <v>10</v>
      </c>
      <c r="M221">
        <f>+D221+L221</f>
        <v>2023</v>
      </c>
      <c r="N221">
        <v>7</v>
      </c>
      <c r="O221" s="32">
        <f>+Z221</f>
        <v>1580.5120416666277</v>
      </c>
      <c r="P221" s="32">
        <v>10251.969999999999</v>
      </c>
      <c r="Q221" s="32"/>
      <c r="R221" s="32">
        <f>+P221-P221*F221</f>
        <v>10251.969999999999</v>
      </c>
      <c r="S221" s="107">
        <f>R221/H221/12</f>
        <v>42.716541666666664</v>
      </c>
      <c r="T221" s="107">
        <f>(+R221-O221)/7</f>
        <v>1238.7797083333389</v>
      </c>
      <c r="U221" s="107">
        <f>IF(Q221=0,0,IF((AND((AJ221&gt;=AI221),(AJ221&lt;=AH221))),((AJ221-AI221)*12)*S221,0))</f>
        <v>0</v>
      </c>
      <c r="V221" s="107">
        <f>IF(U221&gt;0,U221,T221)</f>
        <v>1238.7797083333389</v>
      </c>
      <c r="W221" s="105">
        <v>1</v>
      </c>
      <c r="X221" s="107">
        <f>W221*SUM(T221:U221)</f>
        <v>1238.7797083333389</v>
      </c>
      <c r="Y221" s="105"/>
      <c r="Z221" s="107">
        <f>IF(AF221&gt;AG221,0,IF(AH221&lt;AI221,R221,IF((AND((AH221&gt;=AI221),(AH221&lt;=AG221))),(R221-V221),IF((AND((AI221&lt;=AF221),(AG221&gt;=AF221))),0,IF(AH221&gt;AG221,((AI221-AF221)*12)*S221,0)))))</f>
        <v>1580.5120416666277</v>
      </c>
      <c r="AA221" s="107">
        <f>Z221*W221</f>
        <v>1580.5120416666277</v>
      </c>
      <c r="AB221" s="105">
        <v>1</v>
      </c>
      <c r="AC221" s="107">
        <f>AA221*AB221</f>
        <v>1580.5120416666277</v>
      </c>
      <c r="AD221" s="107">
        <f>IF(Q221&gt;0,0,AC221+X221*AB221)*AB221</f>
        <v>2819.2917499999667</v>
      </c>
      <c r="AE221" s="107">
        <f>IF(Q221&gt;0,(P221-AC221)/2,IF(AF221&gt;=AI221,(((P221*W221)*AB221)-AD221)/2,((((P221*W221)*AB221)-AC221)+(((P221*W221)*AB221)-AD221))/2))</f>
        <v>8052.0681041667031</v>
      </c>
      <c r="AF221" s="107">
        <f>$D221+(($E221-1)/12)</f>
        <v>2013.4166666666667</v>
      </c>
      <c r="AG221" s="107">
        <f>($R$5+1)-($R$2/12)</f>
        <v>2017.5</v>
      </c>
      <c r="AH221" s="107">
        <f>$I221+(($E221-1)/12)</f>
        <v>2033.4166666666667</v>
      </c>
      <c r="AI221" s="108">
        <f>$R$4+($R$3/12)</f>
        <v>2016.5</v>
      </c>
      <c r="AJ221" s="108">
        <f>$J221+(($K221-1)/12)</f>
        <v>-8.3333333333333329E-2</v>
      </c>
      <c r="AK221" s="108">
        <f>$I221+(($E221-1)/12)</f>
        <v>2033.4166666666667</v>
      </c>
      <c r="AL221" s="108">
        <f>$R$4+($R$3/12)</f>
        <v>2016.5</v>
      </c>
      <c r="AM221" s="108">
        <f>$J221+(($K221-1)/12)</f>
        <v>-8.3333333333333329E-2</v>
      </c>
    </row>
    <row r="222" spans="1:39" x14ac:dyDescent="0.25">
      <c r="A222">
        <v>203</v>
      </c>
      <c r="B222" t="s">
        <v>587</v>
      </c>
      <c r="D222" s="34">
        <v>2013</v>
      </c>
      <c r="E222" s="34">
        <v>6</v>
      </c>
      <c r="F222" s="75"/>
      <c r="G222" s="34" t="s">
        <v>433</v>
      </c>
      <c r="H222" s="34">
        <v>10</v>
      </c>
      <c r="I222">
        <f>+D222+H222</f>
        <v>2023</v>
      </c>
      <c r="L222" s="53" t="s">
        <v>788</v>
      </c>
      <c r="M222" s="53" t="s">
        <v>788</v>
      </c>
      <c r="N222" s="53" t="s">
        <v>788</v>
      </c>
      <c r="O222" s="53" t="s">
        <v>788</v>
      </c>
      <c r="P222" s="32">
        <v>1500</v>
      </c>
      <c r="Q222" s="32"/>
      <c r="R222" s="32">
        <f>+P222-P222*F222</f>
        <v>1500</v>
      </c>
      <c r="S222" s="107">
        <f>R222/H222/12</f>
        <v>12.5</v>
      </c>
      <c r="T222" s="107">
        <f>IF(Q222&gt;0,0,IF((OR((AF222&gt;AG222),(AH222&lt;AI222))),0,IF((AND((AH222&gt;=AI222),(AH222&lt;=AG222))),S222*((AH222-AI222)*12),IF((AND((AI222&lt;=AF222),(AG222&gt;=AF222))),((AG222-AF222)*12)*S222,IF(AH222&gt;AG222,12*S222,0)))))</f>
        <v>150</v>
      </c>
      <c r="U222" s="107">
        <f>IF(Q222=0,0,IF((AND((AJ222&gt;=AI222),(AJ222&lt;=AH222))),((AJ222-AI222)*12)*S222,0))</f>
        <v>0</v>
      </c>
      <c r="V222" s="107">
        <f>IF(U222&gt;0,U222,T222)</f>
        <v>150</v>
      </c>
      <c r="W222" s="105">
        <v>1</v>
      </c>
      <c r="X222" s="107">
        <f>W222*SUM(T222:U222)</f>
        <v>150</v>
      </c>
      <c r="Y222" s="105"/>
      <c r="Z222" s="107">
        <f>IF(AF222&gt;AG222,0,IF(AH222&lt;AI222,R222,IF((AND((AH222&gt;=AI222),(AH222&lt;=AG222))),(R222-V222),IF((AND((AI222&lt;=AF222),(AG222&gt;=AF222))),0,IF(AH222&gt;AG222,((AI222-AF222)*12)*S222,0)))))</f>
        <v>462.49999999998863</v>
      </c>
      <c r="AA222" s="107">
        <f>Z222*W222</f>
        <v>462.49999999998863</v>
      </c>
      <c r="AB222" s="105">
        <v>1</v>
      </c>
      <c r="AC222" s="107">
        <f>AA222*AB222</f>
        <v>462.49999999998863</v>
      </c>
      <c r="AD222" s="107">
        <f>IF(Q222&gt;0,0,AC222+X222*AB222)*AB222</f>
        <v>612.49999999998863</v>
      </c>
      <c r="AE222" s="107">
        <f>IF(Q222&gt;0,(P222-AC222)/2,IF(AF222&gt;=AI222,(((P222*W222)*AB222)-AD222)/2,((((P222*W222)*AB222)-AC222)+(((P222*W222)*AB222)-AD222))/2))</f>
        <v>962.50000000001137</v>
      </c>
      <c r="AF222" s="107">
        <f>$D222+(($E222-1)/12)</f>
        <v>2013.4166666666667</v>
      </c>
      <c r="AG222" s="107">
        <f>($R$5+1)-($R$2/12)</f>
        <v>2017.5</v>
      </c>
      <c r="AH222" s="107">
        <f>$I222+(($E222-1)/12)</f>
        <v>2023.4166666666667</v>
      </c>
      <c r="AI222" s="108">
        <f>$R$4+($R$3/12)</f>
        <v>2016.5</v>
      </c>
      <c r="AJ222" s="108">
        <f>$J222+(($K222-1)/12)</f>
        <v>-8.3333333333333329E-2</v>
      </c>
      <c r="AK222" s="108">
        <f>$I222+(($E222-1)/12)</f>
        <v>2023.4166666666667</v>
      </c>
      <c r="AL222" s="108">
        <f>$R$4+($R$3/12)</f>
        <v>2016.5</v>
      </c>
      <c r="AM222" s="108">
        <f>$J222+(($K222-1)/12)</f>
        <v>-8.3333333333333329E-2</v>
      </c>
    </row>
    <row r="223" spans="1:39" x14ac:dyDescent="0.25">
      <c r="A223">
        <v>204</v>
      </c>
      <c r="B223" t="s">
        <v>588</v>
      </c>
      <c r="D223" s="34">
        <v>2013</v>
      </c>
      <c r="E223" s="34">
        <v>6</v>
      </c>
      <c r="F223" s="75"/>
      <c r="G223" s="34" t="s">
        <v>433</v>
      </c>
      <c r="H223" s="34">
        <v>7</v>
      </c>
      <c r="I223">
        <f>+D223+H223</f>
        <v>2020</v>
      </c>
      <c r="L223" s="53" t="s">
        <v>788</v>
      </c>
      <c r="M223" s="53" t="s">
        <v>788</v>
      </c>
      <c r="N223" s="53" t="s">
        <v>788</v>
      </c>
      <c r="O223" s="53" t="s">
        <v>788</v>
      </c>
      <c r="P223" s="32">
        <v>437.94</v>
      </c>
      <c r="Q223" s="32"/>
      <c r="R223" s="32">
        <f>+P223-P223*F223</f>
        <v>437.94</v>
      </c>
      <c r="S223" s="107">
        <f>R223/H223/12</f>
        <v>5.2135714285714281</v>
      </c>
      <c r="T223" s="107">
        <f>IF(Q223&gt;0,0,IF((OR((AF223&gt;AG223),(AH223&lt;AI223))),0,IF((AND((AH223&gt;=AI223),(AH223&lt;=AG223))),S223*((AH223-AI223)*12),IF((AND((AI223&lt;=AF223),(AG223&gt;=AF223))),((AG223-AF223)*12)*S223,IF(AH223&gt;AG223,12*S223,0)))))</f>
        <v>62.562857142857141</v>
      </c>
      <c r="U223" s="107">
        <f>IF(Q223=0,0,IF((AND((AJ223&gt;=AI223),(AJ223&lt;=AH223))),((AJ223-AI223)*12)*S223,0))</f>
        <v>0</v>
      </c>
      <c r="V223" s="107">
        <f>IF(U223&gt;0,U223,T223)</f>
        <v>62.562857142857141</v>
      </c>
      <c r="W223" s="105">
        <v>1</v>
      </c>
      <c r="X223" s="107">
        <f>W223*SUM(T223:U223)</f>
        <v>62.562857142857141</v>
      </c>
      <c r="Y223" s="105"/>
      <c r="Z223" s="107">
        <f>IF(AF223&gt;AG223,0,IF(AH223&lt;AI223,R223,IF((AND((AH223&gt;=AI223),(AH223&lt;=AG223))),(R223-V223),IF((AND((AI223&lt;=AF223),(AG223&gt;=AF223))),0,IF(AH223&gt;AG223,((AI223-AF223)*12)*S223,0)))))</f>
        <v>192.9021428571381</v>
      </c>
      <c r="AA223" s="107">
        <f>Z223*W223</f>
        <v>192.9021428571381</v>
      </c>
      <c r="AB223" s="105">
        <v>1</v>
      </c>
      <c r="AC223" s="107">
        <f>AA223*AB223</f>
        <v>192.9021428571381</v>
      </c>
      <c r="AD223" s="107">
        <f>IF(Q223&gt;0,0,AC223+X223*AB223)*AB223</f>
        <v>255.46499999999526</v>
      </c>
      <c r="AE223" s="107">
        <f>IF(Q223&gt;0,(P223-AC223)/2,IF(AF223&gt;=AI223,(((P223*W223)*AB223)-AD223)/2,((((P223*W223)*AB223)-AC223)+(((P223*W223)*AB223)-AD223))/2))</f>
        <v>213.75642857143333</v>
      </c>
      <c r="AF223" s="107">
        <f>$D223+(($E223-1)/12)</f>
        <v>2013.4166666666667</v>
      </c>
      <c r="AG223" s="107">
        <f>($R$5+1)-($R$2/12)</f>
        <v>2017.5</v>
      </c>
      <c r="AH223" s="107">
        <f>$I223+(($E223-1)/12)</f>
        <v>2020.4166666666667</v>
      </c>
      <c r="AI223" s="108">
        <f>$R$4+($R$3/12)</f>
        <v>2016.5</v>
      </c>
      <c r="AJ223" s="108">
        <f>$J223+(($K223-1)/12)</f>
        <v>-8.3333333333333329E-2</v>
      </c>
      <c r="AK223" s="108">
        <f>$I223+(($E223-1)/12)</f>
        <v>2020.4166666666667</v>
      </c>
      <c r="AL223" s="108">
        <f>$R$4+($R$3/12)</f>
        <v>2016.5</v>
      </c>
      <c r="AM223" s="108">
        <f>$J223+(($K223-1)/12)</f>
        <v>-8.3333333333333329E-2</v>
      </c>
    </row>
    <row r="224" spans="1:39" x14ac:dyDescent="0.25">
      <c r="A224">
        <v>208</v>
      </c>
      <c r="B224" t="s">
        <v>589</v>
      </c>
      <c r="D224" s="34">
        <v>2014</v>
      </c>
      <c r="E224" s="34">
        <v>12</v>
      </c>
      <c r="F224" s="75"/>
      <c r="G224" s="34" t="s">
        <v>433</v>
      </c>
      <c r="H224" s="34">
        <v>7</v>
      </c>
      <c r="I224">
        <f>+D224+H224</f>
        <v>2021</v>
      </c>
      <c r="L224" s="53" t="s">
        <v>788</v>
      </c>
      <c r="M224" s="53" t="s">
        <v>788</v>
      </c>
      <c r="N224" s="53" t="s">
        <v>788</v>
      </c>
      <c r="O224" s="53" t="s">
        <v>788</v>
      </c>
      <c r="P224" s="32">
        <v>56144.22</v>
      </c>
      <c r="Q224" s="32"/>
      <c r="R224" s="32">
        <f>+P224-P224*F224</f>
        <v>56144.22</v>
      </c>
      <c r="S224" s="107">
        <f>R224/H224/12</f>
        <v>668.38357142857137</v>
      </c>
      <c r="T224" s="107">
        <f>IF(Q224&gt;0,0,IF((OR((AF224&gt;AG224),(AH224&lt;AI224))),0,IF((AND((AH224&gt;=AI224),(AH224&lt;=AG224))),S224*((AH224-AI224)*12),IF((AND((AI224&lt;=AF224),(AG224&gt;=AF224))),((AG224-AF224)*12)*S224,IF(AH224&gt;AG224,12*S224,0)))))</f>
        <v>8020.602857142856</v>
      </c>
      <c r="U224" s="107">
        <f>IF(Q224=0,0,IF((AND((AJ224&gt;=AI224),(AJ224&lt;=AH224))),((AJ224-AI224)*12)*S224,0))</f>
        <v>0</v>
      </c>
      <c r="V224" s="107">
        <f>IF(U224&gt;0,U224,T224)</f>
        <v>8020.602857142856</v>
      </c>
      <c r="W224" s="105">
        <v>1</v>
      </c>
      <c r="X224" s="107">
        <f>W224*SUM(T224:U224)</f>
        <v>8020.602857142856</v>
      </c>
      <c r="Y224" s="105"/>
      <c r="Z224" s="107">
        <f>IF(AF224&gt;AG224,0,IF(AH224&lt;AI224,R224,IF((AND((AH224&gt;=AI224),(AH224&lt;=AG224))),(R224-V224),IF((AND((AI224&lt;=AF224),(AG224&gt;=AF224))),0,IF(AH224&gt;AG224,((AI224-AF224)*12)*S224,0)))))</f>
        <v>12699.287857142248</v>
      </c>
      <c r="AA224" s="107">
        <f>Z224*W224</f>
        <v>12699.287857142248</v>
      </c>
      <c r="AB224" s="105">
        <v>1</v>
      </c>
      <c r="AC224" s="107">
        <f>AA224*AB224</f>
        <v>12699.287857142248</v>
      </c>
      <c r="AD224" s="107">
        <f>IF(Q224&gt;0,0,AC224+X224*AB224)*AB224</f>
        <v>20719.890714285102</v>
      </c>
      <c r="AE224" s="107">
        <f>IF(Q224&gt;0,(P224-AC224)/2,IF(AF224&gt;=AI224,(((P224*W224)*AB224)-AD224)/2,((((P224*W224)*AB224)-AC224)+(((P224*W224)*AB224)-AD224))/2))</f>
        <v>39434.630714286322</v>
      </c>
      <c r="AF224" s="107">
        <f>$D224+(($E224-1)/12)</f>
        <v>2014.9166666666667</v>
      </c>
      <c r="AG224" s="107">
        <f>($R$5+1)-($R$2/12)</f>
        <v>2017.5</v>
      </c>
      <c r="AH224" s="107">
        <f>$I224+(($E224-1)/12)</f>
        <v>2021.9166666666667</v>
      </c>
      <c r="AI224" s="108">
        <f>$R$4+($R$3/12)</f>
        <v>2016.5</v>
      </c>
      <c r="AJ224" s="108">
        <f>$J224+(($K224-1)/12)</f>
        <v>-8.3333333333333329E-2</v>
      </c>
      <c r="AK224" s="108">
        <f>$I224+(($E224-1)/12)</f>
        <v>2021.9166666666667</v>
      </c>
      <c r="AL224" s="108">
        <f>$R$4+($R$3/12)</f>
        <v>2016.5</v>
      </c>
      <c r="AM224" s="108">
        <f>$J224+(($K224-1)/12)</f>
        <v>-8.3333333333333329E-2</v>
      </c>
    </row>
    <row r="225" spans="1:39" x14ac:dyDescent="0.25">
      <c r="A225">
        <v>209</v>
      </c>
      <c r="B225" t="s">
        <v>590</v>
      </c>
      <c r="D225" s="34">
        <v>2014</v>
      </c>
      <c r="E225" s="34">
        <v>11</v>
      </c>
      <c r="F225" s="36">
        <v>1</v>
      </c>
      <c r="G225" s="34" t="s">
        <v>433</v>
      </c>
      <c r="H225" s="34">
        <v>1</v>
      </c>
      <c r="I225">
        <f>+D225+H225</f>
        <v>2015</v>
      </c>
      <c r="L225" s="53" t="s">
        <v>788</v>
      </c>
      <c r="M225" s="53" t="s">
        <v>788</v>
      </c>
      <c r="N225" s="53" t="s">
        <v>788</v>
      </c>
      <c r="O225" s="53" t="s">
        <v>788</v>
      </c>
      <c r="P225" s="32">
        <v>77600</v>
      </c>
      <c r="Q225" s="32"/>
      <c r="R225" s="32">
        <f>+P225-P225*F225</f>
        <v>0</v>
      </c>
      <c r="S225" s="107">
        <f>R225/H225/12</f>
        <v>0</v>
      </c>
      <c r="T225" s="107">
        <f>IF(Q225&gt;0,0,IF((OR((AF225&gt;AG225),(AH225&lt;AI225))),0,IF((AND((AH225&gt;=AI225),(AH225&lt;=AG225))),S225*((AH225-AI225)*12),IF((AND((AI225&lt;=AF225),(AG225&gt;=AF225))),((AG225-AF225)*12)*S225,IF(AH225&gt;AG225,12*S225,0)))))</f>
        <v>0</v>
      </c>
      <c r="U225" s="107">
        <f>IF(Q225=0,0,IF((AND((AJ225&gt;=AI225),(AJ225&lt;=AH225))),((AJ225-AI225)*12)*S225,0))</f>
        <v>0</v>
      </c>
      <c r="V225" s="107">
        <f>IF(U225&gt;0,U225,T225)</f>
        <v>0</v>
      </c>
      <c r="W225" s="105">
        <v>1</v>
      </c>
      <c r="X225" s="107">
        <f>W225*SUM(T225:U225)</f>
        <v>0</v>
      </c>
      <c r="Y225" s="105"/>
      <c r="Z225" s="107">
        <f>IF(AF225&gt;AG225,0,IF(AH225&lt;AI225,R225,IF((AND((AH225&gt;=AI225),(AH225&lt;=AG225))),(R225-V225),IF((AND((AI225&lt;=AF225),(AG225&gt;=AF225))),0,IF(AH225&gt;AG225,((AI225-AF225)*12)*S225,0)))))</f>
        <v>0</v>
      </c>
      <c r="AA225" s="107">
        <f>Z225*W225</f>
        <v>0</v>
      </c>
      <c r="AB225" s="105">
        <v>1</v>
      </c>
      <c r="AC225" s="107">
        <f>AA225*AB225</f>
        <v>0</v>
      </c>
      <c r="AD225" s="107">
        <f>IF(Q225&gt;0,0,AC225+X225*AB225)*AB225</f>
        <v>0</v>
      </c>
      <c r="AE225" s="107">
        <f>IF(Q225&gt;0,(P225-AC225)/2,IF(AF225&gt;=AI225,(((P225*W225)*AB225)-AD225)/2,((((P225*W225)*AB225)-AC225)+(((P225*W225)*AB225)-AD225))/2))</f>
        <v>77600</v>
      </c>
      <c r="AF225" s="107">
        <f>$D225+(($E225-1)/12)</f>
        <v>2014.8333333333333</v>
      </c>
      <c r="AG225" s="107">
        <f>($R$5+1)-($R$2/12)</f>
        <v>2017.5</v>
      </c>
      <c r="AH225" s="107">
        <f>$I225+(($E225-1)/12)</f>
        <v>2015.8333333333333</v>
      </c>
      <c r="AI225" s="108">
        <f>$R$4+($R$3/12)</f>
        <v>2016.5</v>
      </c>
      <c r="AJ225" s="108">
        <f>$J225+(($K225-1)/12)</f>
        <v>-8.3333333333333329E-2</v>
      </c>
      <c r="AK225" s="108">
        <f>$I225+(($E225-1)/12)</f>
        <v>2015.8333333333333</v>
      </c>
      <c r="AL225" s="108">
        <f>$R$4+($R$3/12)</f>
        <v>2016.5</v>
      </c>
      <c r="AM225" s="108">
        <f>$J225+(($K225-1)/12)</f>
        <v>-8.3333333333333329E-2</v>
      </c>
    </row>
    <row r="226" spans="1:39" x14ac:dyDescent="0.25">
      <c r="A226">
        <v>210</v>
      </c>
      <c r="B226" t="s">
        <v>591</v>
      </c>
      <c r="D226" s="34">
        <v>2014</v>
      </c>
      <c r="E226" s="34">
        <v>9</v>
      </c>
      <c r="F226" s="75"/>
      <c r="G226" s="34" t="s">
        <v>433</v>
      </c>
      <c r="H226" s="34">
        <v>10</v>
      </c>
      <c r="I226">
        <f>+D226+H226</f>
        <v>2024</v>
      </c>
      <c r="L226" s="53" t="s">
        <v>788</v>
      </c>
      <c r="M226" s="53" t="s">
        <v>788</v>
      </c>
      <c r="N226" s="53" t="s">
        <v>788</v>
      </c>
      <c r="O226" s="53" t="s">
        <v>788</v>
      </c>
      <c r="P226" s="32">
        <v>120911.33</v>
      </c>
      <c r="Q226" s="32"/>
      <c r="R226" s="32">
        <f>+P226-P226*F226</f>
        <v>120911.33</v>
      </c>
      <c r="S226" s="107">
        <f>R226/H226/12</f>
        <v>1007.5944166666667</v>
      </c>
      <c r="T226" s="107">
        <f>IF(Q226&gt;0,0,IF((OR((AF226&gt;AG226),(AH226&lt;AI226))),0,IF((AND((AH226&gt;=AI226),(AH226&lt;=AG226))),S226*((AH226-AI226)*12),IF((AND((AI226&lt;=AF226),(AG226&gt;=AF226))),((AG226-AF226)*12)*S226,IF(AH226&gt;AG226,12*S226,0)))))</f>
        <v>12091.133</v>
      </c>
      <c r="U226" s="107">
        <f>IF(Q226=0,0,IF((AND((AJ226&gt;=AI226),(AJ226&lt;=AH226))),((AJ226-AI226)*12)*S226,0))</f>
        <v>0</v>
      </c>
      <c r="V226" s="107">
        <f>IF(U226&gt;0,U226,T226)</f>
        <v>12091.133</v>
      </c>
      <c r="W226" s="105">
        <v>1</v>
      </c>
      <c r="X226" s="107">
        <f>W226*SUM(T226:U226)</f>
        <v>12091.133</v>
      </c>
      <c r="Y226" s="105"/>
      <c r="Z226" s="107">
        <f>IF(AF226&gt;AG226,0,IF(AH226&lt;AI226,R226,IF((AND((AH226&gt;=AI226),(AH226&lt;=AG226))),(R226-V226),IF((AND((AI226&lt;=AF226),(AG226&gt;=AF226))),0,IF(AH226&gt;AG226,((AI226-AF226)*12)*S226,0)))))</f>
        <v>22167.077166665749</v>
      </c>
      <c r="AA226" s="107">
        <f>Z226*W226</f>
        <v>22167.077166665749</v>
      </c>
      <c r="AB226" s="105">
        <v>1</v>
      </c>
      <c r="AC226" s="107">
        <f>AA226*AB226</f>
        <v>22167.077166665749</v>
      </c>
      <c r="AD226" s="107">
        <f>IF(Q226&gt;0,0,AC226+X226*AB226)*AB226</f>
        <v>34258.210166665747</v>
      </c>
      <c r="AE226" s="107">
        <f>IF(Q226&gt;0,(P226-AC226)/2,IF(AF226&gt;=AI226,(((P226*W226)*AB226)-AD226)/2,((((P226*W226)*AB226)-AC226)+(((P226*W226)*AB226)-AD226))/2))</f>
        <v>92698.686333334248</v>
      </c>
      <c r="AF226" s="107">
        <f>$D226+(($E226-1)/12)</f>
        <v>2014.6666666666667</v>
      </c>
      <c r="AG226" s="107">
        <f>($R$5+1)-($R$2/12)</f>
        <v>2017.5</v>
      </c>
      <c r="AH226" s="107">
        <f>$I226+(($E226-1)/12)</f>
        <v>2024.6666666666667</v>
      </c>
      <c r="AI226" s="108">
        <f>$R$4+($R$3/12)</f>
        <v>2016.5</v>
      </c>
      <c r="AJ226" s="108">
        <f>$J226+(($K226-1)/12)</f>
        <v>-8.3333333333333329E-2</v>
      </c>
      <c r="AK226" s="108">
        <f>$I226+(($E226-1)/12)</f>
        <v>2024.6666666666667</v>
      </c>
      <c r="AL226" s="108">
        <f>$R$4+($R$3/12)</f>
        <v>2016.5</v>
      </c>
      <c r="AM226" s="108">
        <f>$J226+(($K226-1)/12)</f>
        <v>-8.3333333333333329E-2</v>
      </c>
    </row>
    <row r="227" spans="1:39" x14ac:dyDescent="0.25">
      <c r="A227">
        <v>222</v>
      </c>
      <c r="B227" t="s">
        <v>599</v>
      </c>
      <c r="D227" s="34">
        <v>2015</v>
      </c>
      <c r="E227" s="34">
        <v>5</v>
      </c>
      <c r="F227" s="75"/>
      <c r="G227" s="34" t="s">
        <v>433</v>
      </c>
      <c r="H227" s="34">
        <v>10</v>
      </c>
      <c r="I227">
        <f>+D227+H227</f>
        <v>2025</v>
      </c>
      <c r="L227" s="53" t="s">
        <v>788</v>
      </c>
      <c r="M227" s="53" t="s">
        <v>788</v>
      </c>
      <c r="N227" s="53" t="s">
        <v>788</v>
      </c>
      <c r="O227" s="53" t="s">
        <v>788</v>
      </c>
      <c r="P227" s="110">
        <v>53584</v>
      </c>
      <c r="Q227" s="110"/>
      <c r="R227" s="110">
        <f>+P227-P227*F227</f>
        <v>53584</v>
      </c>
      <c r="S227" s="111">
        <f>R227/H227/12</f>
        <v>446.5333333333333</v>
      </c>
      <c r="T227" s="111">
        <f>IF(Q227&gt;0,0,IF((OR((AF227&gt;AG227),(AH227&lt;AI227))),0,IF((AND((AH227&gt;=AI227),(AH227&lt;=AG227))),S227*((AH227-AI227)*12),IF((AND((AI227&lt;=AF227),(AG227&gt;=AF227))),((AG227-AF227)*12)*S227,IF(AH227&gt;AG227,12*S227,0)))))</f>
        <v>5358.4</v>
      </c>
      <c r="U227" s="111">
        <f>IF(Q227=0,0,IF((AND((AJ227&gt;=AI227),(AJ227&lt;=AH227))),((AJ227-AI227)*12)*S227,0))</f>
        <v>0</v>
      </c>
      <c r="V227" s="111">
        <f>IF(U227&gt;0,U227,T227)</f>
        <v>5358.4</v>
      </c>
      <c r="W227" s="112">
        <v>1</v>
      </c>
      <c r="X227" s="111">
        <f>W227*SUM(T227:U227)</f>
        <v>5358.4</v>
      </c>
      <c r="Y227" s="112"/>
      <c r="Z227" s="111">
        <f>IF(AF227&gt;AG227,0,IF(AH227&lt;AI227,R227,IF((AND((AH227&gt;=AI227),(AH227&lt;=AG227))),(R227-V227),IF((AND((AI227&lt;=AF227),(AG227&gt;=AF227))),0,IF(AH227&gt;AG227,((AI227-AF227)*12)*S227,0)))))</f>
        <v>6251.4666666670728</v>
      </c>
      <c r="AA227" s="111">
        <f>Z227*W227</f>
        <v>6251.4666666670728</v>
      </c>
      <c r="AB227" s="112">
        <v>1</v>
      </c>
      <c r="AC227" s="111">
        <f>AA227*AB227</f>
        <v>6251.4666666670728</v>
      </c>
      <c r="AD227" s="111">
        <f>IF(Q227&gt;0,0,AC227+X227*AB227)*AB227</f>
        <v>11609.866666667072</v>
      </c>
      <c r="AE227" s="111">
        <f>IF(Q227&gt;0,(P227-AC227)/2,IF(AF227&gt;=AI227,(((P227*W227)*AB227)-AD227)/2,((((P227*W227)*AB227)-AC227)+(((P227*W227)*AB227)-AD227))/2))</f>
        <v>44653.333333332921</v>
      </c>
      <c r="AF227" s="111">
        <f>$D227+(($E227-1)/12)</f>
        <v>2015.3333333333333</v>
      </c>
      <c r="AG227" s="111">
        <f>($R$5+1)-($R$2/12)</f>
        <v>2017.5</v>
      </c>
      <c r="AH227" s="111">
        <f>$I227+(($E227-1)/12)</f>
        <v>2025.3333333333333</v>
      </c>
      <c r="AI227" s="113">
        <f>$R$4+($R$3/12)</f>
        <v>2016.5</v>
      </c>
      <c r="AJ227" s="113">
        <f>$J227+(($K227-1)/12)</f>
        <v>-8.3333333333333329E-2</v>
      </c>
      <c r="AK227" s="113">
        <f>$I227+(($E227-1)/12)</f>
        <v>2025.3333333333333</v>
      </c>
      <c r="AL227" s="113">
        <f>$R$4+($R$3/12)</f>
        <v>2016.5</v>
      </c>
      <c r="AM227" s="113">
        <f>$J227+(($K227-1)/12)</f>
        <v>-8.3333333333333329E-2</v>
      </c>
    </row>
    <row r="228" spans="1:39" x14ac:dyDescent="0.25">
      <c r="A228">
        <v>223</v>
      </c>
      <c r="B228" t="s">
        <v>600</v>
      </c>
      <c r="D228" s="34">
        <v>2015</v>
      </c>
      <c r="E228" s="34">
        <v>6</v>
      </c>
      <c r="F228" s="75"/>
      <c r="G228" s="34" t="s">
        <v>433</v>
      </c>
      <c r="H228" s="34">
        <v>10</v>
      </c>
      <c r="I228">
        <f>+D228+H228</f>
        <v>2025</v>
      </c>
      <c r="L228" s="53" t="s">
        <v>788</v>
      </c>
      <c r="M228" s="53" t="s">
        <v>788</v>
      </c>
      <c r="N228" s="53" t="s">
        <v>788</v>
      </c>
      <c r="O228" s="53" t="s">
        <v>788</v>
      </c>
      <c r="P228" s="110">
        <v>148563</v>
      </c>
      <c r="Q228" s="110"/>
      <c r="R228" s="110">
        <f>+P228-P228*F228</f>
        <v>148563</v>
      </c>
      <c r="S228" s="111">
        <f>R228/H228/12</f>
        <v>1238.0249999999999</v>
      </c>
      <c r="T228" s="111">
        <f>IF(Q228&gt;0,0,IF((OR((AF228&gt;AG228),(AH228&lt;AI228))),0,IF((AND((AH228&gt;=AI228),(AH228&lt;=AG228))),S228*((AH228-AI228)*12),IF((AND((AI228&lt;=AF228),(AG228&gt;=AF228))),((AG228-AF228)*12)*S228,IF(AH228&gt;AG228,12*S228,0)))))</f>
        <v>14856.3</v>
      </c>
      <c r="U228" s="111">
        <f>IF(Q228=0,0,IF((AND((AJ228&gt;=AI228),(AJ228&lt;=AH228))),((AJ228-AI228)*12)*S228,0))</f>
        <v>0</v>
      </c>
      <c r="V228" s="111">
        <f>IF(U228&gt;0,U228,T228)</f>
        <v>14856.3</v>
      </c>
      <c r="W228" s="112">
        <v>1</v>
      </c>
      <c r="X228" s="111">
        <f>W228*SUM(T228:U228)</f>
        <v>14856.3</v>
      </c>
      <c r="Y228" s="112"/>
      <c r="Z228" s="111">
        <f>IF(AF228&gt;AG228,0,IF(AH228&lt;AI228,R228,IF((AND((AH228&gt;=AI228),(AH228&lt;=AG228))),(R228-V228),IF((AND((AI228&lt;=AF228),(AG228&gt;=AF228))),0,IF(AH228&gt;AG228,((AI228-AF228)*12)*S228,0)))))</f>
        <v>16094.324999998873</v>
      </c>
      <c r="AA228" s="111">
        <f>Z228*W228</f>
        <v>16094.324999998873</v>
      </c>
      <c r="AB228" s="112">
        <v>1</v>
      </c>
      <c r="AC228" s="111">
        <f>AA228*AB228</f>
        <v>16094.324999998873</v>
      </c>
      <c r="AD228" s="111">
        <f>IF(Q228&gt;0,0,AC228+X228*AB228)*AB228</f>
        <v>30950.624999998872</v>
      </c>
      <c r="AE228" s="111">
        <f>IF(Q228&gt;0,(P228-AC228)/2,IF(AF228&gt;=AI228,(((P228*W228)*AB228)-AD228)/2,((((P228*W228)*AB228)-AC228)+(((P228*W228)*AB228)-AD228))/2))</f>
        <v>125040.52500000113</v>
      </c>
      <c r="AF228" s="111">
        <f>$D228+(($E228-1)/12)</f>
        <v>2015.4166666666667</v>
      </c>
      <c r="AG228" s="111">
        <f>($R$5+1)-($R$2/12)</f>
        <v>2017.5</v>
      </c>
      <c r="AH228" s="111">
        <f>$I228+(($E228-1)/12)</f>
        <v>2025.4166666666667</v>
      </c>
      <c r="AI228" s="113">
        <f>$R$4+($R$3/12)</f>
        <v>2016.5</v>
      </c>
      <c r="AJ228" s="113">
        <f>$J228+(($K228-1)/12)</f>
        <v>-8.3333333333333329E-2</v>
      </c>
      <c r="AK228" s="113">
        <f>$I228+(($E228-1)/12)</f>
        <v>2025.4166666666667</v>
      </c>
      <c r="AL228" s="113">
        <f>$R$4+($R$3/12)</f>
        <v>2016.5</v>
      </c>
      <c r="AM228" s="113">
        <f>$J228+(($K228-1)/12)</f>
        <v>-8.3333333333333329E-2</v>
      </c>
    </row>
    <row r="229" spans="1:39" x14ac:dyDescent="0.25">
      <c r="A229">
        <v>226</v>
      </c>
      <c r="B229" t="s">
        <v>762</v>
      </c>
      <c r="D229" s="34">
        <v>2015</v>
      </c>
      <c r="E229" s="34">
        <v>12</v>
      </c>
      <c r="F229" s="75"/>
      <c r="G229" s="34" t="s">
        <v>433</v>
      </c>
      <c r="H229" s="34">
        <v>7</v>
      </c>
      <c r="I229">
        <f>+D229+H229</f>
        <v>2022</v>
      </c>
      <c r="L229" s="53" t="s">
        <v>788</v>
      </c>
      <c r="M229" s="53" t="s">
        <v>788</v>
      </c>
      <c r="N229" s="53" t="s">
        <v>788</v>
      </c>
      <c r="O229" s="53" t="s">
        <v>788</v>
      </c>
      <c r="P229" s="110">
        <v>14309.38</v>
      </c>
      <c r="Q229" s="110"/>
      <c r="R229" s="110">
        <f>+P229-P229*F229</f>
        <v>14309.38</v>
      </c>
      <c r="S229" s="111">
        <f>R229/H229/12</f>
        <v>170.34976190476189</v>
      </c>
      <c r="T229" s="111">
        <f>IF(Q229&gt;0,0,IF((OR((AF229&gt;AG229),(AH229&lt;AI229))),0,IF((AND((AH229&gt;=AI229),(AH229&lt;=AG229))),S229*((AH229-AI229)*12),IF((AND((AI229&lt;=AF229),(AG229&gt;=AF229))),((AG229-AF229)*12)*S229,IF(AH229&gt;AG229,12*S229,0)))))</f>
        <v>2044.1971428571428</v>
      </c>
      <c r="U229" s="111">
        <f>IF(Q229=0,0,IF((AND((AJ229&gt;=AI229),(AJ229&lt;=AH229))),((AJ229-AI229)*12)*S229,0))</f>
        <v>0</v>
      </c>
      <c r="V229" s="111">
        <f>IF(U229&gt;0,U229,T229)</f>
        <v>2044.1971428571428</v>
      </c>
      <c r="W229" s="112">
        <v>1</v>
      </c>
      <c r="X229" s="111">
        <f>W229*SUM(T229:U229)</f>
        <v>2044.1971428571428</v>
      </c>
      <c r="Y229" s="112"/>
      <c r="Z229" s="111">
        <f>IF(AF229&gt;AG229,0,IF(AH229&lt;AI229,R229,IF((AND((AH229&gt;=AI229),(AH229&lt;=AG229))),(R229-V229),IF((AND((AI229&lt;=AF229),(AG229&gt;=AF229))),0,IF(AH229&gt;AG229,((AI229-AF229)*12)*S229,0)))))</f>
        <v>1192.4483333331782</v>
      </c>
      <c r="AA229" s="111">
        <f>Z229*W229</f>
        <v>1192.4483333331782</v>
      </c>
      <c r="AB229" s="112">
        <v>1</v>
      </c>
      <c r="AC229" s="111">
        <f>AA229*AB229</f>
        <v>1192.4483333331782</v>
      </c>
      <c r="AD229" s="111">
        <f>IF(Q229&gt;0,0,AC229+X229*AB229)*AB229</f>
        <v>3236.645476190321</v>
      </c>
      <c r="AE229" s="111">
        <f>IF(Q229&gt;0,(P229-AC229)/2,IF(AF229&gt;=AI229,(((P229*W229)*AB229)-AD229)/2,((((P229*W229)*AB229)-AC229)+(((P229*W229)*AB229)-AD229))/2))</f>
        <v>12094.833095238249</v>
      </c>
      <c r="AF229" s="111">
        <f>$D229+(($E229-1)/12)</f>
        <v>2015.9166666666667</v>
      </c>
      <c r="AG229" s="111">
        <f>($R$5+1)-($R$2/12)</f>
        <v>2017.5</v>
      </c>
      <c r="AH229" s="111">
        <f>$I229+(($E229-1)/12)</f>
        <v>2022.9166666666667</v>
      </c>
      <c r="AI229" s="113">
        <f>$R$4+($R$3/12)</f>
        <v>2016.5</v>
      </c>
      <c r="AJ229" s="113">
        <f>$J229+(($K229-1)/12)</f>
        <v>-8.3333333333333329E-2</v>
      </c>
      <c r="AK229" s="113">
        <f>$I229+(($E229-1)/12)</f>
        <v>2022.9166666666667</v>
      </c>
      <c r="AL229" s="113">
        <f>$R$4+($R$3/12)</f>
        <v>2016.5</v>
      </c>
      <c r="AM229" s="113">
        <f>$J229+(($K229-1)/12)</f>
        <v>-8.3333333333333329E-2</v>
      </c>
    </row>
    <row r="230" spans="1:39" x14ac:dyDescent="0.25">
      <c r="A230">
        <v>228</v>
      </c>
      <c r="B230" t="s">
        <v>753</v>
      </c>
      <c r="D230" s="34">
        <v>2015</v>
      </c>
      <c r="E230" s="34">
        <v>10</v>
      </c>
      <c r="F230" s="75"/>
      <c r="G230" s="34" t="s">
        <v>433</v>
      </c>
      <c r="H230" s="34">
        <v>5</v>
      </c>
      <c r="I230">
        <f>+D230+H230</f>
        <v>2020</v>
      </c>
      <c r="L230" s="53" t="s">
        <v>788</v>
      </c>
      <c r="M230" s="53" t="s">
        <v>788</v>
      </c>
      <c r="N230" s="53" t="s">
        <v>788</v>
      </c>
      <c r="O230" s="53" t="s">
        <v>788</v>
      </c>
      <c r="P230" s="110">
        <v>11905</v>
      </c>
      <c r="Q230" s="110"/>
      <c r="R230" s="110">
        <f>+P230-P230*F230</f>
        <v>11905</v>
      </c>
      <c r="S230" s="111">
        <f>R230/H230/12</f>
        <v>198.41666666666666</v>
      </c>
      <c r="T230" s="111">
        <f>IF(Q230&gt;0,0,IF((OR((AF230&gt;AG230),(AH230&lt;AI230))),0,IF((AND((AH230&gt;=AI230),(AH230&lt;=AG230))),S230*((AH230-AI230)*12),IF((AND((AI230&lt;=AF230),(AG230&gt;=AF230))),((AG230-AF230)*12)*S230,IF(AH230&gt;AG230,12*S230,0)))))</f>
        <v>2381</v>
      </c>
      <c r="U230" s="111">
        <f>IF(Q230=0,0,IF((AND((AJ230&gt;=AI230),(AJ230&lt;=AH230))),((AJ230-AI230)*12)*S230,0))</f>
        <v>0</v>
      </c>
      <c r="V230" s="111">
        <f>IF(U230&gt;0,U230,T230)</f>
        <v>2381</v>
      </c>
      <c r="W230" s="112">
        <v>1</v>
      </c>
      <c r="X230" s="111">
        <f>W230*SUM(T230:U230)</f>
        <v>2381</v>
      </c>
      <c r="Y230" s="112"/>
      <c r="Z230" s="111">
        <f>IF(AF230&gt;AG230,0,IF(AH230&lt;AI230,R230,IF((AND((AH230&gt;=AI230),(AH230&lt;=AG230))),(R230-V230),IF((AND((AI230&lt;=AF230),(AG230&gt;=AF230))),0,IF(AH230&gt;AG230,((AI230-AF230)*12)*S230,0)))))</f>
        <v>1785.75</v>
      </c>
      <c r="AA230" s="111">
        <f>Z230*W230</f>
        <v>1785.75</v>
      </c>
      <c r="AB230" s="112">
        <v>1</v>
      </c>
      <c r="AC230" s="111">
        <f>AA230*AB230</f>
        <v>1785.75</v>
      </c>
      <c r="AD230" s="111">
        <f>IF(Q230&gt;0,0,AC230+X230*AB230)*AB230</f>
        <v>4166.75</v>
      </c>
      <c r="AE230" s="111">
        <f>IF(Q230&gt;0,(P230-AC230)/2,IF(AF230&gt;=AI230,(((P230*W230)*AB230)-AD230)/2,((((P230*W230)*AB230)-AC230)+(((P230*W230)*AB230)-AD230))/2))</f>
        <v>8928.75</v>
      </c>
      <c r="AF230" s="111">
        <f>$D230+(($E230-1)/12)</f>
        <v>2015.75</v>
      </c>
      <c r="AG230" s="111">
        <f>($R$5+1)-($R$2/12)</f>
        <v>2017.5</v>
      </c>
      <c r="AH230" s="111">
        <f>$I230+(($E230-1)/12)</f>
        <v>2020.75</v>
      </c>
      <c r="AI230" s="113">
        <f>$R$4+($R$3/12)</f>
        <v>2016.5</v>
      </c>
      <c r="AJ230" s="113">
        <f>$J230+(($K230-1)/12)</f>
        <v>-8.3333333333333329E-2</v>
      </c>
      <c r="AK230" s="113">
        <f>$I230+(($E230-1)/12)</f>
        <v>2020.75</v>
      </c>
      <c r="AL230" s="113">
        <f>$R$4+($R$3/12)</f>
        <v>2016.5</v>
      </c>
      <c r="AM230" s="113">
        <f>$J230+(($K230-1)/12)</f>
        <v>-8.3333333333333329E-2</v>
      </c>
    </row>
    <row r="231" spans="1:39" x14ac:dyDescent="0.25">
      <c r="A231">
        <v>230</v>
      </c>
      <c r="B231" t="s">
        <v>763</v>
      </c>
      <c r="D231" s="34">
        <v>2015</v>
      </c>
      <c r="E231" s="34">
        <v>9</v>
      </c>
      <c r="F231" s="75"/>
      <c r="G231" s="34" t="s">
        <v>433</v>
      </c>
      <c r="H231" s="34">
        <v>5</v>
      </c>
      <c r="I231">
        <f>+D231+H231</f>
        <v>2020</v>
      </c>
      <c r="L231" s="53" t="s">
        <v>788</v>
      </c>
      <c r="M231" s="53" t="s">
        <v>788</v>
      </c>
      <c r="N231" s="53" t="s">
        <v>788</v>
      </c>
      <c r="O231" s="53" t="s">
        <v>788</v>
      </c>
      <c r="P231" s="110">
        <v>6982</v>
      </c>
      <c r="Q231" s="110"/>
      <c r="R231" s="110">
        <f>+P231-P231*F231</f>
        <v>6982</v>
      </c>
      <c r="S231" s="111">
        <f>R231/H231/12</f>
        <v>116.36666666666667</v>
      </c>
      <c r="T231" s="111">
        <f>IF(Q231&gt;0,0,IF((OR((AF231&gt;AG231),(AH231&lt;AI231))),0,IF((AND((AH231&gt;=AI231),(AH231&lt;=AG231))),S231*((AH231-AI231)*12),IF((AND((AI231&lt;=AF231),(AG231&gt;=AF231))),((AG231-AF231)*12)*S231,IF(AH231&gt;AG231,12*S231,0)))))</f>
        <v>1396.4</v>
      </c>
      <c r="U231" s="111">
        <f>IF(Q231=0,0,IF((AND((AJ231&gt;=AI231),(AJ231&lt;=AH231))),((AJ231-AI231)*12)*S231,0))</f>
        <v>0</v>
      </c>
      <c r="V231" s="111">
        <f>IF(U231&gt;0,U231,T231)</f>
        <v>1396.4</v>
      </c>
      <c r="W231" s="112">
        <v>1</v>
      </c>
      <c r="X231" s="111">
        <f>W231*SUM(T231:U231)</f>
        <v>1396.4</v>
      </c>
      <c r="Y231" s="112"/>
      <c r="Z231" s="111">
        <f>IF(AF231&gt;AG231,0,IF(AH231&lt;AI231,R231,IF((AND((AH231&gt;=AI231),(AH231&lt;=AG231))),(R231-V231),IF((AND((AI231&lt;=AF231),(AG231&gt;=AF231))),0,IF(AH231&gt;AG231,((AI231-AF231)*12)*S231,0)))))</f>
        <v>1163.666666666561</v>
      </c>
      <c r="AA231" s="111">
        <f>Z231*W231</f>
        <v>1163.666666666561</v>
      </c>
      <c r="AB231" s="112">
        <v>1</v>
      </c>
      <c r="AC231" s="111">
        <f>AA231*AB231</f>
        <v>1163.666666666561</v>
      </c>
      <c r="AD231" s="111">
        <f>IF(Q231&gt;0,0,AC231+X231*AB231)*AB231</f>
        <v>2560.0666666665611</v>
      </c>
      <c r="AE231" s="111">
        <f>IF(Q231&gt;0,(P231-AC231)/2,IF(AF231&gt;=AI231,(((P231*W231)*AB231)-AD231)/2,((((P231*W231)*AB231)-AC231)+(((P231*W231)*AB231)-AD231))/2))</f>
        <v>5120.1333333334387</v>
      </c>
      <c r="AF231" s="111">
        <f>$D231+(($E231-1)/12)</f>
        <v>2015.6666666666667</v>
      </c>
      <c r="AG231" s="111">
        <f>($R$5+1)-($R$2/12)</f>
        <v>2017.5</v>
      </c>
      <c r="AH231" s="111">
        <f>$I231+(($E231-1)/12)</f>
        <v>2020.6666666666667</v>
      </c>
      <c r="AI231" s="113">
        <f>$R$4+($R$3/12)</f>
        <v>2016.5</v>
      </c>
      <c r="AJ231" s="113">
        <f>$J231+(($K231-1)/12)</f>
        <v>-8.3333333333333329E-2</v>
      </c>
      <c r="AK231" s="113">
        <f>$I231+(($E231-1)/12)</f>
        <v>2020.6666666666667</v>
      </c>
      <c r="AL231" s="113">
        <f>$R$4+($R$3/12)</f>
        <v>2016.5</v>
      </c>
      <c r="AM231" s="113">
        <f>$J231+(($K231-1)/12)</f>
        <v>-8.3333333333333329E-2</v>
      </c>
    </row>
    <row r="232" spans="1:39" x14ac:dyDescent="0.25">
      <c r="A232">
        <v>232</v>
      </c>
      <c r="B232" t="s">
        <v>602</v>
      </c>
      <c r="D232" s="34">
        <v>2015</v>
      </c>
      <c r="E232" s="34">
        <v>12</v>
      </c>
      <c r="F232" s="75"/>
      <c r="G232" s="34" t="s">
        <v>433</v>
      </c>
      <c r="H232" s="34">
        <v>7</v>
      </c>
      <c r="I232">
        <f>+D232+H232</f>
        <v>2022</v>
      </c>
      <c r="L232" s="53" t="s">
        <v>788</v>
      </c>
      <c r="M232" s="53" t="s">
        <v>788</v>
      </c>
      <c r="N232" s="53" t="s">
        <v>788</v>
      </c>
      <c r="O232" s="53" t="s">
        <v>788</v>
      </c>
      <c r="P232" s="110">
        <v>3000</v>
      </c>
      <c r="Q232" s="110"/>
      <c r="R232" s="110">
        <f>+P232-P232*F232</f>
        <v>3000</v>
      </c>
      <c r="S232" s="111">
        <f>R232/H232/12</f>
        <v>35.714285714285715</v>
      </c>
      <c r="T232" s="111">
        <f>IF(Q232&gt;0,0,IF((OR((AF232&gt;AG232),(AH232&lt;AI232))),0,IF((AND((AH232&gt;=AI232),(AH232&lt;=AG232))),S232*((AH232-AI232)*12),IF((AND((AI232&lt;=AF232),(AG232&gt;=AF232))),((AG232-AF232)*12)*S232,IF(AH232&gt;AG232,12*S232,0)))))</f>
        <v>428.57142857142856</v>
      </c>
      <c r="U232" s="111">
        <f>IF(Q232=0,0,IF((AND((AJ232&gt;=AI232),(AJ232&lt;=AH232))),((AJ232-AI232)*12)*S232,0))</f>
        <v>0</v>
      </c>
      <c r="V232" s="111">
        <f>IF(U232&gt;0,U232,T232)</f>
        <v>428.57142857142856</v>
      </c>
      <c r="W232" s="112">
        <v>1</v>
      </c>
      <c r="X232" s="111">
        <f>W232*SUM(T232:U232)</f>
        <v>428.57142857142856</v>
      </c>
      <c r="Y232" s="112"/>
      <c r="Z232" s="111">
        <f>IF(AF232&gt;AG232,0,IF(AH232&lt;AI232,R232,IF((AND((AH232&gt;=AI232),(AH232&lt;=AG232))),(R232-V232),IF((AND((AI232&lt;=AF232),(AG232&gt;=AF232))),0,IF(AH232&gt;AG232,((AI232-AF232)*12)*S232,0)))))</f>
        <v>249.99999999996751</v>
      </c>
      <c r="AA232" s="111">
        <f>Z232*W232</f>
        <v>249.99999999996751</v>
      </c>
      <c r="AB232" s="112">
        <v>1</v>
      </c>
      <c r="AC232" s="111">
        <f>AA232*AB232</f>
        <v>249.99999999996751</v>
      </c>
      <c r="AD232" s="111">
        <f>IF(Q232&gt;0,0,AC232+X232*AB232)*AB232</f>
        <v>678.57142857139604</v>
      </c>
      <c r="AE232" s="111">
        <f>IF(Q232&gt;0,(P232-AC232)/2,IF(AF232&gt;=AI232,(((P232*W232)*AB232)-AD232)/2,((((P232*W232)*AB232)-AC232)+(((P232*W232)*AB232)-AD232))/2))</f>
        <v>2535.7142857143181</v>
      </c>
      <c r="AF232" s="111">
        <f>$D232+(($E232-1)/12)</f>
        <v>2015.9166666666667</v>
      </c>
      <c r="AG232" s="111">
        <f>($R$5+1)-($R$2/12)</f>
        <v>2017.5</v>
      </c>
      <c r="AH232" s="111">
        <f>$I232+(($E232-1)/12)</f>
        <v>2022.9166666666667</v>
      </c>
      <c r="AI232" s="113">
        <f>$R$4+($R$3/12)</f>
        <v>2016.5</v>
      </c>
      <c r="AJ232" s="113">
        <f>$J232+(($K232-1)/12)</f>
        <v>-8.3333333333333329E-2</v>
      </c>
      <c r="AK232" s="113">
        <f>$I232+(($E232-1)/12)</f>
        <v>2022.9166666666667</v>
      </c>
      <c r="AL232" s="113">
        <f>$R$4+($R$3/12)</f>
        <v>2016.5</v>
      </c>
      <c r="AM232" s="113">
        <f>$J232+(($K232-1)/12)</f>
        <v>-8.3333333333333329E-2</v>
      </c>
    </row>
    <row r="233" spans="1:39" x14ac:dyDescent="0.25">
      <c r="A233">
        <v>238</v>
      </c>
      <c r="B233" t="s">
        <v>609</v>
      </c>
      <c r="D233" s="34">
        <v>2016</v>
      </c>
      <c r="E233" s="34">
        <v>6</v>
      </c>
      <c r="F233" s="75"/>
      <c r="G233" s="34" t="s">
        <v>433</v>
      </c>
      <c r="H233" s="34">
        <v>10</v>
      </c>
      <c r="I233">
        <f>+D233+H233</f>
        <v>2026</v>
      </c>
      <c r="L233" s="53" t="s">
        <v>788</v>
      </c>
      <c r="M233" s="53" t="s">
        <v>788</v>
      </c>
      <c r="N233" s="53" t="s">
        <v>788</v>
      </c>
      <c r="O233" s="53" t="s">
        <v>788</v>
      </c>
      <c r="P233" s="110">
        <v>31480</v>
      </c>
      <c r="Q233" s="110"/>
      <c r="R233" s="110">
        <f>+P233-P233*F233</f>
        <v>31480</v>
      </c>
      <c r="S233" s="111">
        <f>R233/H233/12</f>
        <v>262.33333333333331</v>
      </c>
      <c r="T233" s="111">
        <f>IF(Q233&gt;0,0,IF((OR((AF233&gt;AG233),(AH233&lt;AI233))),0,IF((AND((AH233&gt;=AI233),(AH233&lt;=AG233))),S233*((AH233-AI233)*12),IF((AND((AI233&lt;=AF233),(AG233&gt;=AF233))),((AG233-AF233)*12)*S233,IF(AH233&gt;AG233,12*S233,0)))))</f>
        <v>3148</v>
      </c>
      <c r="U233" s="111">
        <f>IF(Q233=0,0,IF((AND((AJ233&gt;=AI233),(AJ233&lt;=AH233))),((AJ233-AI233)*12)*S233,0))</f>
        <v>0</v>
      </c>
      <c r="V233" s="111">
        <f>IF(U233&gt;0,U233,T233)</f>
        <v>3148</v>
      </c>
      <c r="W233" s="112">
        <v>1</v>
      </c>
      <c r="X233" s="111">
        <f>W233*SUM(T233:U233)</f>
        <v>3148</v>
      </c>
      <c r="Y233" s="112"/>
      <c r="Z233" s="111">
        <f>IF(AF233&gt;AG233,0,IF(AH233&lt;AI233,R233,IF((AND((AH233&gt;=AI233),(AH233&lt;=AG233))),(R233-V233),IF((AND((AI233&lt;=AF233),(AG233&gt;=AF233))),0,IF(AH233&gt;AG233,((AI233-AF233)*12)*S233,0)))))</f>
        <v>262.33333333309474</v>
      </c>
      <c r="AA233" s="111">
        <f>Z233*W233</f>
        <v>262.33333333309474</v>
      </c>
      <c r="AB233" s="112">
        <v>1</v>
      </c>
      <c r="AC233" s="111">
        <f>AA233*AB233</f>
        <v>262.33333333309474</v>
      </c>
      <c r="AD233" s="111">
        <f>IF(Q233&gt;0,0,AC233+X233*AB233)*AB233</f>
        <v>3410.3333333330947</v>
      </c>
      <c r="AE233" s="111">
        <f>IF(Q233&gt;0,(P233-AC233)/2,IF(AF233&gt;=AI233,(((P233*W233)*AB233)-AD233)/2,((((P233*W233)*AB233)-AC233)+(((P233*W233)*AB233)-AD233))/2))</f>
        <v>29643.666666666904</v>
      </c>
      <c r="AF233" s="111">
        <f>$D233+(($E233-1)/12)</f>
        <v>2016.4166666666667</v>
      </c>
      <c r="AG233" s="111">
        <f>($R$5+1)-($R$2/12)</f>
        <v>2017.5</v>
      </c>
      <c r="AH233" s="111">
        <f>$I233+(($E233-1)/12)</f>
        <v>2026.4166666666667</v>
      </c>
      <c r="AI233" s="113">
        <f>$R$4+($R$3/12)</f>
        <v>2016.5</v>
      </c>
      <c r="AJ233" s="113">
        <f>$J233+(($K233-1)/12)</f>
        <v>-8.3333333333333329E-2</v>
      </c>
      <c r="AK233" s="113">
        <f>$I233+(($E233-1)/12)</f>
        <v>2026.4166666666667</v>
      </c>
      <c r="AL233" s="113">
        <f>$R$4+($R$3/12)</f>
        <v>2016.5</v>
      </c>
      <c r="AM233" s="113">
        <f>$J233+(($K233-1)/12)</f>
        <v>-8.3333333333333329E-2</v>
      </c>
    </row>
    <row r="234" spans="1:39" x14ac:dyDescent="0.25">
      <c r="B234" t="s">
        <v>756</v>
      </c>
      <c r="D234" s="34">
        <v>2017</v>
      </c>
      <c r="E234" s="34">
        <v>6</v>
      </c>
      <c r="F234" s="75"/>
      <c r="G234" s="34" t="s">
        <v>433</v>
      </c>
      <c r="H234" s="34">
        <v>10</v>
      </c>
      <c r="I234">
        <f>+D234+H234</f>
        <v>2027</v>
      </c>
      <c r="L234" s="53" t="s">
        <v>788</v>
      </c>
      <c r="M234" s="53" t="s">
        <v>788</v>
      </c>
      <c r="N234" s="53" t="s">
        <v>788</v>
      </c>
      <c r="O234" s="53" t="s">
        <v>788</v>
      </c>
      <c r="P234" s="114">
        <v>285505</v>
      </c>
      <c r="Q234" s="114"/>
      <c r="R234" s="114">
        <f>+P234-P234*F234</f>
        <v>285505</v>
      </c>
      <c r="S234" s="115">
        <f>R234/H234/12</f>
        <v>2379.2083333333335</v>
      </c>
      <c r="T234" s="115">
        <f>+P234/10</f>
        <v>28550.5</v>
      </c>
      <c r="U234" s="115">
        <f>IF(Q234=0,0,IF((AND((AJ234&gt;=AI234),(AJ234&lt;=AH234))),((AJ234-AI234)*12)*S234,0))</f>
        <v>0</v>
      </c>
      <c r="V234" s="115">
        <f>IF(U234&gt;0,U234,T234)</f>
        <v>28550.5</v>
      </c>
      <c r="W234" s="116">
        <v>1</v>
      </c>
      <c r="X234" s="115">
        <f>W234*SUM(T234:U234)</f>
        <v>28550.5</v>
      </c>
      <c r="Y234" s="116"/>
      <c r="Z234" s="115">
        <f>IF(AF234&gt;AG234,0,IF(AH234&lt;AI234,R234,IF((AND((AH234&gt;=AI234),(AH234&lt;=AG234))),(R234-V234),IF((AND((AI234&lt;=AF234),(AG234&gt;=AF234))),0,IF(AH234&gt;AG234,((AI234-AF234)*12)*S234,0)))))</f>
        <v>0</v>
      </c>
      <c r="AA234" s="115">
        <f>Z234*W234</f>
        <v>0</v>
      </c>
      <c r="AB234" s="116">
        <v>1</v>
      </c>
      <c r="AC234" s="115">
        <f>AA234*AB234</f>
        <v>0</v>
      </c>
      <c r="AD234" s="115">
        <f>IF(Q234&gt;0,0,AC234+X234*AB234)*AB234</f>
        <v>28550.5</v>
      </c>
      <c r="AE234" s="115">
        <f>+R234-AD234</f>
        <v>256954.5</v>
      </c>
      <c r="AF234" s="111">
        <f>$D234+(($E234-1)/12)</f>
        <v>2017.4166666666667</v>
      </c>
      <c r="AG234" s="111">
        <f>($R$5+1)-($R$2/12)</f>
        <v>2017.5</v>
      </c>
      <c r="AH234" s="111">
        <f>$I234+(($E234-1)/12)</f>
        <v>2027.4166666666667</v>
      </c>
      <c r="AI234" s="113">
        <f>$R$4+($R$3/12)</f>
        <v>2016.5</v>
      </c>
      <c r="AJ234" s="113">
        <f>$J234+(($K234-1)/12)</f>
        <v>-8.3333333333333329E-2</v>
      </c>
      <c r="AK234" s="113">
        <f>$I234+(($E234-1)/12)</f>
        <v>2027.4166666666667</v>
      </c>
      <c r="AL234" s="113">
        <f>$R$4+($R$3/12)</f>
        <v>2016.5</v>
      </c>
      <c r="AM234" s="113">
        <f>$J234+(($K234-1)/12)</f>
        <v>-8.3333333333333329E-2</v>
      </c>
    </row>
    <row r="235" spans="1:39" x14ac:dyDescent="0.25">
      <c r="D235" s="34"/>
      <c r="E235" s="34"/>
      <c r="F235" s="75"/>
      <c r="H235" s="34"/>
      <c r="P235" s="32">
        <f>SUM(P176:P234)</f>
        <v>2064282.1099999999</v>
      </c>
      <c r="Q235" s="32">
        <f>SUM(Q33:Q234)</f>
        <v>0</v>
      </c>
      <c r="R235" s="32">
        <f t="shared" ref="R235:AE235" si="46">SUM(R176:R234)</f>
        <v>1986682.1099999999</v>
      </c>
      <c r="S235" s="32">
        <f t="shared" si="46"/>
        <v>13240.725857142856</v>
      </c>
      <c r="T235" s="32">
        <f t="shared" si="46"/>
        <v>186411.25129761957</v>
      </c>
      <c r="U235" s="32">
        <f t="shared" si="46"/>
        <v>0</v>
      </c>
      <c r="V235" s="32">
        <f t="shared" si="46"/>
        <v>186411.25129761957</v>
      </c>
      <c r="W235" s="32">
        <f t="shared" si="46"/>
        <v>59</v>
      </c>
      <c r="X235" s="32">
        <f t="shared" si="46"/>
        <v>186411.25129761957</v>
      </c>
      <c r="Y235" s="32">
        <f t="shared" si="46"/>
        <v>0</v>
      </c>
      <c r="Z235" s="32">
        <f t="shared" si="46"/>
        <v>599748.00827380351</v>
      </c>
      <c r="AA235" s="32">
        <f t="shared" si="46"/>
        <v>599748.00827380351</v>
      </c>
      <c r="AB235" s="32">
        <f t="shared" si="46"/>
        <v>59</v>
      </c>
      <c r="AC235" s="32">
        <f t="shared" si="46"/>
        <v>599748.00827380351</v>
      </c>
      <c r="AD235" s="32">
        <f t="shared" si="46"/>
        <v>786159.25957142306</v>
      </c>
      <c r="AE235" s="32">
        <f t="shared" si="46"/>
        <v>1357053.2260773871</v>
      </c>
      <c r="AF235" s="107"/>
      <c r="AG235" s="107"/>
      <c r="AH235" s="107"/>
      <c r="AI235" s="108"/>
      <c r="AJ235" s="108"/>
      <c r="AK235" s="108"/>
      <c r="AL235" s="108"/>
      <c r="AM235" s="108"/>
    </row>
    <row r="236" spans="1:39" x14ac:dyDescent="0.25">
      <c r="D236" s="34"/>
      <c r="E236" s="34"/>
      <c r="F236" s="75"/>
      <c r="H236" s="34"/>
      <c r="P236" s="32"/>
      <c r="Q236" s="32"/>
      <c r="R236" s="32"/>
      <c r="S236" s="107"/>
      <c r="T236" s="107"/>
      <c r="U236" s="107"/>
      <c r="V236" s="107"/>
      <c r="W236" s="105"/>
      <c r="X236" s="107"/>
      <c r="Y236" s="105"/>
      <c r="Z236" s="107"/>
      <c r="AA236" s="107"/>
      <c r="AB236" s="105"/>
      <c r="AC236" s="107"/>
      <c r="AD236" s="107"/>
      <c r="AE236" s="107"/>
      <c r="AF236" s="107"/>
      <c r="AG236" s="107"/>
      <c r="AH236" s="107"/>
      <c r="AI236" s="108"/>
      <c r="AJ236" s="108"/>
      <c r="AK236" s="108"/>
      <c r="AL236" s="108"/>
      <c r="AM236" s="108"/>
    </row>
    <row r="237" spans="1:39" x14ac:dyDescent="0.25">
      <c r="D237" s="34"/>
      <c r="E237" s="34"/>
      <c r="H237" s="34"/>
    </row>
    <row r="238" spans="1:39" x14ac:dyDescent="0.25">
      <c r="D238" s="34"/>
      <c r="E238" s="34"/>
      <c r="H238" s="34"/>
      <c r="S238" s="107"/>
      <c r="T238" s="107"/>
      <c r="U238" s="107"/>
      <c r="V238" s="107"/>
      <c r="W238" s="105"/>
      <c r="X238" s="107"/>
      <c r="Y238" s="105"/>
      <c r="Z238" s="107"/>
      <c r="AA238" s="107"/>
      <c r="AB238" s="105"/>
      <c r="AC238" s="107"/>
      <c r="AD238" s="107"/>
      <c r="AE238" s="107"/>
      <c r="AF238" s="107"/>
      <c r="AG238" s="107"/>
      <c r="AH238" s="107"/>
      <c r="AI238" s="108"/>
      <c r="AJ238" s="108"/>
      <c r="AK238" s="108"/>
      <c r="AL238" s="108"/>
      <c r="AM238" s="108"/>
    </row>
    <row r="239" spans="1:39" x14ac:dyDescent="0.25">
      <c r="A239">
        <v>64</v>
      </c>
      <c r="B239" t="s">
        <v>613</v>
      </c>
      <c r="D239" s="34">
        <v>1999</v>
      </c>
      <c r="E239" s="34">
        <v>11</v>
      </c>
      <c r="F239" s="75"/>
      <c r="G239" s="34" t="s">
        <v>433</v>
      </c>
      <c r="H239" s="34">
        <v>7</v>
      </c>
      <c r="I239">
        <f t="shared" ref="I239:I252" si="47">+D239+H239</f>
        <v>2006</v>
      </c>
      <c r="P239" s="32">
        <v>40000</v>
      </c>
      <c r="Q239" s="32"/>
      <c r="R239" s="32">
        <f t="shared" ref="R239:R252" si="48">+P239-P239*F239</f>
        <v>40000</v>
      </c>
      <c r="S239" s="107">
        <f t="shared" ref="S239:S252" si="49">R239/H239/12</f>
        <v>476.1904761904762</v>
      </c>
      <c r="T239" s="107">
        <f t="shared" ref="T239:T252" si="50">IF(Q239&gt;0,0,IF((OR((AF239&gt;AG239),(AH239&lt;AI239))),0,IF((AND((AH239&gt;=AI239),(AH239&lt;=AG239))),S239*((AH239-AI239)*12),IF((AND((AI239&lt;=AF239),(AG239&gt;=AF239))),((AG239-AF239)*12)*S239,IF(AH239&gt;AG239,12*S239,0)))))</f>
        <v>0</v>
      </c>
      <c r="U239" s="107">
        <f t="shared" ref="U239:U252" si="51">IF(Q239=0,0,IF((AND((AJ239&gt;=AI239),(AJ239&lt;=AH239))),((AJ239-AI239)*12)*S239,0))</f>
        <v>0</v>
      </c>
      <c r="V239" s="107">
        <f t="shared" ref="V239:V252" si="52">IF(U239&gt;0,U239,T239)</f>
        <v>0</v>
      </c>
      <c r="W239" s="105">
        <v>1</v>
      </c>
      <c r="X239" s="107">
        <f t="shared" ref="X239:X252" si="53">W239*SUM(T239:U239)</f>
        <v>0</v>
      </c>
      <c r="Y239" s="105"/>
      <c r="Z239" s="107">
        <f t="shared" ref="Z239:Z252" si="54">IF(AF239&gt;AG239,0,IF(AH239&lt;AI239,R239,IF((AND((AH239&gt;=AI239),(AH239&lt;=AG239))),(R239-V239),IF((AND((AI239&lt;=AF239),(AG239&gt;=AF239))),0,IF(AH239&gt;AG239,((AI239-AF239)*12)*S239,0)))))</f>
        <v>40000</v>
      </c>
      <c r="AA239" s="107">
        <f t="shared" ref="AA239:AA252" si="55">Z239*W239</f>
        <v>40000</v>
      </c>
      <c r="AB239" s="105">
        <v>1</v>
      </c>
      <c r="AC239" s="107">
        <f t="shared" ref="AC239:AC252" si="56">AA239*AB239</f>
        <v>40000</v>
      </c>
      <c r="AD239" s="107">
        <f t="shared" ref="AD239:AD252" si="57">IF(Q239&gt;0,0,AC239+X239*AB239)*AB239</f>
        <v>40000</v>
      </c>
      <c r="AE239" s="107">
        <f t="shared" ref="AE239:AE252" si="58">IF(Q239&gt;0,(P239-AC239)/2,IF(AF239&gt;=AI239,(((P239*W239)*AB239)-AD239)/2,((((P239*W239)*AB239)-AC239)+(((P239*W239)*AB239)-AD239))/2))</f>
        <v>0</v>
      </c>
      <c r="AF239" s="107">
        <f t="shared" ref="AF239:AF252" si="59">$D239+(($E239-1)/12)</f>
        <v>1999.8333333333333</v>
      </c>
      <c r="AG239" s="107">
        <f t="shared" ref="AG239:AG252" si="60">($R$5+1)-($R$2/12)</f>
        <v>2017.5</v>
      </c>
      <c r="AH239" s="107">
        <f t="shared" ref="AH239:AH252" si="61">$I239+(($E239-1)/12)</f>
        <v>2006.8333333333333</v>
      </c>
      <c r="AI239" s="108">
        <f t="shared" ref="AI239:AI252" si="62">$R$4+($R$3/12)</f>
        <v>2016.5</v>
      </c>
      <c r="AJ239" s="108">
        <f t="shared" ref="AJ239:AJ252" si="63">$J239+(($K239-1)/12)</f>
        <v>-8.3333333333333329E-2</v>
      </c>
      <c r="AK239" s="108">
        <f t="shared" ref="AK239:AK252" si="64">$I239+(($E239-1)/12)</f>
        <v>2006.8333333333333</v>
      </c>
      <c r="AL239" s="108">
        <f t="shared" ref="AL239:AL252" si="65">$R$4+($R$3/12)</f>
        <v>2016.5</v>
      </c>
      <c r="AM239" s="108">
        <f t="shared" ref="AM239:AM252" si="66">$J239+(($K239-1)/12)</f>
        <v>-8.3333333333333329E-2</v>
      </c>
    </row>
    <row r="240" spans="1:39" x14ac:dyDescent="0.25">
      <c r="A240">
        <v>65</v>
      </c>
      <c r="B240" t="s">
        <v>614</v>
      </c>
      <c r="D240" s="34">
        <v>2000</v>
      </c>
      <c r="E240" s="34">
        <v>6</v>
      </c>
      <c r="F240" s="75"/>
      <c r="G240" s="34" t="s">
        <v>433</v>
      </c>
      <c r="H240" s="34">
        <v>5</v>
      </c>
      <c r="I240">
        <f t="shared" si="47"/>
        <v>2005</v>
      </c>
      <c r="P240" s="32">
        <v>20000</v>
      </c>
      <c r="Q240" s="32"/>
      <c r="R240" s="32">
        <f t="shared" si="48"/>
        <v>20000</v>
      </c>
      <c r="S240" s="107">
        <f t="shared" si="49"/>
        <v>333.33333333333331</v>
      </c>
      <c r="T240" s="107">
        <f t="shared" si="50"/>
        <v>0</v>
      </c>
      <c r="U240" s="107">
        <f t="shared" si="51"/>
        <v>0</v>
      </c>
      <c r="V240" s="107">
        <f t="shared" si="52"/>
        <v>0</v>
      </c>
      <c r="W240" s="105">
        <v>1</v>
      </c>
      <c r="X240" s="107">
        <f t="shared" si="53"/>
        <v>0</v>
      </c>
      <c r="Y240" s="105"/>
      <c r="Z240" s="107">
        <f t="shared" si="54"/>
        <v>20000</v>
      </c>
      <c r="AA240" s="107">
        <f t="shared" si="55"/>
        <v>20000</v>
      </c>
      <c r="AB240" s="105">
        <v>1</v>
      </c>
      <c r="AC240" s="107">
        <f t="shared" si="56"/>
        <v>20000</v>
      </c>
      <c r="AD240" s="107">
        <f t="shared" si="57"/>
        <v>20000</v>
      </c>
      <c r="AE240" s="107">
        <f t="shared" si="58"/>
        <v>0</v>
      </c>
      <c r="AF240" s="107">
        <f t="shared" si="59"/>
        <v>2000.4166666666667</v>
      </c>
      <c r="AG240" s="107">
        <f t="shared" si="60"/>
        <v>2017.5</v>
      </c>
      <c r="AH240" s="107">
        <f t="shared" si="61"/>
        <v>2005.4166666666667</v>
      </c>
      <c r="AI240" s="108">
        <f t="shared" si="62"/>
        <v>2016.5</v>
      </c>
      <c r="AJ240" s="108">
        <f t="shared" si="63"/>
        <v>-8.3333333333333329E-2</v>
      </c>
      <c r="AK240" s="108">
        <f t="shared" si="64"/>
        <v>2005.4166666666667</v>
      </c>
      <c r="AL240" s="108">
        <f t="shared" si="65"/>
        <v>2016.5</v>
      </c>
      <c r="AM240" s="108">
        <f t="shared" si="66"/>
        <v>-8.3333333333333329E-2</v>
      </c>
    </row>
    <row r="241" spans="1:39" x14ac:dyDescent="0.25">
      <c r="A241">
        <v>66</v>
      </c>
      <c r="B241" t="s">
        <v>615</v>
      </c>
      <c r="D241" s="34">
        <v>2003</v>
      </c>
      <c r="E241" s="34">
        <v>7</v>
      </c>
      <c r="F241" s="75"/>
      <c r="G241" s="34" t="s">
        <v>433</v>
      </c>
      <c r="H241" s="34">
        <v>10</v>
      </c>
      <c r="I241">
        <f t="shared" si="47"/>
        <v>2013</v>
      </c>
      <c r="P241" s="32">
        <v>8000</v>
      </c>
      <c r="Q241" s="32"/>
      <c r="R241" s="32">
        <f t="shared" si="48"/>
        <v>8000</v>
      </c>
      <c r="S241" s="107">
        <f t="shared" si="49"/>
        <v>66.666666666666671</v>
      </c>
      <c r="T241" s="107">
        <f t="shared" si="50"/>
        <v>0</v>
      </c>
      <c r="U241" s="107">
        <f t="shared" si="51"/>
        <v>0</v>
      </c>
      <c r="V241" s="107">
        <f t="shared" si="52"/>
        <v>0</v>
      </c>
      <c r="W241" s="105">
        <v>1</v>
      </c>
      <c r="X241" s="107">
        <f t="shared" si="53"/>
        <v>0</v>
      </c>
      <c r="Y241" s="105"/>
      <c r="Z241" s="107">
        <f t="shared" si="54"/>
        <v>8000</v>
      </c>
      <c r="AA241" s="107">
        <f t="shared" si="55"/>
        <v>8000</v>
      </c>
      <c r="AB241" s="105">
        <v>1</v>
      </c>
      <c r="AC241" s="107">
        <f t="shared" si="56"/>
        <v>8000</v>
      </c>
      <c r="AD241" s="107">
        <f t="shared" si="57"/>
        <v>8000</v>
      </c>
      <c r="AE241" s="107">
        <f t="shared" si="58"/>
        <v>0</v>
      </c>
      <c r="AF241" s="107">
        <f t="shared" si="59"/>
        <v>2003.5</v>
      </c>
      <c r="AG241" s="107">
        <f t="shared" si="60"/>
        <v>2017.5</v>
      </c>
      <c r="AH241" s="107">
        <f t="shared" si="61"/>
        <v>2013.5</v>
      </c>
      <c r="AI241" s="108">
        <f t="shared" si="62"/>
        <v>2016.5</v>
      </c>
      <c r="AJ241" s="108">
        <f t="shared" si="63"/>
        <v>-8.3333333333333329E-2</v>
      </c>
      <c r="AK241" s="108">
        <f t="shared" si="64"/>
        <v>2013.5</v>
      </c>
      <c r="AL241" s="108">
        <f t="shared" si="65"/>
        <v>2016.5</v>
      </c>
      <c r="AM241" s="108">
        <f t="shared" si="66"/>
        <v>-8.3333333333333329E-2</v>
      </c>
    </row>
    <row r="242" spans="1:39" x14ac:dyDescent="0.25">
      <c r="A242">
        <v>67</v>
      </c>
      <c r="B242" t="s">
        <v>616</v>
      </c>
      <c r="D242" s="34">
        <v>2003</v>
      </c>
      <c r="E242" s="34">
        <v>8</v>
      </c>
      <c r="F242" s="75"/>
      <c r="G242" s="34" t="s">
        <v>433</v>
      </c>
      <c r="H242" s="34">
        <v>7</v>
      </c>
      <c r="I242">
        <f t="shared" si="47"/>
        <v>2010</v>
      </c>
      <c r="P242" s="32">
        <v>6000</v>
      </c>
      <c r="Q242" s="32"/>
      <c r="R242" s="32">
        <f t="shared" si="48"/>
        <v>6000</v>
      </c>
      <c r="S242" s="107">
        <f t="shared" si="49"/>
        <v>71.428571428571431</v>
      </c>
      <c r="T242" s="107">
        <f t="shared" si="50"/>
        <v>0</v>
      </c>
      <c r="U242" s="107">
        <f t="shared" si="51"/>
        <v>0</v>
      </c>
      <c r="V242" s="107">
        <f t="shared" si="52"/>
        <v>0</v>
      </c>
      <c r="W242" s="105">
        <v>1</v>
      </c>
      <c r="X242" s="107">
        <f t="shared" si="53"/>
        <v>0</v>
      </c>
      <c r="Y242" s="105"/>
      <c r="Z242" s="107">
        <f t="shared" si="54"/>
        <v>6000</v>
      </c>
      <c r="AA242" s="107">
        <f t="shared" si="55"/>
        <v>6000</v>
      </c>
      <c r="AB242" s="105">
        <v>1</v>
      </c>
      <c r="AC242" s="107">
        <f t="shared" si="56"/>
        <v>6000</v>
      </c>
      <c r="AD242" s="107">
        <f t="shared" si="57"/>
        <v>6000</v>
      </c>
      <c r="AE242" s="107">
        <f t="shared" si="58"/>
        <v>0</v>
      </c>
      <c r="AF242" s="107">
        <f t="shared" si="59"/>
        <v>2003.5833333333333</v>
      </c>
      <c r="AG242" s="107">
        <f t="shared" si="60"/>
        <v>2017.5</v>
      </c>
      <c r="AH242" s="107">
        <f t="shared" si="61"/>
        <v>2010.5833333333333</v>
      </c>
      <c r="AI242" s="108">
        <f t="shared" si="62"/>
        <v>2016.5</v>
      </c>
      <c r="AJ242" s="108">
        <f t="shared" si="63"/>
        <v>-8.3333333333333329E-2</v>
      </c>
      <c r="AK242" s="108">
        <f t="shared" si="64"/>
        <v>2010.5833333333333</v>
      </c>
      <c r="AL242" s="108">
        <f t="shared" si="65"/>
        <v>2016.5</v>
      </c>
      <c r="AM242" s="108">
        <f t="shared" si="66"/>
        <v>-8.3333333333333329E-2</v>
      </c>
    </row>
    <row r="243" spans="1:39" x14ac:dyDescent="0.25">
      <c r="A243">
        <v>144</v>
      </c>
      <c r="B243" t="s">
        <v>617</v>
      </c>
      <c r="D243" s="34">
        <v>2012</v>
      </c>
      <c r="E243" s="34">
        <v>12</v>
      </c>
      <c r="F243" s="75"/>
      <c r="G243" s="34" t="s">
        <v>433</v>
      </c>
      <c r="H243" s="34">
        <v>7</v>
      </c>
      <c r="I243">
        <f t="shared" si="47"/>
        <v>2019</v>
      </c>
      <c r="P243" s="32">
        <v>33551</v>
      </c>
      <c r="Q243" s="32"/>
      <c r="R243" s="32">
        <f t="shared" si="48"/>
        <v>33551</v>
      </c>
      <c r="S243" s="107">
        <f t="shared" si="49"/>
        <v>399.41666666666669</v>
      </c>
      <c r="T243" s="107">
        <f t="shared" si="50"/>
        <v>4793</v>
      </c>
      <c r="U243" s="107">
        <f t="shared" si="51"/>
        <v>0</v>
      </c>
      <c r="V243" s="107">
        <f t="shared" si="52"/>
        <v>4793</v>
      </c>
      <c r="W243" s="105">
        <v>1</v>
      </c>
      <c r="X243" s="107">
        <f t="shared" si="53"/>
        <v>4793</v>
      </c>
      <c r="Y243" s="105"/>
      <c r="Z243" s="107">
        <f t="shared" si="54"/>
        <v>17174.916666666304</v>
      </c>
      <c r="AA243" s="107">
        <f t="shared" si="55"/>
        <v>17174.916666666304</v>
      </c>
      <c r="AB243" s="105">
        <v>1</v>
      </c>
      <c r="AC243" s="107">
        <f t="shared" si="56"/>
        <v>17174.916666666304</v>
      </c>
      <c r="AD243" s="107">
        <f t="shared" si="57"/>
        <v>21967.916666666304</v>
      </c>
      <c r="AE243" s="107">
        <f t="shared" si="58"/>
        <v>13979.583333333696</v>
      </c>
      <c r="AF243" s="107">
        <f t="shared" si="59"/>
        <v>2012.9166666666667</v>
      </c>
      <c r="AG243" s="107">
        <f t="shared" si="60"/>
        <v>2017.5</v>
      </c>
      <c r="AH243" s="107">
        <f t="shared" si="61"/>
        <v>2019.9166666666667</v>
      </c>
      <c r="AI243" s="108">
        <f t="shared" si="62"/>
        <v>2016.5</v>
      </c>
      <c r="AJ243" s="108">
        <f t="shared" si="63"/>
        <v>-8.3333333333333329E-2</v>
      </c>
      <c r="AK243" s="108">
        <f t="shared" si="64"/>
        <v>2019.9166666666667</v>
      </c>
      <c r="AL243" s="108">
        <f t="shared" si="65"/>
        <v>2016.5</v>
      </c>
      <c r="AM243" s="108">
        <f t="shared" si="66"/>
        <v>-8.3333333333333329E-2</v>
      </c>
    </row>
    <row r="244" spans="1:39" x14ac:dyDescent="0.25">
      <c r="A244">
        <v>145</v>
      </c>
      <c r="B244" t="s">
        <v>618</v>
      </c>
      <c r="D244" s="34">
        <v>2012</v>
      </c>
      <c r="E244" s="34">
        <v>10</v>
      </c>
      <c r="F244" s="75"/>
      <c r="G244" s="34" t="s">
        <v>433</v>
      </c>
      <c r="H244" s="34">
        <v>7</v>
      </c>
      <c r="I244">
        <f t="shared" si="47"/>
        <v>2019</v>
      </c>
      <c r="P244" s="32">
        <v>38645</v>
      </c>
      <c r="Q244" s="32"/>
      <c r="R244" s="32">
        <f t="shared" si="48"/>
        <v>38645</v>
      </c>
      <c r="S244" s="107">
        <f t="shared" si="49"/>
        <v>460.0595238095238</v>
      </c>
      <c r="T244" s="107">
        <f t="shared" si="50"/>
        <v>5520.7142857142853</v>
      </c>
      <c r="U244" s="107">
        <f t="shared" si="51"/>
        <v>0</v>
      </c>
      <c r="V244" s="107">
        <f t="shared" si="52"/>
        <v>5520.7142857142853</v>
      </c>
      <c r="W244" s="105">
        <v>1</v>
      </c>
      <c r="X244" s="107">
        <f t="shared" si="53"/>
        <v>5520.7142857142853</v>
      </c>
      <c r="Y244" s="105"/>
      <c r="Z244" s="107">
        <f t="shared" si="54"/>
        <v>20702.678571428572</v>
      </c>
      <c r="AA244" s="107">
        <f t="shared" si="55"/>
        <v>20702.678571428572</v>
      </c>
      <c r="AB244" s="105">
        <v>1</v>
      </c>
      <c r="AC244" s="107">
        <f t="shared" si="56"/>
        <v>20702.678571428572</v>
      </c>
      <c r="AD244" s="107">
        <f t="shared" si="57"/>
        <v>26223.392857142859</v>
      </c>
      <c r="AE244" s="107">
        <f t="shared" si="58"/>
        <v>15181.964285714284</v>
      </c>
      <c r="AF244" s="107">
        <f t="shared" si="59"/>
        <v>2012.75</v>
      </c>
      <c r="AG244" s="107">
        <f t="shared" si="60"/>
        <v>2017.5</v>
      </c>
      <c r="AH244" s="107">
        <f t="shared" si="61"/>
        <v>2019.75</v>
      </c>
      <c r="AI244" s="108">
        <f t="shared" si="62"/>
        <v>2016.5</v>
      </c>
      <c r="AJ244" s="108">
        <f t="shared" si="63"/>
        <v>-8.3333333333333329E-2</v>
      </c>
      <c r="AK244" s="108">
        <f t="shared" si="64"/>
        <v>2019.75</v>
      </c>
      <c r="AL244" s="108">
        <f t="shared" si="65"/>
        <v>2016.5</v>
      </c>
      <c r="AM244" s="108">
        <f t="shared" si="66"/>
        <v>-8.3333333333333329E-2</v>
      </c>
    </row>
    <row r="245" spans="1:39" x14ac:dyDescent="0.25">
      <c r="A245">
        <v>102</v>
      </c>
      <c r="B245" t="s">
        <v>619</v>
      </c>
      <c r="D245" s="34">
        <v>1973</v>
      </c>
      <c r="E245" s="34">
        <v>2</v>
      </c>
      <c r="F245" s="75"/>
      <c r="G245" s="34" t="s">
        <v>433</v>
      </c>
      <c r="H245" s="34">
        <v>5</v>
      </c>
      <c r="I245">
        <f t="shared" si="47"/>
        <v>1978</v>
      </c>
      <c r="P245" s="32">
        <v>2373</v>
      </c>
      <c r="Q245" s="32"/>
      <c r="R245" s="32">
        <f t="shared" si="48"/>
        <v>2373</v>
      </c>
      <c r="S245" s="107">
        <f t="shared" si="49"/>
        <v>39.550000000000004</v>
      </c>
      <c r="T245" s="107">
        <f t="shared" si="50"/>
        <v>0</v>
      </c>
      <c r="U245" s="107">
        <f t="shared" si="51"/>
        <v>0</v>
      </c>
      <c r="V245" s="107">
        <f t="shared" si="52"/>
        <v>0</v>
      </c>
      <c r="W245" s="105">
        <v>1</v>
      </c>
      <c r="X245" s="107">
        <f t="shared" si="53"/>
        <v>0</v>
      </c>
      <c r="Y245" s="105"/>
      <c r="Z245" s="107">
        <f t="shared" si="54"/>
        <v>2373</v>
      </c>
      <c r="AA245" s="107">
        <f t="shared" si="55"/>
        <v>2373</v>
      </c>
      <c r="AB245" s="105">
        <v>1</v>
      </c>
      <c r="AC245" s="107">
        <f t="shared" si="56"/>
        <v>2373</v>
      </c>
      <c r="AD245" s="107">
        <f t="shared" si="57"/>
        <v>2373</v>
      </c>
      <c r="AE245" s="107">
        <f t="shared" si="58"/>
        <v>0</v>
      </c>
      <c r="AF245" s="107">
        <f t="shared" si="59"/>
        <v>1973.0833333333333</v>
      </c>
      <c r="AG245" s="107">
        <f t="shared" si="60"/>
        <v>2017.5</v>
      </c>
      <c r="AH245" s="107">
        <f t="shared" si="61"/>
        <v>1978.0833333333333</v>
      </c>
      <c r="AI245" s="108">
        <f t="shared" si="62"/>
        <v>2016.5</v>
      </c>
      <c r="AJ245" s="108">
        <f t="shared" si="63"/>
        <v>-8.3333333333333329E-2</v>
      </c>
      <c r="AK245" s="108">
        <f t="shared" si="64"/>
        <v>1978.0833333333333</v>
      </c>
      <c r="AL245" s="108">
        <f t="shared" si="65"/>
        <v>2016.5</v>
      </c>
      <c r="AM245" s="108">
        <f t="shared" si="66"/>
        <v>-8.3333333333333329E-2</v>
      </c>
    </row>
    <row r="246" spans="1:39" x14ac:dyDescent="0.25">
      <c r="A246">
        <v>103</v>
      </c>
      <c r="B246" t="s">
        <v>613</v>
      </c>
      <c r="D246" s="34">
        <v>2009</v>
      </c>
      <c r="E246" s="34">
        <v>1</v>
      </c>
      <c r="F246" s="75"/>
      <c r="G246" s="34" t="s">
        <v>433</v>
      </c>
      <c r="H246" s="34">
        <v>7</v>
      </c>
      <c r="I246">
        <f t="shared" si="47"/>
        <v>2016</v>
      </c>
      <c r="P246" s="32">
        <v>30000</v>
      </c>
      <c r="Q246" s="32"/>
      <c r="R246" s="32">
        <f t="shared" si="48"/>
        <v>30000</v>
      </c>
      <c r="S246" s="107">
        <f t="shared" si="49"/>
        <v>357.14285714285711</v>
      </c>
      <c r="T246" s="107">
        <f t="shared" si="50"/>
        <v>0</v>
      </c>
      <c r="U246" s="107">
        <f t="shared" si="51"/>
        <v>0</v>
      </c>
      <c r="V246" s="107">
        <f t="shared" si="52"/>
        <v>0</v>
      </c>
      <c r="W246" s="105">
        <v>1</v>
      </c>
      <c r="X246" s="107">
        <f t="shared" si="53"/>
        <v>0</v>
      </c>
      <c r="Y246" s="105"/>
      <c r="Z246" s="107">
        <f t="shared" si="54"/>
        <v>30000</v>
      </c>
      <c r="AA246" s="107">
        <f t="shared" si="55"/>
        <v>30000</v>
      </c>
      <c r="AB246" s="105">
        <v>1</v>
      </c>
      <c r="AC246" s="107">
        <f t="shared" si="56"/>
        <v>30000</v>
      </c>
      <c r="AD246" s="107">
        <f t="shared" si="57"/>
        <v>30000</v>
      </c>
      <c r="AE246" s="107">
        <f t="shared" si="58"/>
        <v>0</v>
      </c>
      <c r="AF246" s="107">
        <f t="shared" si="59"/>
        <v>2009</v>
      </c>
      <c r="AG246" s="107">
        <f t="shared" si="60"/>
        <v>2017.5</v>
      </c>
      <c r="AH246" s="107">
        <f t="shared" si="61"/>
        <v>2016</v>
      </c>
      <c r="AI246" s="108">
        <f t="shared" si="62"/>
        <v>2016.5</v>
      </c>
      <c r="AJ246" s="108">
        <f t="shared" si="63"/>
        <v>-8.3333333333333329E-2</v>
      </c>
      <c r="AK246" s="108">
        <f t="shared" si="64"/>
        <v>2016</v>
      </c>
      <c r="AL246" s="108">
        <f t="shared" si="65"/>
        <v>2016.5</v>
      </c>
      <c r="AM246" s="108">
        <f t="shared" si="66"/>
        <v>-8.3333333333333329E-2</v>
      </c>
    </row>
    <row r="247" spans="1:39" x14ac:dyDescent="0.25">
      <c r="A247">
        <v>115</v>
      </c>
      <c r="B247" t="s">
        <v>620</v>
      </c>
      <c r="D247" s="34">
        <v>2010</v>
      </c>
      <c r="E247" s="34">
        <v>1</v>
      </c>
      <c r="F247" s="75"/>
      <c r="G247" s="34" t="s">
        <v>433</v>
      </c>
      <c r="H247" s="34">
        <v>5</v>
      </c>
      <c r="I247">
        <f t="shared" si="47"/>
        <v>2015</v>
      </c>
      <c r="P247" s="32">
        <v>4332</v>
      </c>
      <c r="Q247" s="32"/>
      <c r="R247" s="32">
        <f t="shared" si="48"/>
        <v>4332</v>
      </c>
      <c r="S247" s="107">
        <f t="shared" si="49"/>
        <v>72.2</v>
      </c>
      <c r="T247" s="107">
        <f t="shared" si="50"/>
        <v>0</v>
      </c>
      <c r="U247" s="107">
        <f t="shared" si="51"/>
        <v>0</v>
      </c>
      <c r="V247" s="107">
        <f t="shared" si="52"/>
        <v>0</v>
      </c>
      <c r="W247" s="105">
        <v>1</v>
      </c>
      <c r="X247" s="107">
        <f t="shared" si="53"/>
        <v>0</v>
      </c>
      <c r="Y247" s="105"/>
      <c r="Z247" s="107">
        <f t="shared" si="54"/>
        <v>4332</v>
      </c>
      <c r="AA247" s="107">
        <f t="shared" si="55"/>
        <v>4332</v>
      </c>
      <c r="AB247" s="105">
        <v>1</v>
      </c>
      <c r="AC247" s="107">
        <f t="shared" si="56"/>
        <v>4332</v>
      </c>
      <c r="AD247" s="107">
        <f t="shared" si="57"/>
        <v>4332</v>
      </c>
      <c r="AE247" s="107">
        <f t="shared" si="58"/>
        <v>0</v>
      </c>
      <c r="AF247" s="107">
        <f t="shared" si="59"/>
        <v>2010</v>
      </c>
      <c r="AG247" s="107">
        <f t="shared" si="60"/>
        <v>2017.5</v>
      </c>
      <c r="AH247" s="107">
        <f t="shared" si="61"/>
        <v>2015</v>
      </c>
      <c r="AI247" s="108">
        <f t="shared" si="62"/>
        <v>2016.5</v>
      </c>
      <c r="AJ247" s="108">
        <f t="shared" si="63"/>
        <v>-8.3333333333333329E-2</v>
      </c>
      <c r="AK247" s="108">
        <f t="shared" si="64"/>
        <v>2015</v>
      </c>
      <c r="AL247" s="108">
        <f t="shared" si="65"/>
        <v>2016.5</v>
      </c>
      <c r="AM247" s="108">
        <f t="shared" si="66"/>
        <v>-8.3333333333333329E-2</v>
      </c>
    </row>
    <row r="248" spans="1:39" x14ac:dyDescent="0.25">
      <c r="A248">
        <v>116</v>
      </c>
      <c r="B248" t="s">
        <v>621</v>
      </c>
      <c r="D248" s="34">
        <v>2010</v>
      </c>
      <c r="E248" s="34">
        <v>7</v>
      </c>
      <c r="F248" s="75"/>
      <c r="G248" s="34" t="s">
        <v>433</v>
      </c>
      <c r="H248" s="34">
        <v>5</v>
      </c>
      <c r="I248">
        <f t="shared" si="47"/>
        <v>2015</v>
      </c>
      <c r="P248" s="32">
        <v>60879</v>
      </c>
      <c r="Q248" s="32"/>
      <c r="R248" s="32">
        <f t="shared" si="48"/>
        <v>60879</v>
      </c>
      <c r="S248" s="107">
        <f t="shared" si="49"/>
        <v>1014.65</v>
      </c>
      <c r="T248" s="107">
        <f t="shared" si="50"/>
        <v>0</v>
      </c>
      <c r="U248" s="107">
        <f t="shared" si="51"/>
        <v>0</v>
      </c>
      <c r="V248" s="107">
        <f t="shared" si="52"/>
        <v>0</v>
      </c>
      <c r="W248" s="105">
        <v>1</v>
      </c>
      <c r="X248" s="107">
        <f t="shared" si="53"/>
        <v>0</v>
      </c>
      <c r="Y248" s="105"/>
      <c r="Z248" s="107">
        <f t="shared" si="54"/>
        <v>60879</v>
      </c>
      <c r="AA248" s="107">
        <f t="shared" si="55"/>
        <v>60879</v>
      </c>
      <c r="AB248" s="105">
        <v>1</v>
      </c>
      <c r="AC248" s="107">
        <f t="shared" si="56"/>
        <v>60879</v>
      </c>
      <c r="AD248" s="107">
        <f t="shared" si="57"/>
        <v>60879</v>
      </c>
      <c r="AE248" s="107">
        <f t="shared" si="58"/>
        <v>0</v>
      </c>
      <c r="AF248" s="107">
        <f t="shared" si="59"/>
        <v>2010.5</v>
      </c>
      <c r="AG248" s="107">
        <f t="shared" si="60"/>
        <v>2017.5</v>
      </c>
      <c r="AH248" s="107">
        <f t="shared" si="61"/>
        <v>2015.5</v>
      </c>
      <c r="AI248" s="108">
        <f t="shared" si="62"/>
        <v>2016.5</v>
      </c>
      <c r="AJ248" s="108">
        <f t="shared" si="63"/>
        <v>-8.3333333333333329E-2</v>
      </c>
      <c r="AK248" s="108">
        <f t="shared" si="64"/>
        <v>2015.5</v>
      </c>
      <c r="AL248" s="108">
        <f t="shared" si="65"/>
        <v>2016.5</v>
      </c>
      <c r="AM248" s="108">
        <f t="shared" si="66"/>
        <v>-8.3333333333333329E-2</v>
      </c>
    </row>
    <row r="249" spans="1:39" x14ac:dyDescent="0.25">
      <c r="A249">
        <v>182</v>
      </c>
      <c r="B249" t="s">
        <v>622</v>
      </c>
      <c r="D249" s="34">
        <v>2013</v>
      </c>
      <c r="E249" s="34">
        <v>4</v>
      </c>
      <c r="F249" s="75"/>
      <c r="G249" s="34" t="s">
        <v>433</v>
      </c>
      <c r="H249" s="34">
        <v>10</v>
      </c>
      <c r="I249">
        <f t="shared" si="47"/>
        <v>2023</v>
      </c>
      <c r="P249" s="32">
        <v>3500</v>
      </c>
      <c r="Q249" s="32"/>
      <c r="R249" s="32">
        <f t="shared" si="48"/>
        <v>3500</v>
      </c>
      <c r="S249" s="107">
        <f t="shared" si="49"/>
        <v>29.166666666666668</v>
      </c>
      <c r="T249" s="107">
        <f t="shared" si="50"/>
        <v>350</v>
      </c>
      <c r="U249" s="107">
        <f t="shared" si="51"/>
        <v>0</v>
      </c>
      <c r="V249" s="107">
        <f t="shared" si="52"/>
        <v>350</v>
      </c>
      <c r="W249" s="105">
        <v>1</v>
      </c>
      <c r="X249" s="107">
        <f t="shared" si="53"/>
        <v>350</v>
      </c>
      <c r="Y249" s="105"/>
      <c r="Z249" s="107">
        <f t="shared" si="54"/>
        <v>1137.5</v>
      </c>
      <c r="AA249" s="107">
        <f t="shared" si="55"/>
        <v>1137.5</v>
      </c>
      <c r="AB249" s="105">
        <v>1</v>
      </c>
      <c r="AC249" s="107">
        <f t="shared" si="56"/>
        <v>1137.5</v>
      </c>
      <c r="AD249" s="107">
        <f t="shared" si="57"/>
        <v>1487.5</v>
      </c>
      <c r="AE249" s="107">
        <f t="shared" si="58"/>
        <v>2187.5</v>
      </c>
      <c r="AF249" s="107">
        <f t="shared" si="59"/>
        <v>2013.25</v>
      </c>
      <c r="AG249" s="107">
        <f t="shared" si="60"/>
        <v>2017.5</v>
      </c>
      <c r="AH249" s="107">
        <f t="shared" si="61"/>
        <v>2023.25</v>
      </c>
      <c r="AI249" s="108">
        <f t="shared" si="62"/>
        <v>2016.5</v>
      </c>
      <c r="AJ249" s="108">
        <f t="shared" si="63"/>
        <v>-8.3333333333333329E-2</v>
      </c>
      <c r="AK249" s="108">
        <f t="shared" si="64"/>
        <v>2023.25</v>
      </c>
      <c r="AL249" s="108">
        <f t="shared" si="65"/>
        <v>2016.5</v>
      </c>
      <c r="AM249" s="108">
        <f t="shared" si="66"/>
        <v>-8.3333333333333329E-2</v>
      </c>
    </row>
    <row r="250" spans="1:39" x14ac:dyDescent="0.25">
      <c r="A250">
        <v>176</v>
      </c>
      <c r="B250" t="s">
        <v>623</v>
      </c>
      <c r="D250" s="34">
        <v>2013</v>
      </c>
      <c r="E250" s="34">
        <v>7</v>
      </c>
      <c r="F250" s="75"/>
      <c r="G250" s="34" t="s">
        <v>433</v>
      </c>
      <c r="H250" s="34">
        <v>7</v>
      </c>
      <c r="I250">
        <f t="shared" si="47"/>
        <v>2020</v>
      </c>
      <c r="P250" s="32">
        <v>72413.42</v>
      </c>
      <c r="Q250" s="32"/>
      <c r="R250" s="32">
        <f t="shared" si="48"/>
        <v>72413.42</v>
      </c>
      <c r="S250" s="107">
        <f t="shared" si="49"/>
        <v>862.06452380952385</v>
      </c>
      <c r="T250" s="107">
        <f t="shared" si="50"/>
        <v>10344.774285714286</v>
      </c>
      <c r="U250" s="107">
        <f t="shared" si="51"/>
        <v>0</v>
      </c>
      <c r="V250" s="107">
        <f t="shared" si="52"/>
        <v>10344.774285714286</v>
      </c>
      <c r="W250" s="105">
        <v>1</v>
      </c>
      <c r="X250" s="107">
        <f t="shared" si="53"/>
        <v>10344.774285714286</v>
      </c>
      <c r="Y250" s="105"/>
      <c r="Z250" s="107">
        <f t="shared" si="54"/>
        <v>31034.322857142859</v>
      </c>
      <c r="AA250" s="107">
        <f t="shared" si="55"/>
        <v>31034.322857142859</v>
      </c>
      <c r="AB250" s="105">
        <v>1</v>
      </c>
      <c r="AC250" s="107">
        <f t="shared" si="56"/>
        <v>31034.322857142859</v>
      </c>
      <c r="AD250" s="107">
        <f t="shared" si="57"/>
        <v>41379.097142857143</v>
      </c>
      <c r="AE250" s="107">
        <f t="shared" si="58"/>
        <v>36206.709999999992</v>
      </c>
      <c r="AF250" s="107">
        <f t="shared" si="59"/>
        <v>2013.5</v>
      </c>
      <c r="AG250" s="107">
        <f t="shared" si="60"/>
        <v>2017.5</v>
      </c>
      <c r="AH250" s="107">
        <f t="shared" si="61"/>
        <v>2020.5</v>
      </c>
      <c r="AI250" s="108">
        <f t="shared" si="62"/>
        <v>2016.5</v>
      </c>
      <c r="AJ250" s="108">
        <f t="shared" si="63"/>
        <v>-8.3333333333333329E-2</v>
      </c>
      <c r="AK250" s="108">
        <f t="shared" si="64"/>
        <v>2020.5</v>
      </c>
      <c r="AL250" s="108">
        <f t="shared" si="65"/>
        <v>2016.5</v>
      </c>
      <c r="AM250" s="108">
        <f t="shared" si="66"/>
        <v>-8.3333333333333329E-2</v>
      </c>
    </row>
    <row r="251" spans="1:39" x14ac:dyDescent="0.25">
      <c r="A251">
        <v>205</v>
      </c>
      <c r="B251" t="s">
        <v>624</v>
      </c>
      <c r="D251" s="34">
        <v>2014</v>
      </c>
      <c r="E251" s="34">
        <v>1</v>
      </c>
      <c r="F251" s="75"/>
      <c r="G251" s="34" t="s">
        <v>433</v>
      </c>
      <c r="H251" s="34">
        <v>7</v>
      </c>
      <c r="I251">
        <f t="shared" si="47"/>
        <v>2021</v>
      </c>
      <c r="P251" s="110">
        <v>92650.45</v>
      </c>
      <c r="Q251" s="110"/>
      <c r="R251" s="110">
        <f t="shared" si="48"/>
        <v>92650.45</v>
      </c>
      <c r="S251" s="111">
        <f t="shared" si="49"/>
        <v>1102.9815476190477</v>
      </c>
      <c r="T251" s="111">
        <f t="shared" si="50"/>
        <v>13235.778571428571</v>
      </c>
      <c r="U251" s="111">
        <f t="shared" si="51"/>
        <v>0</v>
      </c>
      <c r="V251" s="111">
        <f t="shared" si="52"/>
        <v>13235.778571428571</v>
      </c>
      <c r="W251" s="112">
        <v>1</v>
      </c>
      <c r="X251" s="111">
        <f t="shared" si="53"/>
        <v>13235.778571428571</v>
      </c>
      <c r="Y251" s="112"/>
      <c r="Z251" s="111">
        <f t="shared" si="54"/>
        <v>33089.446428571428</v>
      </c>
      <c r="AA251" s="111">
        <f t="shared" si="55"/>
        <v>33089.446428571428</v>
      </c>
      <c r="AB251" s="112">
        <v>1</v>
      </c>
      <c r="AC251" s="111">
        <f t="shared" si="56"/>
        <v>33089.446428571428</v>
      </c>
      <c r="AD251" s="111">
        <f t="shared" si="57"/>
        <v>46325.224999999999</v>
      </c>
      <c r="AE251" s="111">
        <f t="shared" si="58"/>
        <v>52943.114285714284</v>
      </c>
      <c r="AF251" s="107">
        <f t="shared" si="59"/>
        <v>2014</v>
      </c>
      <c r="AG251" s="107">
        <f t="shared" si="60"/>
        <v>2017.5</v>
      </c>
      <c r="AH251" s="107">
        <f t="shared" si="61"/>
        <v>2021</v>
      </c>
      <c r="AI251" s="108">
        <f t="shared" si="62"/>
        <v>2016.5</v>
      </c>
      <c r="AJ251" s="108">
        <f t="shared" si="63"/>
        <v>-8.3333333333333329E-2</v>
      </c>
      <c r="AK251" s="108">
        <f t="shared" si="64"/>
        <v>2021</v>
      </c>
      <c r="AL251" s="108">
        <f t="shared" si="65"/>
        <v>2016.5</v>
      </c>
      <c r="AM251" s="108">
        <f t="shared" si="66"/>
        <v>-8.3333333333333329E-2</v>
      </c>
    </row>
    <row r="252" spans="1:39" x14ac:dyDescent="0.25">
      <c r="A252">
        <v>229</v>
      </c>
      <c r="B252" t="s">
        <v>625</v>
      </c>
      <c r="D252" s="34">
        <v>2015</v>
      </c>
      <c r="E252" s="34">
        <v>7</v>
      </c>
      <c r="F252" s="75"/>
      <c r="G252" s="34" t="s">
        <v>433</v>
      </c>
      <c r="H252" s="34">
        <v>7</v>
      </c>
      <c r="I252">
        <f t="shared" si="47"/>
        <v>2022</v>
      </c>
      <c r="P252" s="114">
        <v>46723</v>
      </c>
      <c r="Q252" s="114"/>
      <c r="R252" s="114">
        <f t="shared" si="48"/>
        <v>46723</v>
      </c>
      <c r="S252" s="115">
        <f t="shared" si="49"/>
        <v>556.22619047619048</v>
      </c>
      <c r="T252" s="115">
        <f t="shared" si="50"/>
        <v>6674.7142857142862</v>
      </c>
      <c r="U252" s="115">
        <f t="shared" si="51"/>
        <v>0</v>
      </c>
      <c r="V252" s="115">
        <f t="shared" si="52"/>
        <v>6674.7142857142862</v>
      </c>
      <c r="W252" s="116">
        <v>1</v>
      </c>
      <c r="X252" s="115">
        <f t="shared" si="53"/>
        <v>6674.7142857142862</v>
      </c>
      <c r="Y252" s="116"/>
      <c r="Z252" s="115">
        <f t="shared" si="54"/>
        <v>6674.7142857142862</v>
      </c>
      <c r="AA252" s="115">
        <f t="shared" si="55"/>
        <v>6674.7142857142862</v>
      </c>
      <c r="AB252" s="116">
        <v>1</v>
      </c>
      <c r="AC252" s="115">
        <f t="shared" si="56"/>
        <v>6674.7142857142862</v>
      </c>
      <c r="AD252" s="115">
        <f t="shared" si="57"/>
        <v>13349.428571428572</v>
      </c>
      <c r="AE252" s="115">
        <f t="shared" si="58"/>
        <v>36710.928571428565</v>
      </c>
      <c r="AF252" s="107">
        <f t="shared" si="59"/>
        <v>2015.5</v>
      </c>
      <c r="AG252" s="107">
        <f t="shared" si="60"/>
        <v>2017.5</v>
      </c>
      <c r="AH252" s="107">
        <f t="shared" si="61"/>
        <v>2022.5</v>
      </c>
      <c r="AI252" s="108">
        <f t="shared" si="62"/>
        <v>2016.5</v>
      </c>
      <c r="AJ252" s="108">
        <f t="shared" si="63"/>
        <v>-8.3333333333333329E-2</v>
      </c>
      <c r="AK252" s="108">
        <f t="shared" si="64"/>
        <v>2022.5</v>
      </c>
      <c r="AL252" s="108">
        <f t="shared" si="65"/>
        <v>2016.5</v>
      </c>
      <c r="AM252" s="108">
        <f t="shared" si="66"/>
        <v>-8.3333333333333329E-2</v>
      </c>
    </row>
    <row r="253" spans="1:39" x14ac:dyDescent="0.25">
      <c r="D253" s="34"/>
      <c r="E253" s="34"/>
      <c r="H253" s="34"/>
      <c r="P253" s="32">
        <f>SUM(P239:P252)</f>
        <v>459066.87</v>
      </c>
      <c r="Q253" s="32">
        <f t="shared" ref="Q253:AE253" si="67">SUM(Q239:Q252)</f>
        <v>0</v>
      </c>
      <c r="R253" s="32">
        <f t="shared" si="67"/>
        <v>459066.87</v>
      </c>
      <c r="S253" s="32">
        <f t="shared" si="67"/>
        <v>5841.0770238095238</v>
      </c>
      <c r="T253" s="32">
        <f t="shared" si="67"/>
        <v>40918.981428571424</v>
      </c>
      <c r="U253" s="32">
        <f t="shared" si="67"/>
        <v>0</v>
      </c>
      <c r="V253" s="32">
        <f t="shared" si="67"/>
        <v>40918.981428571424</v>
      </c>
      <c r="W253" s="32">
        <f t="shared" si="67"/>
        <v>14</v>
      </c>
      <c r="X253" s="32">
        <f t="shared" si="67"/>
        <v>40918.981428571424</v>
      </c>
      <c r="Y253" s="32">
        <f t="shared" si="67"/>
        <v>0</v>
      </c>
      <c r="Z253" s="32">
        <f t="shared" si="67"/>
        <v>281397.57880952343</v>
      </c>
      <c r="AA253" s="32">
        <f t="shared" si="67"/>
        <v>281397.57880952343</v>
      </c>
      <c r="AB253" s="32">
        <f t="shared" si="67"/>
        <v>14</v>
      </c>
      <c r="AC253" s="32">
        <f t="shared" si="67"/>
        <v>281397.57880952343</v>
      </c>
      <c r="AD253" s="32">
        <f t="shared" si="67"/>
        <v>322316.56023809488</v>
      </c>
      <c r="AE253" s="32">
        <f t="shared" si="67"/>
        <v>157209.80047619081</v>
      </c>
      <c r="AF253" s="107"/>
      <c r="AG253" s="107"/>
      <c r="AH253" s="107"/>
      <c r="AI253" s="108"/>
      <c r="AJ253" s="108"/>
      <c r="AK253" s="108"/>
      <c r="AL253" s="108"/>
      <c r="AM253" s="108"/>
    </row>
    <row r="254" spans="1:39" x14ac:dyDescent="0.25">
      <c r="D254" s="34"/>
      <c r="E254" s="34"/>
      <c r="H254" s="34"/>
      <c r="S254" s="107"/>
      <c r="T254" s="107"/>
      <c r="U254" s="107"/>
      <c r="V254" s="107"/>
      <c r="W254" s="105"/>
      <c r="X254" s="107"/>
      <c r="Y254" s="105"/>
      <c r="Z254" s="107"/>
      <c r="AA254" s="107"/>
      <c r="AB254" s="105"/>
      <c r="AC254" s="107"/>
      <c r="AD254" s="107"/>
      <c r="AE254" s="107"/>
      <c r="AF254" s="107"/>
      <c r="AG254" s="107"/>
      <c r="AH254" s="107"/>
      <c r="AI254" s="108"/>
      <c r="AJ254" s="108"/>
      <c r="AK254" s="108"/>
      <c r="AL254" s="108"/>
      <c r="AM254" s="108"/>
    </row>
    <row r="255" spans="1:39" x14ac:dyDescent="0.25">
      <c r="D255" s="34"/>
      <c r="E255" s="34"/>
      <c r="H255" s="34"/>
      <c r="S255" s="107"/>
      <c r="T255" s="107"/>
      <c r="U255" s="107"/>
      <c r="V255" s="107"/>
      <c r="W255" s="105"/>
      <c r="X255" s="107"/>
      <c r="Y255" s="105"/>
      <c r="Z255" s="107"/>
      <c r="AA255" s="107"/>
      <c r="AB255" s="105"/>
      <c r="AC255" s="107"/>
      <c r="AD255" s="107"/>
      <c r="AE255" s="107"/>
      <c r="AF255" s="107"/>
      <c r="AG255" s="107"/>
      <c r="AH255" s="107"/>
      <c r="AI255" s="108"/>
      <c r="AJ255" s="108"/>
      <c r="AK255" s="108"/>
      <c r="AL255" s="108"/>
      <c r="AM255" s="108"/>
    </row>
    <row r="256" spans="1:39" x14ac:dyDescent="0.25">
      <c r="A256">
        <v>139</v>
      </c>
      <c r="B256" t="s">
        <v>626</v>
      </c>
      <c r="D256" s="34">
        <v>2011</v>
      </c>
      <c r="E256" s="34">
        <v>4</v>
      </c>
      <c r="F256" s="75"/>
      <c r="G256" s="34" t="s">
        <v>433</v>
      </c>
      <c r="H256" s="34">
        <v>15</v>
      </c>
      <c r="I256">
        <f>+D256+H256</f>
        <v>2026</v>
      </c>
      <c r="P256" s="32">
        <v>4982</v>
      </c>
      <c r="Q256" s="32"/>
      <c r="R256" s="32">
        <f>+P256-P256*F256</f>
        <v>4982</v>
      </c>
      <c r="S256" s="107">
        <f>R256/H256/12</f>
        <v>27.677777777777777</v>
      </c>
      <c r="T256" s="107">
        <f>IF(Q256&gt;0,0,IF((OR((AF256&gt;AG256),(AH256&lt;AI256))),0,IF((AND((AH256&gt;=AI256),(AH256&lt;=AG256))),S256*((AH256-AI256)*12),IF((AND((AI256&lt;=AF256),(AG256&gt;=AF256))),((AG256-AF256)*12)*S256,IF(AH256&gt;AG256,12*S256,0)))))</f>
        <v>332.13333333333333</v>
      </c>
      <c r="U256" s="107">
        <f>IF(Q256=0,0,IF((AND((AJ256&gt;=AI256),(AJ256&lt;=AH256))),((AJ256-AI256)*12)*S256,0))</f>
        <v>0</v>
      </c>
      <c r="V256" s="107">
        <f>IF(U256&gt;0,U256,T256)</f>
        <v>332.13333333333333</v>
      </c>
      <c r="W256" s="105">
        <v>1</v>
      </c>
      <c r="X256" s="107">
        <f>W256*SUM(T256:U256)</f>
        <v>332.13333333333333</v>
      </c>
      <c r="Y256" s="105"/>
      <c r="Z256" s="107">
        <f>IF(AF256&gt;AG256,0,IF(AH256&lt;AI256,R256,IF((AND((AH256&gt;=AI256),(AH256&lt;=AG256))),(R256-V256),IF((AND((AI256&lt;=AF256),(AG256&gt;=AF256))),0,IF(AH256&gt;AG256,((AI256-AF256)*12)*S256,0)))))</f>
        <v>1743.7</v>
      </c>
      <c r="AA256" s="107">
        <f>Z256*W256</f>
        <v>1743.7</v>
      </c>
      <c r="AB256" s="105">
        <v>1</v>
      </c>
      <c r="AC256" s="107">
        <f>AA256*AB256</f>
        <v>1743.7</v>
      </c>
      <c r="AD256" s="107">
        <f>IF(Q256&gt;0,0,AC256+X256*AB256)*AB256</f>
        <v>2075.8333333333335</v>
      </c>
      <c r="AE256" s="107">
        <f>IF(Q256&gt;0,(P256-AC256)/2,IF(AF256&gt;=AI256,(((P256*W256)*AB256)-AD256)/2,((((P256*W256)*AB256)-AC256)+(((P256*W256)*AB256)-AD256))/2))</f>
        <v>3072.2333333333336</v>
      </c>
      <c r="AF256" s="107">
        <f>$D256+(($E256-1)/12)</f>
        <v>2011.25</v>
      </c>
      <c r="AG256" s="107">
        <f>($R$5+1)-($R$2/12)</f>
        <v>2017.5</v>
      </c>
      <c r="AH256" s="107">
        <f>$I256+(($E256-1)/12)</f>
        <v>2026.25</v>
      </c>
      <c r="AI256" s="108">
        <f>$R$4+($R$3/12)</f>
        <v>2016.5</v>
      </c>
      <c r="AJ256" s="108">
        <f>$J256+(($K256-1)/12)</f>
        <v>-8.3333333333333329E-2</v>
      </c>
      <c r="AK256" s="108">
        <f>$I256+(($E256-1)/12)</f>
        <v>2026.25</v>
      </c>
      <c r="AL256" s="108">
        <f>$R$4+($R$3/12)</f>
        <v>2016.5</v>
      </c>
      <c r="AM256" s="108">
        <f>$J256+(($K256-1)/12)</f>
        <v>-8.3333333333333329E-2</v>
      </c>
    </row>
    <row r="257" spans="1:39" x14ac:dyDescent="0.25">
      <c r="A257">
        <v>140</v>
      </c>
      <c r="B257" t="s">
        <v>626</v>
      </c>
      <c r="D257" s="34">
        <v>2011</v>
      </c>
      <c r="E257" s="34">
        <v>7</v>
      </c>
      <c r="F257" s="75"/>
      <c r="G257" s="34" t="s">
        <v>433</v>
      </c>
      <c r="H257" s="34">
        <v>15</v>
      </c>
      <c r="I257">
        <f>+D257+H257</f>
        <v>2026</v>
      </c>
      <c r="P257" s="32">
        <v>251</v>
      </c>
      <c r="Q257" s="32"/>
      <c r="R257" s="32">
        <f>+P257-P257*F257</f>
        <v>251</v>
      </c>
      <c r="S257" s="107">
        <f>R257/H257/12</f>
        <v>1.3944444444444446</v>
      </c>
      <c r="T257" s="107">
        <f>IF(Q257&gt;0,0,IF((OR((AF257&gt;AG257),(AH257&lt;AI257))),0,IF((AND((AH257&gt;=AI257),(AH257&lt;=AG257))),S257*((AH257-AI257)*12),IF((AND((AI257&lt;=AF257),(AG257&gt;=AF257))),((AG257-AF257)*12)*S257,IF(AH257&gt;AG257,12*S257,0)))))</f>
        <v>16.733333333333334</v>
      </c>
      <c r="U257" s="107">
        <f>IF(Q257=0,0,IF((AND((AJ257&gt;=AI257),(AJ257&lt;=AH257))),((AJ257-AI257)*12)*S257,0))</f>
        <v>0</v>
      </c>
      <c r="V257" s="107">
        <f>IF(U257&gt;0,U257,T257)</f>
        <v>16.733333333333334</v>
      </c>
      <c r="W257" s="105">
        <v>1</v>
      </c>
      <c r="X257" s="107">
        <f>W257*SUM(T257:U257)</f>
        <v>16.733333333333334</v>
      </c>
      <c r="Y257" s="105"/>
      <c r="Z257" s="107">
        <f>IF(AF257&gt;AG257,0,IF(AH257&lt;AI257,R257,IF((AND((AH257&gt;=AI257),(AH257&lt;=AG257))),(R257-V257),IF((AND((AI257&lt;=AF257),(AG257&gt;=AF257))),0,IF(AH257&gt;AG257,((AI257-AF257)*12)*S257,0)))))</f>
        <v>83.666666666666671</v>
      </c>
      <c r="AA257" s="107">
        <f>Z257*W257</f>
        <v>83.666666666666671</v>
      </c>
      <c r="AB257" s="105">
        <v>1</v>
      </c>
      <c r="AC257" s="107">
        <f>AA257*AB257</f>
        <v>83.666666666666671</v>
      </c>
      <c r="AD257" s="107">
        <f>IF(Q257&gt;0,0,AC257+X257*AB257)*AB257</f>
        <v>100.4</v>
      </c>
      <c r="AE257" s="107">
        <f>IF(Q257&gt;0,(P257-AC257)/2,IF(AF257&gt;=AI257,(((P257*W257)*AB257)-AD257)/2,((((P257*W257)*AB257)-AC257)+(((P257*W257)*AB257)-AD257))/2))</f>
        <v>158.96666666666664</v>
      </c>
      <c r="AF257" s="107">
        <f>$D257+(($E257-1)/12)</f>
        <v>2011.5</v>
      </c>
      <c r="AG257" s="107">
        <f>($R$5+1)-($R$2/12)</f>
        <v>2017.5</v>
      </c>
      <c r="AH257" s="107">
        <f>$I257+(($E257-1)/12)</f>
        <v>2026.5</v>
      </c>
      <c r="AI257" s="108">
        <f>$R$4+($R$3/12)</f>
        <v>2016.5</v>
      </c>
      <c r="AJ257" s="108">
        <f>$J257+(($K257-1)/12)</f>
        <v>-8.3333333333333329E-2</v>
      </c>
      <c r="AK257" s="108">
        <f>$I257+(($E257-1)/12)</f>
        <v>2026.5</v>
      </c>
      <c r="AL257" s="108">
        <f>$R$4+($R$3/12)</f>
        <v>2016.5</v>
      </c>
      <c r="AM257" s="108">
        <f>$J257+(($K257-1)/12)</f>
        <v>-8.3333333333333329E-2</v>
      </c>
    </row>
    <row r="258" spans="1:39" x14ac:dyDescent="0.25">
      <c r="A258">
        <v>141</v>
      </c>
      <c r="B258" t="s">
        <v>627</v>
      </c>
      <c r="D258" s="34">
        <v>2011</v>
      </c>
      <c r="E258" s="34">
        <v>4</v>
      </c>
      <c r="F258" s="75"/>
      <c r="G258" s="34" t="s">
        <v>433</v>
      </c>
      <c r="H258" s="34">
        <v>15</v>
      </c>
      <c r="I258">
        <f>+D258+H258</f>
        <v>2026</v>
      </c>
      <c r="P258" s="32">
        <v>2000</v>
      </c>
      <c r="Q258" s="32"/>
      <c r="R258" s="32">
        <f>+P258-P258*F258</f>
        <v>2000</v>
      </c>
      <c r="S258" s="107">
        <f>R258/H258/12</f>
        <v>11.111111111111112</v>
      </c>
      <c r="T258" s="107">
        <f>IF(Q258&gt;0,0,IF((OR((AF258&gt;AG258),(AH258&lt;AI258))),0,IF((AND((AH258&gt;=AI258),(AH258&lt;=AG258))),S258*((AH258-AI258)*12),IF((AND((AI258&lt;=AF258),(AG258&gt;=AF258))),((AG258-AF258)*12)*S258,IF(AH258&gt;AG258,12*S258,0)))))</f>
        <v>133.33333333333334</v>
      </c>
      <c r="U258" s="107">
        <f>IF(Q258=0,0,IF((AND((AJ258&gt;=AI258),(AJ258&lt;=AH258))),((AJ258-AI258)*12)*S258,0))</f>
        <v>0</v>
      </c>
      <c r="V258" s="107">
        <f>IF(U258&gt;0,U258,T258)</f>
        <v>133.33333333333334</v>
      </c>
      <c r="W258" s="105">
        <v>1</v>
      </c>
      <c r="X258" s="107">
        <f>W258*SUM(T258:U258)</f>
        <v>133.33333333333334</v>
      </c>
      <c r="Y258" s="105"/>
      <c r="Z258" s="107">
        <f>IF(AF258&gt;AG258,0,IF(AH258&lt;AI258,R258,IF((AND((AH258&gt;=AI258),(AH258&lt;=AG258))),(R258-V258),IF((AND((AI258&lt;=AF258),(AG258&gt;=AF258))),0,IF(AH258&gt;AG258,((AI258-AF258)*12)*S258,0)))))</f>
        <v>700.00000000000011</v>
      </c>
      <c r="AA258" s="107">
        <f>Z258*W258</f>
        <v>700.00000000000011</v>
      </c>
      <c r="AB258" s="105">
        <v>1</v>
      </c>
      <c r="AC258" s="107">
        <f>AA258*AB258</f>
        <v>700.00000000000011</v>
      </c>
      <c r="AD258" s="107">
        <f>IF(Q258&gt;0,0,AC258+X258*AB258)*AB258</f>
        <v>833.33333333333348</v>
      </c>
      <c r="AE258" s="107">
        <f>IF(Q258&gt;0,(P258-AC258)/2,IF(AF258&gt;=AI258,(((P258*W258)*AB258)-AD258)/2,((((P258*W258)*AB258)-AC258)+(((P258*W258)*AB258)-AD258))/2))</f>
        <v>1233.3333333333333</v>
      </c>
      <c r="AF258" s="107">
        <f>$D258+(($E258-1)/12)</f>
        <v>2011.25</v>
      </c>
      <c r="AG258" s="107">
        <f>($R$5+1)-($R$2/12)</f>
        <v>2017.5</v>
      </c>
      <c r="AH258" s="107">
        <f>$I258+(($E258-1)/12)</f>
        <v>2026.25</v>
      </c>
      <c r="AI258" s="108">
        <f>$R$4+($R$3/12)</f>
        <v>2016.5</v>
      </c>
      <c r="AJ258" s="108">
        <f>$J258+(($K258-1)/12)</f>
        <v>-8.3333333333333329E-2</v>
      </c>
      <c r="AK258" s="108">
        <f>$I258+(($E258-1)/12)</f>
        <v>2026.25</v>
      </c>
      <c r="AL258" s="108">
        <f>$R$4+($R$3/12)</f>
        <v>2016.5</v>
      </c>
      <c r="AM258" s="108">
        <f>$J258+(($K258-1)/12)</f>
        <v>-8.3333333333333329E-2</v>
      </c>
    </row>
    <row r="259" spans="1:39" x14ac:dyDescent="0.25">
      <c r="A259">
        <v>169</v>
      </c>
      <c r="B259" t="s">
        <v>628</v>
      </c>
      <c r="D259" s="34">
        <v>2012</v>
      </c>
      <c r="E259" s="34">
        <v>8</v>
      </c>
      <c r="F259" s="75"/>
      <c r="G259" s="34" t="s">
        <v>433</v>
      </c>
      <c r="H259" s="34">
        <v>14</v>
      </c>
      <c r="I259">
        <f>+D259+H259</f>
        <v>2026</v>
      </c>
      <c r="P259" s="32">
        <v>10000</v>
      </c>
      <c r="Q259" s="32"/>
      <c r="R259" s="32">
        <f>+P259-P259*F259</f>
        <v>10000</v>
      </c>
      <c r="S259" s="107">
        <f>R259/H259/12</f>
        <v>59.523809523809526</v>
      </c>
      <c r="T259" s="107">
        <f>IF(Q259&gt;0,0,IF((OR((AF259&gt;AG259),(AH259&lt;AI259))),0,IF((AND((AH259&gt;=AI259),(AH259&lt;=AG259))),S259*((AH259-AI259)*12),IF((AND((AI259&lt;=AF259),(AG259&gt;=AF259))),((AG259-AF259)*12)*S259,IF(AH259&gt;AG259,12*S259,0)))))</f>
        <v>714.28571428571433</v>
      </c>
      <c r="U259" s="107">
        <f>IF(Q259=0,0,IF((AND((AJ259&gt;=AI259),(AJ259&lt;=AH259))),((AJ259-AI259)*12)*S259,0))</f>
        <v>0</v>
      </c>
      <c r="V259" s="107">
        <f>IF(U259&gt;0,U259,T259)</f>
        <v>714.28571428571433</v>
      </c>
      <c r="W259" s="105">
        <v>1</v>
      </c>
      <c r="X259" s="107">
        <f>W259*SUM(T259:U259)</f>
        <v>714.28571428571433</v>
      </c>
      <c r="Y259" s="105"/>
      <c r="Z259" s="107">
        <f>IF(AF259&gt;AG259,0,IF(AH259&lt;AI259,R259,IF((AND((AH259&gt;=AI259),(AH259&lt;=AG259))),(R259-V259),IF((AND((AI259&lt;=AF259),(AG259&gt;=AF259))),0,IF(AH259&gt;AG259,((AI259-AF259)*12)*S259,0)))))</f>
        <v>2797.6190476191018</v>
      </c>
      <c r="AA259" s="107">
        <f>Z259*W259</f>
        <v>2797.6190476191018</v>
      </c>
      <c r="AB259" s="105">
        <v>1</v>
      </c>
      <c r="AC259" s="107">
        <f>AA259*AB259</f>
        <v>2797.6190476191018</v>
      </c>
      <c r="AD259" s="107">
        <f>IF(Q259&gt;0,0,AC259+X259*AB259)*AB259</f>
        <v>3511.904761904816</v>
      </c>
      <c r="AE259" s="107">
        <f>IF(Q259&gt;0,(P259-AC259)/2,IF(AF259&gt;=AI259,(((P259*W259)*AB259)-AD259)/2,((((P259*W259)*AB259)-AC259)+(((P259*W259)*AB259)-AD259))/2))</f>
        <v>6845.2380952380408</v>
      </c>
      <c r="AF259" s="107">
        <f>$D259+(($E259-1)/12)</f>
        <v>2012.5833333333333</v>
      </c>
      <c r="AG259" s="107">
        <f>($R$5+1)-($R$2/12)</f>
        <v>2017.5</v>
      </c>
      <c r="AH259" s="107">
        <f>$I259+(($E259-1)/12)</f>
        <v>2026.5833333333333</v>
      </c>
      <c r="AI259" s="108">
        <f>$R$4+($R$3/12)</f>
        <v>2016.5</v>
      </c>
      <c r="AJ259" s="108">
        <f>$J259+(($K259-1)/12)</f>
        <v>-8.3333333333333329E-2</v>
      </c>
      <c r="AK259" s="108">
        <f>$I259+(($E259-1)/12)</f>
        <v>2026.5833333333333</v>
      </c>
      <c r="AL259" s="108">
        <f>$R$4+($R$3/12)</f>
        <v>2016.5</v>
      </c>
      <c r="AM259" s="108">
        <f>$J259+(($K259-1)/12)</f>
        <v>-8.3333333333333329E-2</v>
      </c>
    </row>
    <row r="260" spans="1:39" x14ac:dyDescent="0.25">
      <c r="A260">
        <v>165</v>
      </c>
      <c r="B260" t="s">
        <v>629</v>
      </c>
      <c r="D260" s="34">
        <v>2012</v>
      </c>
      <c r="E260" s="34">
        <v>10</v>
      </c>
      <c r="F260" s="75"/>
      <c r="G260" s="34" t="s">
        <v>433</v>
      </c>
      <c r="H260" s="34">
        <v>14</v>
      </c>
      <c r="I260">
        <f>+D260+H260</f>
        <v>2026</v>
      </c>
      <c r="P260" s="110">
        <v>1303</v>
      </c>
      <c r="Q260" s="110"/>
      <c r="R260" s="110">
        <f>+P260-P260*F260</f>
        <v>1303</v>
      </c>
      <c r="S260" s="111">
        <f>R260/H260/12</f>
        <v>7.7559523809523805</v>
      </c>
      <c r="T260" s="111">
        <f>IF(Q260&gt;0,0,IF((OR((AF260&gt;AG260),(AH260&lt;AI260))),0,IF((AND((AH260&gt;=AI260),(AH260&lt;=AG260))),S260*((AH260-AI260)*12),IF((AND((AI260&lt;=AF260),(AG260&gt;=AF260))),((AG260-AF260)*12)*S260,IF(AH260&gt;AG260,12*S260,0)))))</f>
        <v>93.071428571428569</v>
      </c>
      <c r="U260" s="111">
        <f>IF(Q260=0,0,IF((AND((AJ260&gt;=AI260),(AJ260&lt;=AH260))),((AJ260-AI260)*12)*S260,0))</f>
        <v>0</v>
      </c>
      <c r="V260" s="111">
        <f>IF(U260&gt;0,U260,T260)</f>
        <v>93.071428571428569</v>
      </c>
      <c r="W260" s="112">
        <v>1</v>
      </c>
      <c r="X260" s="111">
        <f>W260*SUM(T260:U260)</f>
        <v>93.071428571428569</v>
      </c>
      <c r="Y260" s="112"/>
      <c r="Z260" s="111">
        <f>IF(AF260&gt;AG260,0,IF(AH260&lt;AI260,R260,IF((AND((AH260&gt;=AI260),(AH260&lt;=AG260))),(R260-V260),IF((AND((AI260&lt;=AF260),(AG260&gt;=AF260))),0,IF(AH260&gt;AG260,((AI260-AF260)*12)*S260,0)))))</f>
        <v>349.01785714285711</v>
      </c>
      <c r="AA260" s="111">
        <f>Z260*W260</f>
        <v>349.01785714285711</v>
      </c>
      <c r="AB260" s="112">
        <v>1</v>
      </c>
      <c r="AC260" s="111">
        <f>AA260*AB260</f>
        <v>349.01785714285711</v>
      </c>
      <c r="AD260" s="111">
        <f>IF(Q260&gt;0,0,AC260+X260*AB260)*AB260</f>
        <v>442.08928571428567</v>
      </c>
      <c r="AE260" s="111">
        <f>IF(Q260&gt;0,(P260-AC260)/2,IF(AF260&gt;=AI260,(((P260*W260)*AB260)-AD260)/2,((((P260*W260)*AB260)-AC260)+(((P260*W260)*AB260)-AD260))/2))</f>
        <v>907.44642857142867</v>
      </c>
      <c r="AF260" s="111">
        <f>$D260+(($E260-1)/12)</f>
        <v>2012.75</v>
      </c>
      <c r="AG260" s="111">
        <f>($R$5+1)-($R$2/12)</f>
        <v>2017.5</v>
      </c>
      <c r="AH260" s="111">
        <f>$I260+(($E260-1)/12)</f>
        <v>2026.75</v>
      </c>
      <c r="AI260" s="113">
        <f>$R$4+($R$3/12)</f>
        <v>2016.5</v>
      </c>
      <c r="AJ260" s="113">
        <f>$J260+(($K260-1)/12)</f>
        <v>-8.3333333333333329E-2</v>
      </c>
      <c r="AK260" s="113">
        <f>$I260+(($E260-1)/12)</f>
        <v>2026.75</v>
      </c>
      <c r="AL260" s="113">
        <f>$R$4+($R$3/12)</f>
        <v>2016.5</v>
      </c>
      <c r="AM260" s="113">
        <f>$J260+(($K260-1)/12)</f>
        <v>-8.3333333333333329E-2</v>
      </c>
    </row>
    <row r="261" spans="1:39" x14ac:dyDescent="0.25">
      <c r="A261">
        <v>234</v>
      </c>
      <c r="B261" t="s">
        <v>630</v>
      </c>
      <c r="D261" s="34">
        <v>2015</v>
      </c>
      <c r="E261" s="34">
        <v>4</v>
      </c>
      <c r="F261" s="75"/>
      <c r="G261" s="34" t="s">
        <v>433</v>
      </c>
      <c r="H261" s="34">
        <v>10</v>
      </c>
      <c r="I261">
        <f t="shared" ref="I261:I266" si="68">+D261+H261</f>
        <v>2025</v>
      </c>
      <c r="P261" s="110">
        <v>6179</v>
      </c>
      <c r="Q261" s="110"/>
      <c r="R261" s="110">
        <f t="shared" ref="R261:R266" si="69">+P261-P261*F261</f>
        <v>6179</v>
      </c>
      <c r="S261" s="111">
        <f t="shared" ref="S261:S266" si="70">R261/H261/12</f>
        <v>51.491666666666667</v>
      </c>
      <c r="T261" s="111">
        <f t="shared" ref="T261:T266" si="71">IF(Q261&gt;0,0,IF((OR((AF261&gt;AG261),(AH261&lt;AI261))),0,IF((AND((AH261&gt;=AI261),(AH261&lt;=AG261))),S261*((AH261-AI261)*12),IF((AND((AI261&lt;=AF261),(AG261&gt;=AF261))),((AG261-AF261)*12)*S261,IF(AH261&gt;AG261,12*S261,0)))))</f>
        <v>617.9</v>
      </c>
      <c r="U261" s="111">
        <f t="shared" ref="U261:U266" si="72">IF(Q261=0,0,IF((AND((AJ261&gt;=AI261),(AJ261&lt;=AH261))),((AJ261-AI261)*12)*S261,0))</f>
        <v>0</v>
      </c>
      <c r="V261" s="111">
        <f t="shared" ref="V261:V266" si="73">IF(U261&gt;0,U261,T261)</f>
        <v>617.9</v>
      </c>
      <c r="W261" s="112">
        <v>1</v>
      </c>
      <c r="X261" s="111">
        <f t="shared" ref="X261:X266" si="74">W261*SUM(T261:U261)</f>
        <v>617.9</v>
      </c>
      <c r="Y261" s="112"/>
      <c r="Z261" s="111">
        <f t="shared" ref="Z261:Z266" si="75">IF(AF261&gt;AG261,0,IF(AH261&lt;AI261,R261,IF((AND((AH261&gt;=AI261),(AH261&lt;=AG261))),(R261-V261),IF((AND((AI261&lt;=AF261),(AG261&gt;=AF261))),0,IF(AH261&gt;AG261,((AI261-AF261)*12)*S261,0)))))</f>
        <v>772.375</v>
      </c>
      <c r="AA261" s="111">
        <f t="shared" ref="AA261:AA266" si="76">Z261*W261</f>
        <v>772.375</v>
      </c>
      <c r="AB261" s="112">
        <v>1</v>
      </c>
      <c r="AC261" s="111">
        <f t="shared" ref="AC261:AC266" si="77">AA261*AB261</f>
        <v>772.375</v>
      </c>
      <c r="AD261" s="111">
        <f t="shared" ref="AD261:AD266" si="78">IF(Q261&gt;0,0,AC261+X261*AB261)*AB261</f>
        <v>1390.2750000000001</v>
      </c>
      <c r="AE261" s="111">
        <f t="shared" ref="AE261:AE266" si="79">IF(Q261&gt;0,(P261-AC261)/2,IF(AF261&gt;=AI261,(((P261*W261)*AB261)-AD261)/2,((((P261*W261)*AB261)-AC261)+(((P261*W261)*AB261)-AD261))/2))</f>
        <v>5097.6750000000002</v>
      </c>
      <c r="AF261" s="111">
        <f t="shared" ref="AF261:AF266" si="80">$D261+(($E261-1)/12)</f>
        <v>2015.25</v>
      </c>
      <c r="AG261" s="111">
        <f t="shared" ref="AG261:AG266" si="81">($R$5+1)-($R$2/12)</f>
        <v>2017.5</v>
      </c>
      <c r="AH261" s="111">
        <f t="shared" ref="AH261:AH266" si="82">$I261+(($E261-1)/12)</f>
        <v>2025.25</v>
      </c>
      <c r="AI261" s="113">
        <f t="shared" ref="AI261:AI266" si="83">$R$4+($R$3/12)</f>
        <v>2016.5</v>
      </c>
      <c r="AJ261" s="113">
        <f t="shared" ref="AJ261:AJ266" si="84">$J261+(($K261-1)/12)</f>
        <v>-8.3333333333333329E-2</v>
      </c>
      <c r="AK261" s="113">
        <f t="shared" ref="AK261:AK266" si="85">$I261+(($E261-1)/12)</f>
        <v>2025.25</v>
      </c>
      <c r="AL261" s="113">
        <f t="shared" ref="AL261:AL266" si="86">$R$4+($R$3/12)</f>
        <v>2016.5</v>
      </c>
      <c r="AM261" s="113">
        <f t="shared" ref="AM261:AM266" si="87">$J261+(($K261-1)/12)</f>
        <v>-8.3333333333333329E-2</v>
      </c>
    </row>
    <row r="262" spans="1:39" x14ac:dyDescent="0.25">
      <c r="A262">
        <v>245</v>
      </c>
      <c r="B262" t="s">
        <v>630</v>
      </c>
      <c r="D262" s="34">
        <v>2016</v>
      </c>
      <c r="E262" s="34">
        <v>4</v>
      </c>
      <c r="F262" s="75"/>
      <c r="G262" s="34" t="s">
        <v>433</v>
      </c>
      <c r="H262" s="34">
        <v>10</v>
      </c>
      <c r="I262">
        <f t="shared" si="68"/>
        <v>2026</v>
      </c>
      <c r="P262" s="110">
        <v>11010</v>
      </c>
      <c r="Q262" s="110"/>
      <c r="R262" s="110">
        <f t="shared" si="69"/>
        <v>11010</v>
      </c>
      <c r="S262" s="111">
        <f t="shared" si="70"/>
        <v>91.75</v>
      </c>
      <c r="T262" s="111">
        <f t="shared" si="71"/>
        <v>1101</v>
      </c>
      <c r="U262" s="111">
        <f t="shared" si="72"/>
        <v>0</v>
      </c>
      <c r="V262" s="111">
        <f t="shared" si="73"/>
        <v>1101</v>
      </c>
      <c r="W262" s="112">
        <v>1</v>
      </c>
      <c r="X262" s="111">
        <f t="shared" si="74"/>
        <v>1101</v>
      </c>
      <c r="Y262" s="112"/>
      <c r="Z262" s="111">
        <f t="shared" si="75"/>
        <v>275.25</v>
      </c>
      <c r="AA262" s="111">
        <f t="shared" si="76"/>
        <v>275.25</v>
      </c>
      <c r="AB262" s="112">
        <v>1</v>
      </c>
      <c r="AC262" s="111">
        <f t="shared" si="77"/>
        <v>275.25</v>
      </c>
      <c r="AD262" s="111">
        <f t="shared" si="78"/>
        <v>1376.25</v>
      </c>
      <c r="AE262" s="111">
        <f t="shared" si="79"/>
        <v>10184.25</v>
      </c>
      <c r="AF262" s="111">
        <f t="shared" si="80"/>
        <v>2016.25</v>
      </c>
      <c r="AG262" s="111">
        <f t="shared" si="81"/>
        <v>2017.5</v>
      </c>
      <c r="AH262" s="111">
        <f t="shared" si="82"/>
        <v>2026.25</v>
      </c>
      <c r="AI262" s="113">
        <f t="shared" si="83"/>
        <v>2016.5</v>
      </c>
      <c r="AJ262" s="113">
        <f t="shared" si="84"/>
        <v>-8.3333333333333329E-2</v>
      </c>
      <c r="AK262" s="113">
        <f t="shared" si="85"/>
        <v>2026.25</v>
      </c>
      <c r="AL262" s="113">
        <f t="shared" si="86"/>
        <v>2016.5</v>
      </c>
      <c r="AM262" s="113">
        <f t="shared" si="87"/>
        <v>-8.3333333333333329E-2</v>
      </c>
    </row>
    <row r="263" spans="1:39" ht="15.75" x14ac:dyDescent="0.25">
      <c r="A263">
        <v>249</v>
      </c>
      <c r="B263" s="117" t="s">
        <v>631</v>
      </c>
      <c r="C263" s="117"/>
      <c r="D263" s="34">
        <v>2016</v>
      </c>
      <c r="E263" s="34">
        <v>4</v>
      </c>
      <c r="F263" s="75"/>
      <c r="G263" s="34" t="s">
        <v>433</v>
      </c>
      <c r="H263" s="34">
        <v>5</v>
      </c>
      <c r="I263">
        <f t="shared" si="68"/>
        <v>2021</v>
      </c>
      <c r="P263" s="110">
        <v>29978</v>
      </c>
      <c r="Q263" s="110"/>
      <c r="R263" s="110">
        <f t="shared" si="69"/>
        <v>29978</v>
      </c>
      <c r="S263" s="111">
        <f t="shared" si="70"/>
        <v>499.63333333333338</v>
      </c>
      <c r="T263" s="111">
        <f t="shared" si="71"/>
        <v>5995.6</v>
      </c>
      <c r="U263" s="111">
        <f t="shared" si="72"/>
        <v>0</v>
      </c>
      <c r="V263" s="111">
        <f t="shared" si="73"/>
        <v>5995.6</v>
      </c>
      <c r="W263" s="112">
        <v>1</v>
      </c>
      <c r="X263" s="111">
        <f t="shared" si="74"/>
        <v>5995.6</v>
      </c>
      <c r="Y263" s="112"/>
      <c r="Z263" s="111">
        <f t="shared" si="75"/>
        <v>1498.9</v>
      </c>
      <c r="AA263" s="111">
        <f t="shared" si="76"/>
        <v>1498.9</v>
      </c>
      <c r="AB263" s="112">
        <v>1</v>
      </c>
      <c r="AC263" s="111">
        <f t="shared" si="77"/>
        <v>1498.9</v>
      </c>
      <c r="AD263" s="111">
        <f t="shared" si="78"/>
        <v>7494.5</v>
      </c>
      <c r="AE263" s="111">
        <f t="shared" si="79"/>
        <v>25481.3</v>
      </c>
      <c r="AF263" s="111">
        <f t="shared" si="80"/>
        <v>2016.25</v>
      </c>
      <c r="AG263" s="111">
        <f t="shared" si="81"/>
        <v>2017.5</v>
      </c>
      <c r="AH263" s="111">
        <f t="shared" si="82"/>
        <v>2021.25</v>
      </c>
      <c r="AI263" s="113">
        <f t="shared" si="83"/>
        <v>2016.5</v>
      </c>
      <c r="AJ263" s="113">
        <f t="shared" si="84"/>
        <v>-8.3333333333333329E-2</v>
      </c>
      <c r="AK263" s="113">
        <f t="shared" si="85"/>
        <v>2021.25</v>
      </c>
      <c r="AL263" s="113">
        <f t="shared" si="86"/>
        <v>2016.5</v>
      </c>
      <c r="AM263" s="113">
        <f t="shared" si="87"/>
        <v>-8.3333333333333329E-2</v>
      </c>
    </row>
    <row r="264" spans="1:39" ht="15.75" x14ac:dyDescent="0.25">
      <c r="A264">
        <v>248</v>
      </c>
      <c r="B264" s="117" t="s">
        <v>632</v>
      </c>
      <c r="C264" s="117"/>
      <c r="D264" s="34">
        <v>2016</v>
      </c>
      <c r="E264" s="34">
        <v>5</v>
      </c>
      <c r="F264" s="75"/>
      <c r="G264" s="34" t="s">
        <v>433</v>
      </c>
      <c r="H264" s="34">
        <v>8</v>
      </c>
      <c r="I264">
        <f t="shared" si="68"/>
        <v>2024</v>
      </c>
      <c r="P264" s="110">
        <v>129406</v>
      </c>
      <c r="Q264" s="110"/>
      <c r="R264" s="110">
        <f t="shared" si="69"/>
        <v>129406</v>
      </c>
      <c r="S264" s="111">
        <f t="shared" si="70"/>
        <v>1347.9791666666667</v>
      </c>
      <c r="T264" s="111">
        <f t="shared" si="71"/>
        <v>16175.75</v>
      </c>
      <c r="U264" s="111">
        <f t="shared" si="72"/>
        <v>0</v>
      </c>
      <c r="V264" s="111">
        <f t="shared" si="73"/>
        <v>16175.75</v>
      </c>
      <c r="W264" s="112">
        <v>1</v>
      </c>
      <c r="X264" s="111">
        <f t="shared" si="74"/>
        <v>16175.75</v>
      </c>
      <c r="Y264" s="112"/>
      <c r="Z264" s="111">
        <f t="shared" si="75"/>
        <v>2695.9583333345595</v>
      </c>
      <c r="AA264" s="111">
        <f t="shared" si="76"/>
        <v>2695.9583333345595</v>
      </c>
      <c r="AB264" s="112">
        <v>1</v>
      </c>
      <c r="AC264" s="111">
        <f t="shared" si="77"/>
        <v>2695.9583333345595</v>
      </c>
      <c r="AD264" s="111">
        <f t="shared" si="78"/>
        <v>18871.708333334558</v>
      </c>
      <c r="AE264" s="111">
        <f t="shared" si="79"/>
        <v>118622.16666666543</v>
      </c>
      <c r="AF264" s="111">
        <f t="shared" si="80"/>
        <v>2016.3333333333333</v>
      </c>
      <c r="AG264" s="111">
        <f t="shared" si="81"/>
        <v>2017.5</v>
      </c>
      <c r="AH264" s="111">
        <f t="shared" si="82"/>
        <v>2024.3333333333333</v>
      </c>
      <c r="AI264" s="113">
        <f t="shared" si="83"/>
        <v>2016.5</v>
      </c>
      <c r="AJ264" s="113">
        <f t="shared" si="84"/>
        <v>-8.3333333333333329E-2</v>
      </c>
      <c r="AK264" s="113">
        <f t="shared" si="85"/>
        <v>2024.3333333333333</v>
      </c>
      <c r="AL264" s="113">
        <f t="shared" si="86"/>
        <v>2016.5</v>
      </c>
      <c r="AM264" s="113">
        <f t="shared" si="87"/>
        <v>-8.3333333333333329E-2</v>
      </c>
    </row>
    <row r="265" spans="1:39" x14ac:dyDescent="0.25">
      <c r="A265">
        <v>250</v>
      </c>
      <c r="B265" t="s">
        <v>630</v>
      </c>
      <c r="D265" s="34">
        <v>2016</v>
      </c>
      <c r="E265" s="34">
        <v>6</v>
      </c>
      <c r="F265" s="75"/>
      <c r="G265" s="34" t="s">
        <v>433</v>
      </c>
      <c r="H265" s="34">
        <v>10</v>
      </c>
      <c r="I265">
        <f t="shared" si="68"/>
        <v>2026</v>
      </c>
      <c r="P265" s="110">
        <v>9207</v>
      </c>
      <c r="Q265" s="110"/>
      <c r="R265" s="110">
        <f t="shared" si="69"/>
        <v>9207</v>
      </c>
      <c r="S265" s="111">
        <f t="shared" si="70"/>
        <v>76.725000000000009</v>
      </c>
      <c r="T265" s="111">
        <f t="shared" si="71"/>
        <v>920.7</v>
      </c>
      <c r="U265" s="111">
        <f t="shared" si="72"/>
        <v>0</v>
      </c>
      <c r="V265" s="111">
        <f t="shared" si="73"/>
        <v>920.7</v>
      </c>
      <c r="W265" s="112">
        <v>1</v>
      </c>
      <c r="X265" s="111">
        <f t="shared" si="74"/>
        <v>920.7</v>
      </c>
      <c r="Y265" s="112"/>
      <c r="Z265" s="111">
        <f t="shared" si="75"/>
        <v>76.724999999930233</v>
      </c>
      <c r="AA265" s="111">
        <f t="shared" si="76"/>
        <v>76.724999999930233</v>
      </c>
      <c r="AB265" s="112">
        <v>1</v>
      </c>
      <c r="AC265" s="111">
        <f t="shared" si="77"/>
        <v>76.724999999930233</v>
      </c>
      <c r="AD265" s="111">
        <f t="shared" si="78"/>
        <v>997.42499999993026</v>
      </c>
      <c r="AE265" s="111">
        <f t="shared" si="79"/>
        <v>8669.9250000000702</v>
      </c>
      <c r="AF265" s="111">
        <f t="shared" si="80"/>
        <v>2016.4166666666667</v>
      </c>
      <c r="AG265" s="111">
        <f t="shared" si="81"/>
        <v>2017.5</v>
      </c>
      <c r="AH265" s="111">
        <f t="shared" si="82"/>
        <v>2026.4166666666667</v>
      </c>
      <c r="AI265" s="113">
        <f t="shared" si="83"/>
        <v>2016.5</v>
      </c>
      <c r="AJ265" s="113">
        <f t="shared" si="84"/>
        <v>-8.3333333333333329E-2</v>
      </c>
      <c r="AK265" s="113">
        <f t="shared" si="85"/>
        <v>2026.4166666666667</v>
      </c>
      <c r="AL265" s="113">
        <f t="shared" si="86"/>
        <v>2016.5</v>
      </c>
      <c r="AM265" s="113">
        <f t="shared" si="87"/>
        <v>-8.3333333333333329E-2</v>
      </c>
    </row>
    <row r="266" spans="1:39" ht="15.75" x14ac:dyDescent="0.25">
      <c r="A266">
        <v>241</v>
      </c>
      <c r="B266" s="117" t="s">
        <v>631</v>
      </c>
      <c r="C266" s="117"/>
      <c r="D266" s="34">
        <v>2016</v>
      </c>
      <c r="E266" s="34">
        <v>10</v>
      </c>
      <c r="F266" s="75"/>
      <c r="G266" s="34" t="s">
        <v>433</v>
      </c>
      <c r="H266" s="34">
        <v>5</v>
      </c>
      <c r="I266">
        <f t="shared" si="68"/>
        <v>2021</v>
      </c>
      <c r="P266" s="114">
        <v>28158</v>
      </c>
      <c r="Q266" s="114"/>
      <c r="R266" s="114">
        <f t="shared" si="69"/>
        <v>28158</v>
      </c>
      <c r="S266" s="115">
        <f t="shared" si="70"/>
        <v>469.3</v>
      </c>
      <c r="T266" s="115">
        <f t="shared" si="71"/>
        <v>4223.7</v>
      </c>
      <c r="U266" s="115">
        <f t="shared" si="72"/>
        <v>0</v>
      </c>
      <c r="V266" s="115">
        <f t="shared" si="73"/>
        <v>4223.7</v>
      </c>
      <c r="W266" s="116">
        <v>1</v>
      </c>
      <c r="X266" s="115">
        <f t="shared" si="74"/>
        <v>4223.7</v>
      </c>
      <c r="Y266" s="116"/>
      <c r="Z266" s="115">
        <f t="shared" si="75"/>
        <v>0</v>
      </c>
      <c r="AA266" s="115">
        <f t="shared" si="76"/>
        <v>0</v>
      </c>
      <c r="AB266" s="116">
        <v>1</v>
      </c>
      <c r="AC266" s="115">
        <f t="shared" si="77"/>
        <v>0</v>
      </c>
      <c r="AD266" s="115">
        <f t="shared" si="78"/>
        <v>4223.7</v>
      </c>
      <c r="AE266" s="115">
        <f t="shared" si="79"/>
        <v>11967.15</v>
      </c>
      <c r="AF266" s="111">
        <f t="shared" si="80"/>
        <v>2016.75</v>
      </c>
      <c r="AG266" s="111">
        <f t="shared" si="81"/>
        <v>2017.5</v>
      </c>
      <c r="AH266" s="111">
        <f t="shared" si="82"/>
        <v>2021.75</v>
      </c>
      <c r="AI266" s="113">
        <f t="shared" si="83"/>
        <v>2016.5</v>
      </c>
      <c r="AJ266" s="113">
        <f t="shared" si="84"/>
        <v>-8.3333333333333329E-2</v>
      </c>
      <c r="AK266" s="113">
        <f t="shared" si="85"/>
        <v>2021.75</v>
      </c>
      <c r="AL266" s="113">
        <f t="shared" si="86"/>
        <v>2016.5</v>
      </c>
      <c r="AM266" s="113">
        <f t="shared" si="87"/>
        <v>-8.3333333333333329E-2</v>
      </c>
    </row>
    <row r="267" spans="1:39" x14ac:dyDescent="0.25">
      <c r="D267" s="34"/>
      <c r="E267" s="34"/>
      <c r="H267" s="34"/>
      <c r="P267" s="32">
        <f>SUM(P256:P266)</f>
        <v>232474</v>
      </c>
      <c r="Q267" s="32">
        <f t="shared" ref="Q267:AE267" si="88">SUM(Q256:Q266)</f>
        <v>0</v>
      </c>
      <c r="R267" s="32">
        <f t="shared" si="88"/>
        <v>232474</v>
      </c>
      <c r="S267" s="32">
        <f t="shared" si="88"/>
        <v>2644.3422619047619</v>
      </c>
      <c r="T267" s="32">
        <f t="shared" si="88"/>
        <v>30324.207142857143</v>
      </c>
      <c r="U267" s="32">
        <f t="shared" si="88"/>
        <v>0</v>
      </c>
      <c r="V267" s="32">
        <f t="shared" si="88"/>
        <v>30324.207142857143</v>
      </c>
      <c r="W267" s="32">
        <f t="shared" si="88"/>
        <v>11</v>
      </c>
      <c r="X267" s="32">
        <f t="shared" si="88"/>
        <v>30324.207142857143</v>
      </c>
      <c r="Y267" s="32">
        <f t="shared" si="88"/>
        <v>0</v>
      </c>
      <c r="Z267" s="32">
        <f t="shared" si="88"/>
        <v>10993.211904763115</v>
      </c>
      <c r="AA267" s="32">
        <f t="shared" si="88"/>
        <v>10993.211904763115</v>
      </c>
      <c r="AB267" s="32">
        <f t="shared" si="88"/>
        <v>11</v>
      </c>
      <c r="AC267" s="32">
        <f t="shared" si="88"/>
        <v>10993.211904763115</v>
      </c>
      <c r="AD267" s="32">
        <f t="shared" si="88"/>
        <v>41317.419047620257</v>
      </c>
      <c r="AE267" s="32">
        <f t="shared" si="88"/>
        <v>192239.6845238083</v>
      </c>
      <c r="AF267" s="107"/>
      <c r="AG267" s="107"/>
      <c r="AH267" s="107"/>
      <c r="AI267" s="108"/>
      <c r="AJ267" s="108"/>
      <c r="AK267" s="108"/>
      <c r="AL267" s="108"/>
      <c r="AM267" s="108"/>
    </row>
    <row r="268" spans="1:39" x14ac:dyDescent="0.25">
      <c r="D268" s="34"/>
      <c r="E268" s="34"/>
      <c r="H268" s="34"/>
      <c r="S268" s="107"/>
      <c r="T268" s="107"/>
      <c r="U268" s="107"/>
      <c r="V268" s="107"/>
      <c r="W268" s="105"/>
      <c r="X268" s="107"/>
      <c r="Y268" s="105"/>
      <c r="Z268" s="107"/>
      <c r="AA268" s="107"/>
      <c r="AB268" s="105"/>
      <c r="AC268" s="107"/>
      <c r="AD268" s="107"/>
      <c r="AE268" s="107"/>
      <c r="AF268" s="107"/>
      <c r="AG268" s="107"/>
      <c r="AH268" s="107"/>
      <c r="AI268" s="108"/>
      <c r="AJ268" s="108"/>
      <c r="AK268" s="108"/>
      <c r="AL268" s="108"/>
      <c r="AM268" s="108"/>
    </row>
    <row r="269" spans="1:39" x14ac:dyDescent="0.25">
      <c r="A269">
        <v>117</v>
      </c>
      <c r="B269" t="s">
        <v>633</v>
      </c>
      <c r="D269" s="34">
        <v>1989</v>
      </c>
      <c r="E269" s="34">
        <v>10</v>
      </c>
      <c r="F269" s="75"/>
      <c r="H269" s="34"/>
      <c r="I269">
        <f>+D269+H269</f>
        <v>1989</v>
      </c>
      <c r="P269" s="32">
        <v>25000</v>
      </c>
      <c r="Q269" s="32"/>
      <c r="R269" s="32">
        <f>+P269-P269*F269</f>
        <v>25000</v>
      </c>
      <c r="S269" s="107" t="e">
        <f>R269/H269/12</f>
        <v>#DIV/0!</v>
      </c>
      <c r="T269" s="107">
        <f>IF(Q269&gt;0,0,IF((OR((AF269&gt;AG269),(AH269&lt;AI269))),0,IF((AND((AH269&gt;=AI269),(AH269&lt;=AG269))),S269*((AH269-AI269)*12),IF((AND((AI269&lt;=AF269),(AG269&gt;=AF269))),((AG269-AF269)*12)*S269,IF(AH269&gt;AG269,12*S269,0)))))</f>
        <v>0</v>
      </c>
      <c r="U269" s="107">
        <f>IF(Q269=0,0,IF((AND((AJ269&gt;=AI269),(AJ269&lt;=AH269))),((AJ269-AI269)*12)*S269,0))</f>
        <v>0</v>
      </c>
      <c r="V269" s="107">
        <f>IF(U269&gt;0,U269,T269)</f>
        <v>0</v>
      </c>
      <c r="W269" s="105">
        <v>1</v>
      </c>
      <c r="X269" s="107">
        <f>W269*SUM(T269:U269)</f>
        <v>0</v>
      </c>
      <c r="Y269" s="105"/>
      <c r="Z269" s="107"/>
      <c r="AA269" s="107">
        <f>Z269*W269</f>
        <v>0</v>
      </c>
      <c r="AB269" s="105">
        <v>1</v>
      </c>
      <c r="AC269" s="107">
        <f>AA269*AB269</f>
        <v>0</v>
      </c>
      <c r="AD269" s="107">
        <f>IF(Q269&gt;0,0,AC269+X269*AB269)*AB269</f>
        <v>0</v>
      </c>
      <c r="AE269" s="107"/>
      <c r="AF269" s="107">
        <f>$D269+(($E269-1)/12)</f>
        <v>1989.75</v>
      </c>
      <c r="AG269" s="107">
        <f>($R$5+1)-($R$2/12)</f>
        <v>2017.5</v>
      </c>
      <c r="AH269" s="107">
        <f>$I269+(($E269-1)/12)</f>
        <v>1989.75</v>
      </c>
      <c r="AI269" s="108">
        <f>$R$4+($R$3/12)</f>
        <v>2016.5</v>
      </c>
      <c r="AJ269" s="108">
        <f>$J269+(($K269-1)/12)</f>
        <v>-8.3333333333333329E-2</v>
      </c>
      <c r="AK269" s="108">
        <f>$I269+(($E269-1)/12)</f>
        <v>1989.75</v>
      </c>
      <c r="AL269" s="108">
        <f>$R$4+($R$3/12)</f>
        <v>2016.5</v>
      </c>
      <c r="AM269" s="108">
        <f>$J269+(($K269-1)/12)</f>
        <v>-8.3333333333333329E-2</v>
      </c>
    </row>
    <row r="270" spans="1:39" x14ac:dyDescent="0.25">
      <c r="A270">
        <v>118</v>
      </c>
      <c r="B270" t="s">
        <v>634</v>
      </c>
      <c r="D270" s="34">
        <v>1997</v>
      </c>
      <c r="E270" s="34">
        <v>9</v>
      </c>
      <c r="F270" s="75"/>
      <c r="H270" s="34"/>
      <c r="I270">
        <f>+D270+H270</f>
        <v>1997</v>
      </c>
      <c r="P270" s="114">
        <v>154649</v>
      </c>
      <c r="Q270" s="32"/>
      <c r="R270" s="114">
        <v>154649</v>
      </c>
      <c r="S270" s="107" t="e">
        <f>R270/H270/12</f>
        <v>#DIV/0!</v>
      </c>
      <c r="T270" s="107">
        <f>IF(Q270&gt;0,0,IF((OR((AF270&gt;AG270),(AH270&lt;AI270))),0,IF((AND((AH270&gt;=AI270),(AH270&lt;=AG270))),S270*((AH270-AI270)*12),IF((AND((AI270&lt;=AF270),(AG270&gt;=AF270))),((AG270-AF270)*12)*S270,IF(AH270&gt;AG270,12*S270,0)))))</f>
        <v>0</v>
      </c>
      <c r="U270" s="107">
        <f>IF(Q270=0,0,IF((AND((AJ270&gt;=AI270),(AJ270&lt;=AH270))),((AJ270-AI270)*12)*S270,0))</f>
        <v>0</v>
      </c>
      <c r="V270" s="107">
        <f>IF(U270&gt;0,U270,T270)</f>
        <v>0</v>
      </c>
      <c r="W270" s="105">
        <v>1</v>
      </c>
      <c r="X270" s="107">
        <f>W270*SUM(T270:U270)</f>
        <v>0</v>
      </c>
      <c r="Y270" s="105"/>
      <c r="Z270" s="114"/>
      <c r="AA270" s="114">
        <v>154649</v>
      </c>
      <c r="AB270" s="114">
        <v>154649</v>
      </c>
      <c r="AC270" s="114">
        <v>154649</v>
      </c>
      <c r="AD270" s="114"/>
      <c r="AE270" s="107"/>
      <c r="AF270" s="107">
        <f>$D270+(($E270-1)/12)</f>
        <v>1997.6666666666667</v>
      </c>
      <c r="AG270" s="107">
        <f>($R$5+1)-($R$2/12)</f>
        <v>2017.5</v>
      </c>
      <c r="AH270" s="107">
        <f>$I270+(($E270-1)/12)</f>
        <v>1997.6666666666667</v>
      </c>
      <c r="AI270" s="108">
        <f>$R$4+($R$3/12)</f>
        <v>2016.5</v>
      </c>
      <c r="AJ270" s="108">
        <f>$J270+(($K270-1)/12)</f>
        <v>-8.3333333333333329E-2</v>
      </c>
      <c r="AK270" s="108">
        <f>$I270+(($E270-1)/12)</f>
        <v>1997.6666666666667</v>
      </c>
      <c r="AL270" s="108">
        <f>$R$4+($R$3/12)</f>
        <v>2016.5</v>
      </c>
      <c r="AM270" s="108">
        <f>$J270+(($K270-1)/12)</f>
        <v>-8.3333333333333329E-2</v>
      </c>
    </row>
    <row r="271" spans="1:39" x14ac:dyDescent="0.25">
      <c r="H271" s="34"/>
      <c r="P271" s="32">
        <f>SUM(P269:P270)</f>
        <v>179649</v>
      </c>
      <c r="R271" s="32">
        <f>SUM(R269:R270)</f>
        <v>179649</v>
      </c>
      <c r="S271" s="107"/>
      <c r="T271" s="107"/>
      <c r="U271" s="107"/>
      <c r="V271" s="107"/>
      <c r="W271" s="105"/>
      <c r="X271" s="107"/>
      <c r="Y271" s="105"/>
      <c r="Z271" s="32">
        <f t="shared" ref="Z271:AD271" si="89">SUM(Z269:Z270)</f>
        <v>0</v>
      </c>
      <c r="AA271" s="32">
        <f t="shared" si="89"/>
        <v>154649</v>
      </c>
      <c r="AB271" s="32">
        <f t="shared" si="89"/>
        <v>154650</v>
      </c>
      <c r="AC271" s="32">
        <f t="shared" si="89"/>
        <v>154649</v>
      </c>
      <c r="AD271" s="32">
        <f t="shared" si="89"/>
        <v>0</v>
      </c>
      <c r="AE271" s="107"/>
      <c r="AF271" s="107"/>
      <c r="AG271" s="107"/>
      <c r="AH271" s="107"/>
      <c r="AI271" s="108"/>
      <c r="AJ271" s="108"/>
      <c r="AK271" s="108"/>
      <c r="AL271" s="108"/>
      <c r="AM271" s="108"/>
    </row>
    <row r="272" spans="1:39" x14ac:dyDescent="0.25">
      <c r="H272" s="34"/>
      <c r="S272" s="107"/>
      <c r="T272" s="107"/>
      <c r="U272" s="107"/>
      <c r="V272" s="107"/>
      <c r="W272" s="105"/>
      <c r="X272" s="107"/>
      <c r="Y272" s="105"/>
      <c r="Z272" s="107"/>
      <c r="AA272" s="107"/>
      <c r="AB272" s="105"/>
      <c r="AC272" s="107"/>
      <c r="AD272" s="107"/>
      <c r="AE272" s="107"/>
      <c r="AF272" s="107"/>
      <c r="AG272" s="107"/>
      <c r="AH272" s="107"/>
      <c r="AI272" s="108"/>
      <c r="AJ272" s="108"/>
      <c r="AK272" s="108"/>
      <c r="AL272" s="108"/>
      <c r="AM272" s="108"/>
    </row>
    <row r="273" spans="2:39" x14ac:dyDescent="0.25">
      <c r="B273" t="s">
        <v>786</v>
      </c>
      <c r="H273" s="34"/>
      <c r="P273" s="32">
        <f>+P31+P76+P173+P235+P253+P267</f>
        <v>5708982.7400000002</v>
      </c>
      <c r="R273" s="32">
        <f t="shared" ref="R273:AE273" si="90">+R31+R76+R173+R235+R253+R267</f>
        <v>5631382.7400000002</v>
      </c>
      <c r="S273" s="32">
        <f t="shared" si="90"/>
        <v>46216.270359126982</v>
      </c>
      <c r="T273" s="32">
        <f t="shared" si="90"/>
        <v>480303.72819642921</v>
      </c>
      <c r="U273" s="32">
        <f t="shared" si="90"/>
        <v>0</v>
      </c>
      <c r="V273" s="32">
        <f t="shared" si="90"/>
        <v>480303.72819642921</v>
      </c>
      <c r="W273" s="32">
        <f t="shared" si="90"/>
        <v>239</v>
      </c>
      <c r="X273" s="32">
        <f t="shared" si="90"/>
        <v>480303.72819642921</v>
      </c>
      <c r="Y273" s="32">
        <f t="shared" si="90"/>
        <v>0</v>
      </c>
      <c r="Z273" s="32">
        <f t="shared" si="90"/>
        <v>2399565.3549464182</v>
      </c>
      <c r="AA273" s="32">
        <f t="shared" si="90"/>
        <v>2399565.3549464182</v>
      </c>
      <c r="AB273" s="32">
        <f t="shared" si="90"/>
        <v>239</v>
      </c>
      <c r="AC273" s="32">
        <f t="shared" si="90"/>
        <v>2399565.3549464182</v>
      </c>
      <c r="AD273" s="32">
        <f t="shared" si="90"/>
        <v>2879869.0831428478</v>
      </c>
      <c r="AE273" s="32">
        <f t="shared" si="90"/>
        <v>2953762.4269077484</v>
      </c>
      <c r="AF273" s="107"/>
      <c r="AG273" s="107"/>
      <c r="AH273" s="107"/>
      <c r="AI273" s="108"/>
      <c r="AJ273" s="108"/>
      <c r="AK273" s="108"/>
      <c r="AL273" s="108"/>
      <c r="AM273" s="108"/>
    </row>
    <row r="274" spans="2:39" x14ac:dyDescent="0.25">
      <c r="H274" s="34"/>
      <c r="S274" s="107"/>
      <c r="T274" s="107"/>
      <c r="U274" s="107"/>
      <c r="V274" s="107"/>
      <c r="W274" s="105"/>
      <c r="X274" s="107"/>
      <c r="Y274" s="105"/>
      <c r="Z274" s="107"/>
      <c r="AA274" s="107"/>
      <c r="AB274" s="105"/>
      <c r="AC274" s="107"/>
      <c r="AD274" s="107"/>
      <c r="AE274" s="107"/>
      <c r="AF274" s="107"/>
      <c r="AG274" s="107"/>
      <c r="AH274" s="107"/>
      <c r="AI274" s="108"/>
      <c r="AJ274" s="108"/>
      <c r="AK274" s="108"/>
      <c r="AL274" s="108"/>
      <c r="AM274" s="108"/>
    </row>
    <row r="275" spans="2:39" x14ac:dyDescent="0.25">
      <c r="B275" s="195"/>
      <c r="C275" s="195"/>
      <c r="D275" s="195"/>
      <c r="E275" s="195"/>
      <c r="F275" s="195"/>
      <c r="G275" s="195"/>
      <c r="H275" s="204"/>
      <c r="I275" s="195"/>
      <c r="J275" s="195"/>
      <c r="K275" s="195"/>
      <c r="L275" s="195"/>
      <c r="M275" s="195" t="s">
        <v>229</v>
      </c>
      <c r="N275" s="195" t="s">
        <v>189</v>
      </c>
      <c r="O275" s="195"/>
      <c r="P275" s="110"/>
      <c r="Q275" s="195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07"/>
      <c r="AG275" s="107"/>
      <c r="AH275" s="107"/>
      <c r="AI275" s="108"/>
      <c r="AJ275" s="108"/>
      <c r="AK275" s="108"/>
      <c r="AL275" s="108"/>
      <c r="AM275" s="108"/>
    </row>
    <row r="276" spans="2:39" x14ac:dyDescent="0.25">
      <c r="B276" s="195"/>
      <c r="C276" s="195"/>
      <c r="D276" s="195"/>
      <c r="E276" s="195"/>
      <c r="F276" s="195"/>
      <c r="G276" s="195"/>
      <c r="H276" s="204"/>
      <c r="I276" s="195"/>
      <c r="J276" s="195"/>
      <c r="K276" s="195"/>
      <c r="L276" s="195"/>
      <c r="M276" s="195" t="s">
        <v>793</v>
      </c>
      <c r="N276" s="195" t="s">
        <v>793</v>
      </c>
      <c r="O276" s="195"/>
      <c r="P276" s="110"/>
      <c r="Q276" s="195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07"/>
      <c r="AG276" s="107"/>
      <c r="AH276" s="107"/>
      <c r="AI276" s="108"/>
      <c r="AJ276" s="108"/>
      <c r="AK276" s="108"/>
      <c r="AL276" s="108"/>
      <c r="AM276" s="108"/>
    </row>
    <row r="277" spans="2:39" x14ac:dyDescent="0.25">
      <c r="B277" s="195" t="s">
        <v>793</v>
      </c>
      <c r="C277" s="195" t="s">
        <v>799</v>
      </c>
      <c r="D277" s="195"/>
      <c r="E277" s="195"/>
      <c r="F277" s="195"/>
      <c r="G277" s="195"/>
      <c r="H277" s="204"/>
      <c r="I277" s="195"/>
      <c r="J277" s="195"/>
      <c r="K277" s="195"/>
      <c r="L277" s="195"/>
      <c r="M277" s="110">
        <f>+T173</f>
        <v>195231.56927976204</v>
      </c>
      <c r="N277" s="110">
        <f>+T235</f>
        <v>186411.25129761957</v>
      </c>
      <c r="O277" s="195"/>
      <c r="P277" s="195"/>
      <c r="Q277" s="195"/>
      <c r="R277" s="195"/>
      <c r="S277" s="195"/>
      <c r="T277" s="110"/>
      <c r="U277" s="195"/>
      <c r="V277" s="195"/>
      <c r="W277" s="195"/>
      <c r="X277" s="195"/>
      <c r="Y277" s="195"/>
      <c r="Z277" s="195"/>
      <c r="AA277" s="195"/>
      <c r="AB277" s="195"/>
      <c r="AC277" s="195"/>
      <c r="AD277" s="195"/>
      <c r="AE277" s="195"/>
    </row>
    <row r="278" spans="2:39" x14ac:dyDescent="0.25">
      <c r="B278" s="195" t="s">
        <v>798</v>
      </c>
      <c r="C278" s="195" t="s">
        <v>797</v>
      </c>
      <c r="D278" s="195"/>
      <c r="E278" s="195"/>
      <c r="F278" s="195"/>
      <c r="G278" s="195"/>
      <c r="H278" s="204"/>
      <c r="I278" s="195"/>
      <c r="J278" s="195"/>
      <c r="K278" s="195"/>
      <c r="L278" s="195"/>
      <c r="M278" s="110">
        <f>+T76*'Allocation Statistics'!D8</f>
        <v>20113.143317407532</v>
      </c>
      <c r="N278" s="110">
        <f>+T76*'Allocation Statistics'!F8</f>
        <v>2749.6638254495592</v>
      </c>
      <c r="O278" s="195"/>
      <c r="P278" s="195"/>
      <c r="Q278" s="195"/>
      <c r="R278" s="195"/>
      <c r="S278" s="195"/>
      <c r="T278" s="110"/>
      <c r="U278" s="195"/>
      <c r="V278" s="195"/>
      <c r="W278" s="195"/>
      <c r="X278" s="195"/>
      <c r="Y278" s="195"/>
      <c r="Z278" s="195"/>
      <c r="AA278" s="195"/>
      <c r="AB278" s="195"/>
      <c r="AC278" s="195"/>
      <c r="AD278" s="195"/>
      <c r="AE278" s="195"/>
    </row>
    <row r="279" spans="2:39" x14ac:dyDescent="0.25">
      <c r="B279" s="195" t="s">
        <v>794</v>
      </c>
      <c r="C279" s="195" t="s">
        <v>797</v>
      </c>
      <c r="D279" s="195"/>
      <c r="E279" s="195"/>
      <c r="F279" s="195"/>
      <c r="G279" s="195"/>
      <c r="H279" s="195"/>
      <c r="I279" s="195"/>
      <c r="J279" s="195"/>
      <c r="K279" s="195"/>
      <c r="L279" s="195"/>
      <c r="M279" s="110">
        <f>+T31*'Allocation Statistics'!D8</f>
        <v>4007.1018123977087</v>
      </c>
      <c r="N279" s="110">
        <f>+T31*'Allocation Statistics'!E8+T31*'Allocation Statistics'!F8</f>
        <v>547.81009236419663</v>
      </c>
      <c r="O279" s="195"/>
      <c r="P279" s="195"/>
      <c r="Q279" s="195"/>
      <c r="R279" s="195"/>
      <c r="S279" s="195"/>
      <c r="T279" s="110"/>
      <c r="U279" s="195"/>
      <c r="V279" s="195"/>
      <c r="W279" s="195"/>
      <c r="X279" s="195"/>
      <c r="Y279" s="195"/>
      <c r="Z279" s="195"/>
      <c r="AA279" s="195"/>
      <c r="AB279" s="195"/>
      <c r="AC279" s="195"/>
      <c r="AD279" s="195"/>
      <c r="AE279" s="195"/>
    </row>
    <row r="280" spans="2:39" x14ac:dyDescent="0.25">
      <c r="B280" s="227" t="s">
        <v>795</v>
      </c>
      <c r="C280" s="195" t="s">
        <v>797</v>
      </c>
      <c r="D280" s="195"/>
      <c r="E280" s="195"/>
      <c r="F280" s="195"/>
      <c r="G280" s="195"/>
      <c r="H280" s="195"/>
      <c r="I280" s="195"/>
      <c r="J280" s="195"/>
      <c r="K280" s="195"/>
      <c r="L280" s="195"/>
      <c r="M280" s="110">
        <f>+T253*'Allocation Statistics'!D8</f>
        <v>35997.737842630704</v>
      </c>
      <c r="N280" s="110">
        <f>+T253*'Allocation Statistics'!F8</f>
        <v>4921.2435859407215</v>
      </c>
      <c r="O280" s="195"/>
      <c r="P280" s="195"/>
      <c r="Q280" s="195"/>
      <c r="R280" s="195"/>
      <c r="S280" s="195"/>
      <c r="T280" s="110"/>
      <c r="U280" s="195"/>
      <c r="V280" s="195"/>
      <c r="W280" s="195"/>
      <c r="X280" s="195"/>
      <c r="Y280" s="195"/>
      <c r="Z280" s="195"/>
      <c r="AA280" s="195"/>
      <c r="AB280" s="195"/>
      <c r="AC280" s="195"/>
      <c r="AD280" s="195"/>
      <c r="AE280" s="195"/>
    </row>
    <row r="281" spans="2:39" x14ac:dyDescent="0.25">
      <c r="B281" s="227" t="s">
        <v>796</v>
      </c>
      <c r="C281" s="195" t="s">
        <v>797</v>
      </c>
      <c r="M281" s="114">
        <f>+T267*'Allocation Statistics'!D8</f>
        <v>26677.17574836787</v>
      </c>
      <c r="N281" s="114">
        <f>+T267*'Allocation Statistics'!F8</f>
        <v>3647.0313944892732</v>
      </c>
    </row>
    <row r="282" spans="2:39" x14ac:dyDescent="0.25">
      <c r="M282" s="32">
        <f t="shared" ref="M282:N282" si="91">SUM(M277:M281)</f>
        <v>282026.72800056584</v>
      </c>
      <c r="N282" s="32">
        <f t="shared" si="91"/>
        <v>198277.00019586334</v>
      </c>
    </row>
    <row r="283" spans="2:39" x14ac:dyDescent="0.25">
      <c r="M283" s="32"/>
      <c r="N283" s="32"/>
    </row>
    <row r="284" spans="2:39" x14ac:dyDescent="0.25">
      <c r="M284" s="32"/>
      <c r="N284" s="32"/>
    </row>
    <row r="285" spans="2:39" x14ac:dyDescent="0.25">
      <c r="M285" s="32"/>
      <c r="N285" s="32"/>
    </row>
    <row r="286" spans="2:39" x14ac:dyDescent="0.25">
      <c r="M286" s="32"/>
      <c r="N286" s="32"/>
    </row>
  </sheetData>
  <sortState ref="A33:AM234">
    <sortCondition ref="C33:C234"/>
  </sortState>
  <pageMargins left="0.25" right="0.25" top="0.75" bottom="0.75" header="0.3" footer="0.3"/>
  <pageSetup scale="66" fitToHeight="0" orientation="landscape" horizontalDpi="4294967293" r:id="rId1"/>
  <headerFooter>
    <oddFooter>&amp;L&amp;F &amp;A &amp;T&amp;RPage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11A7F3A23C9C349B6735EC80B72BB22" ma:contentTypeVersion="76" ma:contentTypeDescription="" ma:contentTypeScope="" ma:versionID="761fbd0660ed83e465d27c32f2dfc6f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2018-01-29T08:00:00+00:00</OpenedDate>
    <SignificantOrder xmlns="dc463f71-b30c-4ab2-9473-d307f9d35888">false</SignificantOrder>
    <Date1 xmlns="dc463f71-b30c-4ab2-9473-d307f9d35888">2018-01-29T08:00:00+00:00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</CaseCompanyNames>
    <Nickname xmlns="http://schemas.microsoft.com/sharepoint/v3" xsi:nil="true"/>
    <DocketNumber xmlns="dc463f71-b30c-4ab2-9473-d307f9d35888">180103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B0B082-9196-463D-B697-C9FF166800BA}"/>
</file>

<file path=customXml/itemProps2.xml><?xml version="1.0" encoding="utf-8"?>
<ds:datastoreItem xmlns:ds="http://schemas.openxmlformats.org/officeDocument/2006/customXml" ds:itemID="{1CA69319-ECA9-4749-849E-10EC2FFE6D53}"/>
</file>

<file path=customXml/itemProps3.xml><?xml version="1.0" encoding="utf-8"?>
<ds:datastoreItem xmlns:ds="http://schemas.openxmlformats.org/officeDocument/2006/customXml" ds:itemID="{BC2A062B-FC67-4CF4-A4F7-85FAF5B7F080}"/>
</file>

<file path=customXml/itemProps4.xml><?xml version="1.0" encoding="utf-8"?>
<ds:datastoreItem xmlns:ds="http://schemas.openxmlformats.org/officeDocument/2006/customXml" ds:itemID="{D45284B2-300C-4720-B75C-B840304F0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Semi Annual </vt:lpstr>
      <vt:lpstr>Pro Forma</vt:lpstr>
      <vt:lpstr>Allocation Statistics</vt:lpstr>
      <vt:lpstr>Restaing Adjustments</vt:lpstr>
      <vt:lpstr>Profroma Adjustments</vt:lpstr>
      <vt:lpstr>Accounting</vt:lpstr>
      <vt:lpstr>Legal </vt:lpstr>
      <vt:lpstr>Prior Rate Case Costs</vt:lpstr>
      <vt:lpstr>Depreciation</vt:lpstr>
      <vt:lpstr>Bad Debts</vt:lpstr>
      <vt:lpstr>Payroll</vt:lpstr>
      <vt:lpstr>Price Out</vt:lpstr>
      <vt:lpstr>Accounting!Print_Area</vt:lpstr>
      <vt:lpstr>'Allocation Statistics'!Print_Area</vt:lpstr>
      <vt:lpstr>'Bad Debts'!Print_Area</vt:lpstr>
      <vt:lpstr>Depreciation!Print_Area</vt:lpstr>
      <vt:lpstr>'Legal '!Print_Area</vt:lpstr>
      <vt:lpstr>Payroll!Print_Area</vt:lpstr>
      <vt:lpstr>'Price Out'!Print_Area</vt:lpstr>
      <vt:lpstr>'Prior Rate Case Costs'!Print_Area</vt:lpstr>
      <vt:lpstr>'Pro Forma'!Print_Area</vt:lpstr>
      <vt:lpstr>'Restaing Adjustments'!Print_Area</vt:lpstr>
      <vt:lpstr>'Semi Annual '!Print_Area</vt:lpstr>
      <vt:lpstr>Accounting!Print_Titles</vt:lpstr>
      <vt:lpstr>Depreciation!Print_Titles</vt:lpstr>
      <vt:lpstr>'Legal '!Print_Titles</vt:lpstr>
      <vt:lpstr>Payroll!Print_Titles</vt:lpstr>
      <vt:lpstr>'Pro Forma'!Print_Titles</vt:lpstr>
      <vt:lpstr>'Restaing Adjustments'!Print_Titles</vt:lpstr>
      <vt:lpstr>'Semi Annual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Johnson</dc:creator>
  <cp:lastModifiedBy>Weldon</cp:lastModifiedBy>
  <cp:lastPrinted>2018-02-13T01:08:49Z</cp:lastPrinted>
  <dcterms:created xsi:type="dcterms:W3CDTF">2016-08-09T20:59:14Z</dcterms:created>
  <dcterms:modified xsi:type="dcterms:W3CDTF">2018-02-16T23:23:39Z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0x0101006E56B4D1795A2E4DB2F0B01679ED314A00A11A7F3A23C9C349B6735EC80B72BB22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