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-15" yWindow="5520" windowWidth="19230" windowHeight="5580" tabRatio="872"/>
  </bookViews>
  <sheets>
    <sheet name="Table 1" sheetId="51" r:id="rId1"/>
    <sheet name="Table 2" sheetId="17" r:id="rId2"/>
    <sheet name="Tables 3 to 6" sheetId="5" r:id="rId3"/>
    <sheet name="Table 7" sheetId="56" r:id="rId4"/>
    <sheet name="Table 8" sheetId="28" r:id="rId5"/>
    <sheet name="Table 9" sheetId="29" r:id="rId6"/>
    <sheet name="&gt;&gt;&gt;  Do Not Print" sheetId="33" r:id="rId7"/>
    <sheet name="Tariff Page" sheetId="18" r:id="rId8"/>
    <sheet name="Fuel Price Source" sheetId="31" r:id="rId9"/>
  </sheets>
  <externalReferences>
    <externalReference r:id="rId10"/>
    <externalReference r:id="rId11"/>
    <externalReference r:id="rId12"/>
  </externalReferences>
  <definedNames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localSheetId="3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localSheetId="3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localSheetId="3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localSheetId="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localSheetId="3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Capacity_Contr_Solar_Fixed" localSheetId="3">'[1]Tables 3 to 6'!$AL$42</definedName>
    <definedName name="Capacity_Contr_Solar_Fixed">'Tables 3 to 6'!#REF!</definedName>
    <definedName name="Capacity_Contr_Solar_Tracking" localSheetId="3">'[1]Tables 3 to 6'!$AS$42</definedName>
    <definedName name="Capacity_Contr_Solar_Tracking">'Tables 3 to 6'!#REF!</definedName>
    <definedName name="Capacity_Contr_Wind" localSheetId="3">'[1]Tables 3 to 6'!$AE$42</definedName>
    <definedName name="Capacity_Contr_Wind">'Tables 3 to 6'!#REF!</definedName>
    <definedName name="_xlnm.Print_Area" localSheetId="8">'Fuel Price Source'!$A$1:$H$31</definedName>
    <definedName name="_xlnm.Print_Area" localSheetId="0">'Table 1'!$B$1:$L$52</definedName>
    <definedName name="_xlnm.Print_Area" localSheetId="1">'Table 2'!$B$1:$N$34</definedName>
    <definedName name="_xlnm.Print_Area" localSheetId="3">'Table 7'!$B$1:$O$39</definedName>
    <definedName name="_xlnm.Print_Area" localSheetId="4">'Table 8'!$B$1:$K$113</definedName>
    <definedName name="_xlnm.Print_Area" localSheetId="5">'Table 9'!$B$1:$C$26</definedName>
    <definedName name="_xlnm.Print_Area" localSheetId="2">'Tables 3 to 6'!$B$1:$G$38,'Tables 3 to 6'!$I$1:$M$38,'Tables 3 to 6'!$O$1:$T$38,'Tables 3 to 6'!$V$1:$AA$39</definedName>
    <definedName name="_xlnm.Print_Titles" localSheetId="1">'Table 2'!$1:$4</definedName>
    <definedName name="Solar_Fixed_integr_cost">'[2]Table 12'!$B$46</definedName>
    <definedName name="Solar_Tracking_integr_cost">'[2]Table 12'!$B$45</definedName>
    <definedName name="Study_Name">[3]ImportData!$D$7</definedName>
  </definedNames>
  <calcPr calcId="152511"/>
</workbook>
</file>

<file path=xl/calcChain.xml><?xml version="1.0" encoding="utf-8"?>
<calcChain xmlns="http://schemas.openxmlformats.org/spreadsheetml/2006/main">
  <c r="N23" i="56" l="1"/>
  <c r="K23" i="56"/>
  <c r="G23" i="56"/>
  <c r="D23" i="56"/>
  <c r="F107" i="28" l="1"/>
  <c r="F108" i="28"/>
  <c r="F109" i="28"/>
  <c r="F110" i="28"/>
  <c r="F111" i="28" s="1"/>
  <c r="F106" i="28"/>
  <c r="C108" i="28"/>
  <c r="C109" i="28" s="1"/>
  <c r="C110" i="28" s="1"/>
  <c r="C107" i="28"/>
  <c r="C106" i="28"/>
  <c r="M30" i="17"/>
  <c r="M29" i="17"/>
  <c r="M26" i="17"/>
  <c r="M25" i="17"/>
  <c r="E30" i="17"/>
  <c r="E29" i="17"/>
  <c r="E26" i="17"/>
  <c r="E25" i="17"/>
  <c r="B33" i="18" l="1"/>
  <c r="B32" i="18"/>
  <c r="O27" i="5" l="1"/>
  <c r="B27" i="5"/>
  <c r="I27" i="5" s="1"/>
  <c r="O26" i="5"/>
  <c r="I26" i="5"/>
  <c r="B26" i="5"/>
  <c r="V26" i="5" s="1"/>
  <c r="V27" i="5" l="1"/>
  <c r="C35" i="56" l="1"/>
  <c r="J35" i="56" s="1"/>
  <c r="J38" i="56"/>
  <c r="I38" i="56"/>
  <c r="J37" i="56"/>
  <c r="I37" i="56"/>
  <c r="J36" i="56"/>
  <c r="I36" i="56"/>
  <c r="I35" i="56"/>
  <c r="I34" i="56"/>
  <c r="I32" i="56"/>
  <c r="I31" i="56"/>
  <c r="I28" i="56"/>
  <c r="B15" i="56"/>
  <c r="I14" i="56"/>
  <c r="B16" i="56" l="1"/>
  <c r="I15" i="56"/>
  <c r="D127" i="31"/>
  <c r="D125" i="31"/>
  <c r="D124" i="31"/>
  <c r="D123" i="31"/>
  <c r="D121" i="31"/>
  <c r="D120" i="31"/>
  <c r="D119" i="31"/>
  <c r="D117" i="31"/>
  <c r="D116" i="31"/>
  <c r="G17" i="31"/>
  <c r="B17" i="56" l="1"/>
  <c r="I16" i="56"/>
  <c r="D118" i="31"/>
  <c r="D122" i="31"/>
  <c r="D126" i="31"/>
  <c r="I17" i="56" l="1"/>
  <c r="B18" i="56"/>
  <c r="D49" i="28"/>
  <c r="N28" i="56" l="1"/>
  <c r="D28" i="56"/>
  <c r="I18" i="56"/>
  <c r="B19" i="56"/>
  <c r="K28" i="56"/>
  <c r="B11" i="29"/>
  <c r="B12" i="29" s="1"/>
  <c r="I19" i="56" l="1"/>
  <c r="B20" i="56"/>
  <c r="G28" i="56"/>
  <c r="I20" i="56" l="1"/>
  <c r="B21" i="56"/>
  <c r="I21" i="56" l="1"/>
  <c r="B22" i="56"/>
  <c r="D115" i="31"/>
  <c r="D114" i="31"/>
  <c r="D113" i="31"/>
  <c r="D112" i="31"/>
  <c r="D111" i="31"/>
  <c r="D110" i="31"/>
  <c r="D109" i="31"/>
  <c r="D108" i="31"/>
  <c r="D107" i="31"/>
  <c r="D106" i="31"/>
  <c r="D104" i="31"/>
  <c r="D103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5" i="31"/>
  <c r="D84" i="31"/>
  <c r="D83" i="31"/>
  <c r="D81" i="31"/>
  <c r="G14" i="31"/>
  <c r="B23" i="56" l="1"/>
  <c r="I22" i="56"/>
  <c r="D82" i="31"/>
  <c r="D105" i="31"/>
  <c r="D86" i="31"/>
  <c r="D102" i="31"/>
  <c r="D80" i="31"/>
  <c r="G15" i="31"/>
  <c r="I23" i="56" l="1"/>
  <c r="G16" i="31"/>
  <c r="D79" i="31" l="1"/>
  <c r="D78" i="31"/>
  <c r="D77" i="31"/>
  <c r="D76" i="31"/>
  <c r="D75" i="31"/>
  <c r="D74" i="31"/>
  <c r="D73" i="31"/>
  <c r="D72" i="31"/>
  <c r="D71" i="31"/>
  <c r="D69" i="31"/>
  <c r="D68" i="31"/>
  <c r="D70" i="31" l="1"/>
  <c r="D66" i="28" l="1"/>
  <c r="D63" i="28" l="1"/>
  <c r="D25" i="28" l="1"/>
  <c r="AA9" i="5" l="1"/>
  <c r="Z9" i="5"/>
  <c r="A12" i="18" l="1"/>
  <c r="A13" i="18" l="1"/>
  <c r="A14" i="18" l="1"/>
  <c r="A15" i="18" l="1"/>
  <c r="A16" i="18" l="1"/>
  <c r="A17" i="18" l="1"/>
  <c r="A18" i="18" l="1"/>
  <c r="A19" i="18" s="1"/>
  <c r="A20" i="18" s="1"/>
  <c r="D67" i="31" l="1"/>
  <c r="D66" i="31"/>
  <c r="D65" i="31"/>
  <c r="D64" i="31"/>
  <c r="D63" i="31"/>
  <c r="D61" i="31"/>
  <c r="D60" i="31"/>
  <c r="D59" i="31"/>
  <c r="D58" i="31"/>
  <c r="D57" i="31"/>
  <c r="D56" i="31"/>
  <c r="D55" i="31"/>
  <c r="D53" i="31"/>
  <c r="D52" i="31"/>
  <c r="D51" i="31"/>
  <c r="D50" i="31"/>
  <c r="D49" i="31"/>
  <c r="D48" i="31"/>
  <c r="D47" i="31"/>
  <c r="D45" i="31"/>
  <c r="D44" i="31"/>
  <c r="D43" i="31"/>
  <c r="D42" i="31"/>
  <c r="D41" i="31"/>
  <c r="D40" i="31"/>
  <c r="D39" i="31"/>
  <c r="D37" i="31"/>
  <c r="D36" i="31"/>
  <c r="D35" i="31"/>
  <c r="D34" i="31"/>
  <c r="D33" i="31"/>
  <c r="D32" i="31"/>
  <c r="D31" i="31"/>
  <c r="D29" i="31"/>
  <c r="D28" i="31"/>
  <c r="D27" i="31"/>
  <c r="D26" i="31"/>
  <c r="D25" i="31"/>
  <c r="D24" i="31"/>
  <c r="D23" i="31"/>
  <c r="D21" i="31"/>
  <c r="D20" i="31"/>
  <c r="D22" i="31" l="1"/>
  <c r="D30" i="31"/>
  <c r="D38" i="31"/>
  <c r="D46" i="31"/>
  <c r="D54" i="31"/>
  <c r="D62" i="31"/>
  <c r="D19" i="31" l="1"/>
  <c r="D17" i="31"/>
  <c r="D16" i="31"/>
  <c r="D15" i="31"/>
  <c r="D14" i="31"/>
  <c r="D13" i="31"/>
  <c r="D12" i="31"/>
  <c r="D11" i="31"/>
  <c r="D9" i="31"/>
  <c r="D8" i="31"/>
  <c r="D10" i="31" l="1"/>
  <c r="D18" i="31"/>
  <c r="H17" i="31" l="1"/>
  <c r="H14" i="31"/>
  <c r="H16" i="31"/>
  <c r="H15" i="31"/>
  <c r="B23" i="17"/>
  <c r="C34" i="28" l="1"/>
  <c r="E10" i="28" s="1"/>
  <c r="E11" i="28" s="1"/>
  <c r="E12" i="28" s="1"/>
  <c r="E13" i="28" s="1"/>
  <c r="E14" i="28" s="1"/>
  <c r="E15" i="28" s="1"/>
  <c r="E16" i="28" s="1"/>
  <c r="E17" i="28" s="1"/>
  <c r="E18" i="28" s="1"/>
  <c r="B24" i="28"/>
  <c r="D24" i="28"/>
  <c r="C25" i="28"/>
  <c r="C26" i="28"/>
  <c r="C27" i="28"/>
  <c r="D27" i="28"/>
  <c r="D26" i="28" l="1"/>
  <c r="D38" i="28"/>
  <c r="C38" i="28"/>
  <c r="D95" i="28"/>
  <c r="C95" i="28"/>
  <c r="J31" i="5" l="1"/>
  <c r="N106" i="28" l="1"/>
  <c r="N107" i="28" s="1"/>
  <c r="N108" i="28" s="1"/>
  <c r="N109" i="28" s="1"/>
  <c r="N110" i="28" s="1"/>
  <c r="N111" i="28" s="1"/>
  <c r="N112" i="28" s="1"/>
  <c r="N113" i="28" s="1"/>
  <c r="N114" i="28" s="1"/>
  <c r="N115" i="28" s="1"/>
  <c r="N116" i="28" s="1"/>
  <c r="N117" i="28" s="1"/>
  <c r="N118" i="28" s="1"/>
  <c r="N119" i="28" s="1"/>
  <c r="N120" i="28" s="1"/>
  <c r="N121" i="28" s="1"/>
  <c r="K80" i="28"/>
  <c r="J80" i="28"/>
  <c r="I75" i="28"/>
  <c r="H75" i="28"/>
  <c r="F75" i="28"/>
  <c r="F74" i="28"/>
  <c r="E90" i="28"/>
  <c r="G80" i="28"/>
  <c r="F80" i="28"/>
  <c r="C80" i="28"/>
  <c r="K79" i="28"/>
  <c r="J79" i="28"/>
  <c r="G79" i="28"/>
  <c r="F79" i="28"/>
  <c r="C79" i="28"/>
  <c r="I74" i="28"/>
  <c r="H74" i="28"/>
  <c r="C68" i="28"/>
  <c r="C67" i="28"/>
  <c r="C66" i="28"/>
  <c r="D65" i="28"/>
  <c r="C65" i="28"/>
  <c r="C64" i="28"/>
  <c r="C63" i="28"/>
  <c r="B84" i="28"/>
  <c r="B49" i="28"/>
  <c r="B47" i="28"/>
  <c r="B40" i="28"/>
  <c r="B39" i="28"/>
  <c r="B83" i="28" s="1"/>
  <c r="F10" i="28"/>
  <c r="B11" i="28"/>
  <c r="C10" i="28"/>
  <c r="D10" i="28" s="1"/>
  <c r="D11" i="28" s="1"/>
  <c r="D12" i="28" s="1"/>
  <c r="D13" i="28" s="1"/>
  <c r="D14" i="28" s="1"/>
  <c r="D15" i="28" s="1"/>
  <c r="D16" i="28" s="1"/>
  <c r="D17" i="28" s="1"/>
  <c r="D18" i="28" s="1"/>
  <c r="B9" i="28"/>
  <c r="G10" i="28" l="1"/>
  <c r="H10" i="28" s="1"/>
  <c r="F11" i="28"/>
  <c r="F12" i="28" s="1"/>
  <c r="F13" i="28" s="1"/>
  <c r="F14" i="28" s="1"/>
  <c r="F15" i="28" s="1"/>
  <c r="F16" i="28" s="1"/>
  <c r="F17" i="28" s="1"/>
  <c r="F18" i="28" s="1"/>
  <c r="B50" i="28"/>
  <c r="B51" i="28" s="1"/>
  <c r="B12" i="28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14" i="29"/>
  <c r="B15" i="29" s="1"/>
  <c r="B16" i="29" s="1"/>
  <c r="B17" i="29" s="1"/>
  <c r="B18" i="29" s="1"/>
  <c r="B19" i="29" s="1"/>
  <c r="C19" i="29" s="1"/>
  <c r="H80" i="28"/>
  <c r="F81" i="28"/>
  <c r="H79" i="28"/>
  <c r="F76" i="28"/>
  <c r="I76" i="28" s="1"/>
  <c r="B52" i="28" l="1"/>
  <c r="B53" i="28" s="1"/>
  <c r="B54" i="28" s="1"/>
  <c r="B55" i="28" s="1"/>
  <c r="B56" i="28" s="1"/>
  <c r="B57" i="28" s="1"/>
  <c r="B58" i="28" s="1"/>
  <c r="B59" i="28" s="1"/>
  <c r="H81" i="28"/>
  <c r="D100" i="28" s="1"/>
  <c r="D101" i="28" s="1"/>
  <c r="E48" i="28"/>
  <c r="E49" i="28" s="1"/>
  <c r="E50" i="28" s="1"/>
  <c r="G74" i="28"/>
  <c r="G75" i="28" s="1"/>
  <c r="G76" i="28" s="1"/>
  <c r="H76" i="28"/>
  <c r="C48" i="28" s="1"/>
  <c r="D48" i="28" s="1"/>
  <c r="G11" i="28"/>
  <c r="X9" i="5" l="1"/>
  <c r="G81" i="28"/>
  <c r="I79" i="28"/>
  <c r="I80" i="28" s="1"/>
  <c r="K81" i="28" s="1"/>
  <c r="H11" i="28"/>
  <c r="E101" i="28"/>
  <c r="D50" i="28"/>
  <c r="E51" i="28"/>
  <c r="E52" i="28" s="1"/>
  <c r="G12" i="28"/>
  <c r="D64" i="28" l="1"/>
  <c r="D68" i="28"/>
  <c r="D67" i="28"/>
  <c r="G13" i="28"/>
  <c r="D51" i="28"/>
  <c r="E53" i="28"/>
  <c r="J81" i="28"/>
  <c r="F48" i="28" s="1"/>
  <c r="I81" i="28"/>
  <c r="H12" i="28"/>
  <c r="G14" i="28" l="1"/>
  <c r="G48" i="28"/>
  <c r="H48" i="28" s="1"/>
  <c r="F49" i="28"/>
  <c r="H13" i="28"/>
  <c r="E54" i="28"/>
  <c r="D52" i="28"/>
  <c r="D53" i="28" l="1"/>
  <c r="E55" i="28"/>
  <c r="G15" i="28"/>
  <c r="H14" i="28"/>
  <c r="G49" i="28"/>
  <c r="H49" i="28" s="1"/>
  <c r="F50" i="28"/>
  <c r="H15" i="28" l="1"/>
  <c r="G16" i="28"/>
  <c r="G50" i="28"/>
  <c r="H50" i="28" s="1"/>
  <c r="F51" i="28"/>
  <c r="E56" i="28"/>
  <c r="D54" i="28"/>
  <c r="D19" i="28" l="1"/>
  <c r="E19" i="28"/>
  <c r="F19" i="28"/>
  <c r="D55" i="28"/>
  <c r="E57" i="28"/>
  <c r="G51" i="28"/>
  <c r="H51" i="28" s="1"/>
  <c r="F52" i="28"/>
  <c r="G52" i="28" s="1"/>
  <c r="G17" i="28"/>
  <c r="H16" i="28"/>
  <c r="F20" i="28" l="1"/>
  <c r="E20" i="28"/>
  <c r="D20" i="28"/>
  <c r="G18" i="28"/>
  <c r="H52" i="28"/>
  <c r="F53" i="28"/>
  <c r="H17" i="28"/>
  <c r="E58" i="28"/>
  <c r="D56" i="28"/>
  <c r="D57" i="28" s="1"/>
  <c r="G53" i="28" l="1"/>
  <c r="H53" i="28" s="1"/>
  <c r="F54" i="28"/>
  <c r="G19" i="28"/>
  <c r="H18" i="28"/>
  <c r="G32" i="56" l="1"/>
  <c r="N32" i="56"/>
  <c r="D32" i="56"/>
  <c r="K32" i="56"/>
  <c r="F21" i="28"/>
  <c r="F22" i="28" s="1"/>
  <c r="E21" i="28"/>
  <c r="E22" i="28" s="1"/>
  <c r="E59" i="28"/>
  <c r="D21" i="28"/>
  <c r="D22" i="28" s="1"/>
  <c r="H19" i="28"/>
  <c r="G54" i="28"/>
  <c r="H54" i="28" s="1"/>
  <c r="F55" i="28"/>
  <c r="G20" i="28"/>
  <c r="D58" i="28"/>
  <c r="D59" i="28" s="1"/>
  <c r="G21" i="28" l="1"/>
  <c r="H21" i="28" s="1"/>
  <c r="G22" i="28"/>
  <c r="H22" i="28" s="1"/>
  <c r="D27" i="5" s="1"/>
  <c r="G55" i="28"/>
  <c r="H55" i="28" s="1"/>
  <c r="F56" i="28"/>
  <c r="H20" i="28"/>
  <c r="D26" i="5" l="1"/>
  <c r="G56" i="28"/>
  <c r="H56" i="28" s="1"/>
  <c r="F57" i="28"/>
  <c r="G57" i="28" l="1"/>
  <c r="H57" i="28" s="1"/>
  <c r="F58" i="28"/>
  <c r="F59" i="28" s="1"/>
  <c r="G59" i="28" l="1"/>
  <c r="H59" i="28" s="1"/>
  <c r="G58" i="28"/>
  <c r="H58" i="28" s="1"/>
  <c r="C26" i="5" l="1"/>
  <c r="W26" i="5" s="1"/>
  <c r="X26" i="5" s="1"/>
  <c r="C27" i="5"/>
  <c r="T9" i="5"/>
  <c r="S9" i="5"/>
  <c r="R9" i="5"/>
  <c r="F26" i="5" l="1"/>
  <c r="G26" i="5" s="1"/>
  <c r="L26" i="5" s="1"/>
  <c r="P26" i="5"/>
  <c r="W27" i="5"/>
  <c r="X27" i="5" s="1"/>
  <c r="P27" i="5"/>
  <c r="F27" i="5"/>
  <c r="G27" i="5" s="1"/>
  <c r="L27" i="5" s="1"/>
  <c r="H41" i="17"/>
  <c r="C32" i="5" l="1"/>
  <c r="C31" i="5"/>
  <c r="V34" i="5"/>
  <c r="B22" i="29"/>
  <c r="I32" i="5"/>
  <c r="P33" i="5"/>
  <c r="J33" i="5"/>
  <c r="W34" i="5"/>
  <c r="I34" i="5"/>
  <c r="V33" i="5"/>
  <c r="AA5" i="5"/>
  <c r="Z5" i="5"/>
  <c r="V31" i="5"/>
  <c r="B32" i="5"/>
  <c r="B31" i="5"/>
  <c r="M9" i="5"/>
  <c r="I33" i="5"/>
  <c r="I31" i="5"/>
  <c r="O33" i="5"/>
  <c r="O31" i="5"/>
  <c r="H8" i="31" l="1"/>
  <c r="C10" i="29" s="1"/>
  <c r="G6" i="5"/>
  <c r="L6" i="5" s="1"/>
  <c r="J32" i="5" l="1"/>
  <c r="K9" i="5"/>
  <c r="W33" i="5"/>
  <c r="G9" i="31" l="1"/>
  <c r="H9" i="31" l="1"/>
  <c r="C11" i="29" s="1"/>
  <c r="I51" i="28" s="1"/>
  <c r="G10" i="31"/>
  <c r="H10" i="31" s="1"/>
  <c r="C12" i="29" s="1"/>
  <c r="J51" i="28" l="1"/>
  <c r="K51" i="28" s="1"/>
  <c r="J19" i="5"/>
  <c r="G11" i="31"/>
  <c r="H11" i="31" s="1"/>
  <c r="G12" i="31" l="1"/>
  <c r="G13" i="31" s="1"/>
  <c r="H13" i="31" s="1"/>
  <c r="C18" i="29" s="1"/>
  <c r="C16" i="29" l="1"/>
  <c r="H12" i="31"/>
  <c r="C15" i="29"/>
  <c r="I59" i="28" s="1"/>
  <c r="J27" i="5" l="1"/>
  <c r="K27" i="5" s="1"/>
  <c r="M27" i="5" s="1"/>
  <c r="J59" i="28"/>
  <c r="K59" i="28" s="1"/>
  <c r="C14" i="29"/>
  <c r="C17" i="29"/>
  <c r="C13" i="29"/>
  <c r="Q27" i="5" l="1"/>
  <c r="Y27" i="5"/>
  <c r="I58" i="28"/>
  <c r="J26" i="5" s="1"/>
  <c r="K26" i="5" s="1"/>
  <c r="M26" i="5" s="1"/>
  <c r="I57" i="28"/>
  <c r="I54" i="28"/>
  <c r="J54" i="28" s="1"/>
  <c r="K54" i="28" s="1"/>
  <c r="I56" i="28"/>
  <c r="I53" i="28"/>
  <c r="J53" i="28" s="1"/>
  <c r="K53" i="28" s="1"/>
  <c r="I55" i="28"/>
  <c r="J55" i="28" s="1"/>
  <c r="K55" i="28" s="1"/>
  <c r="I52" i="28"/>
  <c r="J52" i="28" s="1"/>
  <c r="K52" i="28" s="1"/>
  <c r="AA27" i="5" l="1"/>
  <c r="Z27" i="5"/>
  <c r="S27" i="5"/>
  <c r="R27" i="5"/>
  <c r="T27" i="5"/>
  <c r="Q26" i="5"/>
  <c r="Y26" i="5"/>
  <c r="J56" i="28"/>
  <c r="K56" i="28" s="1"/>
  <c r="J57" i="28"/>
  <c r="K57" i="28" s="1"/>
  <c r="J58" i="28"/>
  <c r="K58" i="28" s="1"/>
  <c r="B24" i="17"/>
  <c r="B25" i="17" s="1"/>
  <c r="B26" i="17" s="1"/>
  <c r="B27" i="17" s="1"/>
  <c r="B28" i="17" s="1"/>
  <c r="B29" i="17" s="1"/>
  <c r="B30" i="17" s="1"/>
  <c r="B31" i="17" s="1"/>
  <c r="B32" i="17" s="1"/>
  <c r="AA26" i="5" l="1"/>
  <c r="Z26" i="5"/>
  <c r="S26" i="5"/>
  <c r="R26" i="5"/>
  <c r="T26" i="5"/>
  <c r="B12" i="5"/>
  <c r="B10" i="17"/>
  <c r="D19" i="5" l="1"/>
  <c r="C19" i="5"/>
  <c r="D12" i="5"/>
  <c r="P12" i="5" s="1"/>
  <c r="B11" i="17"/>
  <c r="V12" i="5"/>
  <c r="I12" i="5"/>
  <c r="O12" i="5"/>
  <c r="W12" i="5" l="1"/>
  <c r="B12" i="17"/>
  <c r="X12" i="5" l="1"/>
  <c r="B13" i="17"/>
  <c r="B20" i="5" l="1"/>
  <c r="B14" i="17"/>
  <c r="B15" i="17" s="1"/>
  <c r="D20" i="5" l="1"/>
  <c r="C20" i="5"/>
  <c r="O20" i="5"/>
  <c r="V20" i="5"/>
  <c r="B21" i="5"/>
  <c r="I20" i="5"/>
  <c r="B16" i="17"/>
  <c r="J34" i="5"/>
  <c r="D21" i="5" l="1"/>
  <c r="C21" i="5"/>
  <c r="J20" i="5"/>
  <c r="K20" i="5" s="1"/>
  <c r="F20" i="5"/>
  <c r="G20" i="5" s="1"/>
  <c r="L20" i="5" s="1"/>
  <c r="W20" i="5"/>
  <c r="X20" i="5" s="1"/>
  <c r="P20" i="5"/>
  <c r="B22" i="5"/>
  <c r="V21" i="5"/>
  <c r="O21" i="5"/>
  <c r="I21" i="5"/>
  <c r="B17" i="17"/>
  <c r="V19" i="5"/>
  <c r="O19" i="5"/>
  <c r="I19" i="5"/>
  <c r="D22" i="5" l="1"/>
  <c r="C22" i="5"/>
  <c r="M20" i="5"/>
  <c r="Q20" i="5" s="1"/>
  <c r="J21" i="5"/>
  <c r="K21" i="5" s="1"/>
  <c r="I22" i="5"/>
  <c r="B23" i="5"/>
  <c r="O22" i="5"/>
  <c r="V22" i="5"/>
  <c r="W21" i="5"/>
  <c r="X21" i="5" s="1"/>
  <c r="P21" i="5"/>
  <c r="F21" i="5"/>
  <c r="G21" i="5" s="1"/>
  <c r="L21" i="5" s="1"/>
  <c r="F19" i="5"/>
  <c r="G19" i="5" s="1"/>
  <c r="L19" i="5" s="1"/>
  <c r="P19" i="5"/>
  <c r="W19" i="5"/>
  <c r="X19" i="5" s="1"/>
  <c r="K19" i="5"/>
  <c r="B18" i="17"/>
  <c r="B24" i="5" l="1"/>
  <c r="B25" i="5" s="1"/>
  <c r="D23" i="5"/>
  <c r="C23" i="5"/>
  <c r="Y20" i="5"/>
  <c r="AA20" i="5" s="1"/>
  <c r="M21" i="5"/>
  <c r="Q21" i="5" s="1"/>
  <c r="J22" i="5"/>
  <c r="K22" i="5" s="1"/>
  <c r="P22" i="5"/>
  <c r="F15" i="18" s="1"/>
  <c r="W22" i="5"/>
  <c r="X22" i="5" s="1"/>
  <c r="F22" i="5"/>
  <c r="G22" i="5" s="1"/>
  <c r="L22" i="5" s="1"/>
  <c r="O23" i="5"/>
  <c r="V23" i="5"/>
  <c r="I23" i="5"/>
  <c r="S20" i="5"/>
  <c r="R20" i="5"/>
  <c r="T20" i="5"/>
  <c r="M19" i="5"/>
  <c r="Q19" i="5" s="1"/>
  <c r="B15" i="18" l="1"/>
  <c r="H15" i="18"/>
  <c r="I25" i="5"/>
  <c r="J25" i="5" s="1"/>
  <c r="K25" i="5" s="1"/>
  <c r="C25" i="5"/>
  <c r="D25" i="5"/>
  <c r="O25" i="5"/>
  <c r="V25" i="5"/>
  <c r="Y21" i="5"/>
  <c r="AA21" i="5" s="1"/>
  <c r="I24" i="5"/>
  <c r="J24" i="5" s="1"/>
  <c r="K24" i="5" s="1"/>
  <c r="O24" i="5"/>
  <c r="V24" i="5"/>
  <c r="D24" i="5"/>
  <c r="C24" i="5"/>
  <c r="Z20" i="5"/>
  <c r="M22" i="5"/>
  <c r="Q22" i="5" s="1"/>
  <c r="J23" i="5"/>
  <c r="K23" i="5" s="1"/>
  <c r="R21" i="5"/>
  <c r="S21" i="5"/>
  <c r="T21" i="5"/>
  <c r="W23" i="5"/>
  <c r="X23" i="5" s="1"/>
  <c r="P23" i="5"/>
  <c r="F23" i="5"/>
  <c r="G23" i="5" s="1"/>
  <c r="L23" i="5" s="1"/>
  <c r="Y19" i="5"/>
  <c r="Z19" i="5" s="1"/>
  <c r="T19" i="5"/>
  <c r="S19" i="5"/>
  <c r="R19" i="5"/>
  <c r="C22" i="56" l="1"/>
  <c r="E22" i="56" s="1"/>
  <c r="J23" i="56"/>
  <c r="L23" i="56" s="1"/>
  <c r="F23" i="56"/>
  <c r="H23" i="56" s="1"/>
  <c r="C23" i="56"/>
  <c r="E23" i="56" s="1"/>
  <c r="M22" i="56"/>
  <c r="O22" i="56" s="1"/>
  <c r="F22" i="56"/>
  <c r="H22" i="56" s="1"/>
  <c r="J22" i="56"/>
  <c r="L22" i="56" s="1"/>
  <c r="M23" i="56"/>
  <c r="O23" i="56" s="1"/>
  <c r="P25" i="5"/>
  <c r="F25" i="5"/>
  <c r="G25" i="5" s="1"/>
  <c r="L25" i="5" s="1"/>
  <c r="M25" i="5" s="1"/>
  <c r="W25" i="5"/>
  <c r="X25" i="5" s="1"/>
  <c r="Z21" i="5"/>
  <c r="P24" i="5"/>
  <c r="W24" i="5"/>
  <c r="X24" i="5" s="1"/>
  <c r="F24" i="5"/>
  <c r="G24" i="5" s="1"/>
  <c r="L24" i="5" s="1"/>
  <c r="M24" i="5" s="1"/>
  <c r="Y22" i="5"/>
  <c r="AA22" i="5" s="1"/>
  <c r="M23" i="5"/>
  <c r="Q23" i="5" s="1"/>
  <c r="C19" i="56" s="1"/>
  <c r="E19" i="56" s="1"/>
  <c r="F16" i="18"/>
  <c r="S22" i="5"/>
  <c r="T22" i="5"/>
  <c r="R22" i="5"/>
  <c r="AA19" i="5"/>
  <c r="B16" i="18" l="1"/>
  <c r="H16" i="18"/>
  <c r="M19" i="56"/>
  <c r="O19" i="56" s="1"/>
  <c r="F19" i="56"/>
  <c r="H19" i="56" s="1"/>
  <c r="Q25" i="5"/>
  <c r="Y25" i="5"/>
  <c r="AA25" i="5" s="1"/>
  <c r="J19" i="56"/>
  <c r="L19" i="56" s="1"/>
  <c r="Y23" i="5"/>
  <c r="AA23" i="5" s="1"/>
  <c r="F17" i="18"/>
  <c r="Y24" i="5"/>
  <c r="AA24" i="5" s="1"/>
  <c r="Q24" i="5"/>
  <c r="F18" i="18"/>
  <c r="Z22" i="5"/>
  <c r="T23" i="5"/>
  <c r="R23" i="5"/>
  <c r="S23" i="5"/>
  <c r="F11" i="18"/>
  <c r="B17" i="18" l="1"/>
  <c r="H17" i="18"/>
  <c r="B11" i="18"/>
  <c r="H11" i="18"/>
  <c r="B18" i="18"/>
  <c r="H18" i="18"/>
  <c r="Z25" i="5"/>
  <c r="R25" i="5"/>
  <c r="T25" i="5"/>
  <c r="S25" i="5"/>
  <c r="C21" i="56"/>
  <c r="E21" i="56" s="1"/>
  <c r="F21" i="56"/>
  <c r="H21" i="56" s="1"/>
  <c r="J21" i="56"/>
  <c r="L21" i="56" s="1"/>
  <c r="F20" i="56"/>
  <c r="H20" i="56" s="1"/>
  <c r="J20" i="56"/>
  <c r="L20" i="56" s="1"/>
  <c r="Z23" i="5"/>
  <c r="M20" i="56"/>
  <c r="O20" i="56" s="1"/>
  <c r="M21" i="56"/>
  <c r="O21" i="56" s="1"/>
  <c r="C20" i="56"/>
  <c r="E20" i="56" s="1"/>
  <c r="F14" i="18"/>
  <c r="R24" i="5"/>
  <c r="S24" i="5"/>
  <c r="T24" i="5"/>
  <c r="Z24" i="5"/>
  <c r="C18" i="18"/>
  <c r="C17" i="18"/>
  <c r="B14" i="18" l="1"/>
  <c r="H14" i="18"/>
  <c r="F19" i="18"/>
  <c r="B19" i="18" l="1"/>
  <c r="H19" i="18"/>
  <c r="F20" i="18"/>
  <c r="F13" i="18"/>
  <c r="F12" i="18"/>
  <c r="C19" i="18"/>
  <c r="C16" i="18"/>
  <c r="B13" i="18" l="1"/>
  <c r="H13" i="18"/>
  <c r="B20" i="18"/>
  <c r="H20" i="18"/>
  <c r="B12" i="18"/>
  <c r="B23" i="18" s="1"/>
  <c r="H12" i="18"/>
  <c r="C20" i="18"/>
  <c r="I25" i="17" l="1"/>
  <c r="I32" i="17"/>
  <c r="I30" i="17"/>
  <c r="I28" i="17"/>
  <c r="I29" i="17"/>
  <c r="I24" i="17"/>
  <c r="I27" i="17"/>
  <c r="I31" i="17"/>
  <c r="I23" i="17"/>
  <c r="I26" i="17"/>
  <c r="E32" i="17" l="1"/>
  <c r="M32" i="17"/>
  <c r="M23" i="17"/>
  <c r="M12" i="5" s="1"/>
  <c r="E23" i="17"/>
  <c r="E24" i="17"/>
  <c r="M24" i="17"/>
  <c r="E28" i="17"/>
  <c r="M28" i="17"/>
  <c r="E31" i="17"/>
  <c r="M31" i="17"/>
  <c r="M27" i="17"/>
  <c r="E27" i="17"/>
  <c r="Q12" i="5" l="1"/>
  <c r="Y12" i="5"/>
  <c r="C11" i="18" s="1"/>
  <c r="M14" i="56" l="1"/>
  <c r="O14" i="56" s="1"/>
  <c r="J14" i="56"/>
  <c r="L14" i="56" s="1"/>
  <c r="C14" i="56"/>
  <c r="E14" i="56" s="1"/>
  <c r="F14" i="56"/>
  <c r="H14" i="56" s="1"/>
  <c r="M18" i="56"/>
  <c r="O18" i="56" s="1"/>
  <c r="F18" i="56"/>
  <c r="H18" i="56" s="1"/>
  <c r="J18" i="56"/>
  <c r="L18" i="56" s="1"/>
  <c r="C18" i="56"/>
  <c r="E18" i="56" s="1"/>
  <c r="M17" i="56"/>
  <c r="O17" i="56" s="1"/>
  <c r="F17" i="56"/>
  <c r="H17" i="56" s="1"/>
  <c r="J17" i="56"/>
  <c r="L17" i="56" s="1"/>
  <c r="C17" i="56"/>
  <c r="E17" i="56" s="1"/>
  <c r="M16" i="56"/>
  <c r="O16" i="56" s="1"/>
  <c r="F16" i="56"/>
  <c r="H16" i="56" s="1"/>
  <c r="J16" i="56"/>
  <c r="L16" i="56" s="1"/>
  <c r="C16" i="56"/>
  <c r="E16" i="56" s="1"/>
  <c r="M15" i="56"/>
  <c r="F15" i="56"/>
  <c r="J15" i="56"/>
  <c r="C15" i="56"/>
  <c r="C14" i="18"/>
  <c r="C15" i="18"/>
  <c r="Z12" i="5"/>
  <c r="AA12" i="5"/>
  <c r="C12" i="18"/>
  <c r="C13" i="18"/>
  <c r="T12" i="5"/>
  <c r="S12" i="5"/>
  <c r="R12" i="5"/>
  <c r="E15" i="56" l="1"/>
  <c r="E28" i="56" s="1"/>
  <c r="C28" i="56"/>
  <c r="C32" i="56"/>
  <c r="L15" i="56"/>
  <c r="L28" i="56" s="1"/>
  <c r="J28" i="56"/>
  <c r="J32" i="56"/>
  <c r="L32" i="56" s="1"/>
  <c r="H15" i="56"/>
  <c r="H28" i="56" s="1"/>
  <c r="F28" i="56"/>
  <c r="F32" i="56"/>
  <c r="H32" i="56" s="1"/>
  <c r="O15" i="56"/>
  <c r="O28" i="56" s="1"/>
  <c r="M28" i="56"/>
  <c r="M32" i="56"/>
  <c r="O32" i="56" s="1"/>
  <c r="C24" i="18"/>
  <c r="E32" i="56" l="1"/>
</calcChain>
</file>

<file path=xl/sharedStrings.xml><?xml version="1.0" encoding="utf-8"?>
<sst xmlns="http://schemas.openxmlformats.org/spreadsheetml/2006/main" count="402" uniqueCount="208">
  <si>
    <t>On-Peak Hours</t>
  </si>
  <si>
    <t>On-Peak</t>
  </si>
  <si>
    <t>Off-Peak</t>
  </si>
  <si>
    <t>Year</t>
  </si>
  <si>
    <t xml:space="preserve">Simple </t>
  </si>
  <si>
    <t>Fixed Costs</t>
  </si>
  <si>
    <t>($/kW-yr)</t>
  </si>
  <si>
    <t>Capitalized</t>
  </si>
  <si>
    <t>Energy Costs</t>
  </si>
  <si>
    <t>Costs</t>
  </si>
  <si>
    <t xml:space="preserve">Capitalized </t>
  </si>
  <si>
    <t>Cycle CT</t>
  </si>
  <si>
    <t>($/MMBtu)</t>
  </si>
  <si>
    <t>Energy Cost</t>
  </si>
  <si>
    <t>Avoided</t>
  </si>
  <si>
    <t>Total</t>
  </si>
  <si>
    <t>Capitalized Energy Costs</t>
  </si>
  <si>
    <t>Total Avoided Energy Cost</t>
  </si>
  <si>
    <t>Total Avoided Costs</t>
  </si>
  <si>
    <t>At Stated Capacity Factor</t>
  </si>
  <si>
    <t>Total Avoided  Cost</t>
  </si>
  <si>
    <t>Columns</t>
  </si>
  <si>
    <t>(a)</t>
  </si>
  <si>
    <t>(b)</t>
  </si>
  <si>
    <t>(c)</t>
  </si>
  <si>
    <t>(d)</t>
  </si>
  <si>
    <t>(e)</t>
  </si>
  <si>
    <t>Avoided Firm</t>
  </si>
  <si>
    <t>Capacity</t>
  </si>
  <si>
    <t xml:space="preserve">Capacity Cost </t>
  </si>
  <si>
    <t>Allocated to</t>
  </si>
  <si>
    <t>Difference</t>
  </si>
  <si>
    <t>(f)</t>
  </si>
  <si>
    <t>Fuel Cost</t>
  </si>
  <si>
    <t>Table 3</t>
  </si>
  <si>
    <t>Table 4</t>
  </si>
  <si>
    <t>Table 5</t>
  </si>
  <si>
    <t>Table 7</t>
  </si>
  <si>
    <t>(g)</t>
  </si>
  <si>
    <t>(h)</t>
  </si>
  <si>
    <t>(i)</t>
  </si>
  <si>
    <t>$/kW</t>
  </si>
  <si>
    <t>$/kW-yr</t>
  </si>
  <si>
    <t>$/MWH</t>
  </si>
  <si>
    <t>$/MMBtu</t>
  </si>
  <si>
    <t>Estimated Capital Cost</t>
  </si>
  <si>
    <t>Fixed Capital Cost at Real Levelized Rate</t>
  </si>
  <si>
    <t>Fixed O&amp;M</t>
  </si>
  <si>
    <t>Variable O&amp;M</t>
  </si>
  <si>
    <t>Total O&amp;M at Expected CF</t>
  </si>
  <si>
    <t>Total Resource Fixed Costs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</si>
  <si>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</si>
  <si>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</si>
  <si>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</si>
  <si>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</si>
  <si>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</si>
  <si>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</si>
  <si>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</si>
  <si>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</si>
  <si>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</si>
  <si>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</si>
  <si>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</si>
  <si>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</si>
  <si>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Winter Season</t>
  </si>
  <si>
    <t>Summer Season</t>
  </si>
  <si>
    <t>Source: (a)(c)(d)</t>
  </si>
  <si>
    <t>aMW</t>
  </si>
  <si>
    <t>Current</t>
  </si>
  <si>
    <t>Avoided Costs</t>
  </si>
  <si>
    <t xml:space="preserve"> </t>
  </si>
  <si>
    <t>Price</t>
  </si>
  <si>
    <t>Annual Seasonal Average</t>
  </si>
  <si>
    <t>Annual Average</t>
  </si>
  <si>
    <t>Cap Cost</t>
  </si>
  <si>
    <t>Fixed</t>
  </si>
  <si>
    <t>Heat Rate</t>
  </si>
  <si>
    <t>MW</t>
  </si>
  <si>
    <t xml:space="preserve"> $/kW-yr</t>
  </si>
  <si>
    <t>Percent</t>
  </si>
  <si>
    <t>CCCT Statistics</t>
  </si>
  <si>
    <t>Capacity Weighted</t>
  </si>
  <si>
    <t>CF</t>
  </si>
  <si>
    <t>Energy Weighted</t>
  </si>
  <si>
    <t>Source:</t>
  </si>
  <si>
    <t>Table 8</t>
  </si>
  <si>
    <t>Total Cost of Displaceable Resources</t>
  </si>
  <si>
    <t xml:space="preserve">  MW Plant capacity</t>
  </si>
  <si>
    <t xml:space="preserve">  Plant capacity cost - in $/kW</t>
  </si>
  <si>
    <t xml:space="preserve">  Payment Factor</t>
  </si>
  <si>
    <t xml:space="preserve">  Capacity Factor</t>
  </si>
  <si>
    <t>Sources, Inputs and Assumptions</t>
  </si>
  <si>
    <t>Variable</t>
  </si>
  <si>
    <t>Rounded</t>
  </si>
  <si>
    <t>CCCT</t>
  </si>
  <si>
    <t>Duct Firing</t>
  </si>
  <si>
    <t>Table 9</t>
  </si>
  <si>
    <t>Burnertip</t>
  </si>
  <si>
    <t>Source</t>
  </si>
  <si>
    <t>Gas Fuel Costs</t>
  </si>
  <si>
    <t>Delivered</t>
  </si>
  <si>
    <t xml:space="preserve">Combined </t>
  </si>
  <si>
    <t>Note:</t>
  </si>
  <si>
    <t>FORWARD PRICE CURVE SUMMARY</t>
  </si>
  <si>
    <t>Quotes Dated:</t>
  </si>
  <si>
    <t>Burnertip Annual</t>
  </si>
  <si>
    <t>Sample of source data</t>
  </si>
  <si>
    <t>Average Price</t>
  </si>
  <si>
    <t>Month</t>
  </si>
  <si>
    <t>Natural Gas Price Delivered to Plant  ($/MMBtu)</t>
  </si>
  <si>
    <t>Natural Gas Price - Delivered to Plant</t>
  </si>
  <si>
    <t>($/MWH)</t>
  </si>
  <si>
    <t>Intended to be Cut and Pasted Directly into the Tariff</t>
  </si>
  <si>
    <t>Days</t>
  </si>
  <si>
    <t>Leap Year</t>
  </si>
  <si>
    <t xml:space="preserve">  Energy Weighted Capacity Factor</t>
  </si>
  <si>
    <t>¢/kWh</t>
  </si>
  <si>
    <t xml:space="preserve">  Fixed O&amp;M including Fixed Pipeline &amp; on-going capital cost</t>
  </si>
  <si>
    <t xml:space="preserve">  Plant capacity cost</t>
  </si>
  <si>
    <t xml:space="preserve">  Fixed Pipeline</t>
  </si>
  <si>
    <t xml:space="preserve">  Heat Rate in btu/kWh</t>
  </si>
  <si>
    <t>GRID Production Cost Model Study</t>
  </si>
  <si>
    <t>Page 1 of 3</t>
  </si>
  <si>
    <t>Page 2 of 3</t>
  </si>
  <si>
    <t>Total Resource Energy Cost</t>
  </si>
  <si>
    <t>Total Resource Costs</t>
  </si>
  <si>
    <t>$/MWh</t>
  </si>
  <si>
    <t>Page 3 of 3</t>
  </si>
  <si>
    <t>Company Official Inflation Forecast  - Dated March 2010</t>
  </si>
  <si>
    <t>Energy</t>
  </si>
  <si>
    <t>Calendar Year</t>
  </si>
  <si>
    <t xml:space="preserve">  Fixed O&amp;M including Fixed Pipeline &amp; Capitalized O&amp;M ($/kW-Yr)</t>
  </si>
  <si>
    <t xml:space="preserve">  Fixed O&amp;M &amp; Capitalized O&amp;M</t>
  </si>
  <si>
    <t xml:space="preserve">  Variable O&amp;M Costs &amp; Capitalized Variable O&amp;M ($/MWh)</t>
  </si>
  <si>
    <t>Comparison between Proposed and Current Avoided Costs</t>
  </si>
  <si>
    <t>Proposed (1)</t>
  </si>
  <si>
    <t>Avoided Energy - $/MWH</t>
  </si>
  <si>
    <t>Loads and Resources</t>
  </si>
  <si>
    <t>Net Load</t>
  </si>
  <si>
    <t>Long Term Sales</t>
  </si>
  <si>
    <t>Short Term Firm Sales</t>
  </si>
  <si>
    <t>Total Requirements</t>
  </si>
  <si>
    <t>Long Term Purchases</t>
  </si>
  <si>
    <t>Short Term Firm Purchase</t>
  </si>
  <si>
    <t>Thermal Generation</t>
  </si>
  <si>
    <t>Other Generation</t>
  </si>
  <si>
    <t>Reserves</t>
  </si>
  <si>
    <t>Total Resources after Reserves</t>
  </si>
  <si>
    <t>Surplus / (Deficit)</t>
  </si>
  <si>
    <t>Percent Surplus / (Deficit)</t>
  </si>
  <si>
    <t>Peak (July)</t>
  </si>
  <si>
    <t>Peak (January)</t>
  </si>
  <si>
    <t>month offset</t>
  </si>
  <si>
    <t>SCCT Frame "F"x1 - West Side Options (1500')</t>
  </si>
  <si>
    <t>(1)</t>
  </si>
  <si>
    <t>Notes</t>
  </si>
  <si>
    <t>(2)</t>
  </si>
  <si>
    <t>(3)</t>
  </si>
  <si>
    <t>Off-Peak is the average annual energy only cost including capitalized energy</t>
  </si>
  <si>
    <t>On-Peak is average annual energy plus capacity costs</t>
  </si>
  <si>
    <r>
      <rPr>
        <sz val="9.35"/>
        <rFont val="Times New Roman"/>
        <family val="1"/>
      </rPr>
      <t xml:space="preserve">Illustrative </t>
    </r>
    <r>
      <rPr>
        <b/>
        <sz val="11"/>
        <rFont val="Times New Roman"/>
        <family val="1"/>
      </rPr>
      <t>Base Load - On- &amp; Off Peak- Avoided Cost Prices (1)</t>
    </r>
  </si>
  <si>
    <t>Avoided Cost Prices</t>
  </si>
  <si>
    <t>Deliveries</t>
  </si>
  <si>
    <t>During</t>
  </si>
  <si>
    <t>Payment</t>
  </si>
  <si>
    <t xml:space="preserve"> $/kW-Month</t>
  </si>
  <si>
    <t>$/kW-month</t>
  </si>
  <si>
    <t>CCCT Proxy Resource</t>
  </si>
  <si>
    <t>Fixed Cost</t>
  </si>
  <si>
    <t>Table 6</t>
  </si>
  <si>
    <t>Fixed Cost x 3 Months</t>
  </si>
  <si>
    <t>Table 2</t>
  </si>
  <si>
    <t>Avoided Resource</t>
  </si>
  <si>
    <t>West Side Gas</t>
  </si>
  <si>
    <t>Table 1</t>
  </si>
  <si>
    <t>(1)  Discount Rate - 2015 IRP Discount Rate</t>
  </si>
  <si>
    <t xml:space="preserve">  (c)and (d)</t>
  </si>
  <si>
    <t xml:space="preserve">   lower than the fixed cost of SCCT.</t>
  </si>
  <si>
    <t xml:space="preserve">    Capitalized energy costs are zero since fixed cost of CCCT is </t>
  </si>
  <si>
    <t xml:space="preserve">  Variable O&amp;M Costs including O&amp;M Capitalized in $/MWh </t>
  </si>
  <si>
    <t>Total Avoided Costs at Stated Capacity Factor are provided for illustrative</t>
  </si>
  <si>
    <t xml:space="preserve">purposes and are not used for QF pricing. </t>
  </si>
  <si>
    <t>(x)</t>
  </si>
  <si>
    <t>BASE LOAD</t>
  </si>
  <si>
    <t>WIND</t>
  </si>
  <si>
    <t>SOLAR FIXED</t>
  </si>
  <si>
    <t>SOLAR TRACKING</t>
  </si>
  <si>
    <t>Total Avoided Costs with Capacity Costs included at 85.0% Capacity Factor</t>
  </si>
  <si>
    <t>Total Avoided Costs with Capacity Costs included at 40.0% Capacity Factor</t>
  </si>
  <si>
    <t>Total Avoided Costs with Capacity Costs included at 18.5% Capacity Factor</t>
  </si>
  <si>
    <t>Total Avoided Costs with Capacity Costs included at 29.0% Capacity Factor</t>
  </si>
  <si>
    <t xml:space="preserve"> Short Run avoided Capacity costs: Table 3  Column (b), </t>
  </si>
  <si>
    <t xml:space="preserve">Long Run Avoided capcity Costs: Table 3 Column (a)  </t>
  </si>
  <si>
    <t>10-Year Nominal Levelized (2017 - 2026)</t>
  </si>
  <si>
    <t xml:space="preserve">  Current Commission approved rates that became effective February 15, 2016</t>
  </si>
  <si>
    <t>(c)=(a)-(b)</t>
  </si>
  <si>
    <t>GRID Production Cost Computer Model Study - Dated  November 29, 2017</t>
  </si>
  <si>
    <t>Pacific NW</t>
  </si>
  <si>
    <t>2018 through 2027</t>
  </si>
  <si>
    <t xml:space="preserve"> $/MWh</t>
  </si>
  <si>
    <t>Plant Costs  - 2017 IRP - Table 6.1 &amp; 6.2</t>
  </si>
  <si>
    <t>CCCT (Dry "G/H",1x1)  - West Side Options (1500')</t>
  </si>
  <si>
    <t>CCCT (Dry "G/H",1x1)</t>
  </si>
  <si>
    <t>CCCT Duct Firing (Dry "G/H",1x1)</t>
  </si>
  <si>
    <t>2016 $</t>
  </si>
  <si>
    <t>Discount Rate - 2017 IRP</t>
  </si>
  <si>
    <t>Company Official Inflation Forecast Dated 2017 3rd Quarter</t>
  </si>
  <si>
    <t xml:space="preserve">  Extrapolated at inflation</t>
  </si>
  <si>
    <t>5-Year Nominal Levelized (2018 - 2022) @ 6.570% 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</si>
</sst>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&quot;$&quot;#,##0.00"/>
    <numFmt numFmtId="168" formatCode="_(&quot;$&quot;* #,##0.00_);_(&quot;$&quot;* \(#,##0.00\);_(&quot;$&quot;* &quot;-&quot;?_);_(@_)"/>
    <numFmt numFmtId="169" formatCode="0.0%"/>
    <numFmt numFmtId="170" formatCode="_(* #,##0.00_);_(* \(#,##0.00\);_(* &quot;-&quot;_);_(@_)"/>
    <numFmt numFmtId="171" formatCode="&quot;$&quot;###0;[Red]\(&quot;$&quot;###0\)"/>
    <numFmt numFmtId="172" formatCode="_(&quot;$&quot;* #,##0_);_(&quot;$&quot;* \(#,##0\);_(&quot;$&quot;* &quot;-&quot;??_);_(@_)"/>
    <numFmt numFmtId="173" formatCode="_(* #,##0.000_);_(* \(#,##0.000\);_(* &quot;-&quot;_);_(@_)"/>
    <numFmt numFmtId="174" formatCode="&quot;$&quot;#,##0.000_);[Red]\(&quot;$&quot;#,##0.000\)"/>
    <numFmt numFmtId="175" formatCode="_(* #,##0_);[Red]_(* \(#,##0\);_(* &quot;-&quot;_);_(@_)"/>
    <numFmt numFmtId="176" formatCode="0.000"/>
    <numFmt numFmtId="177" formatCode="[$-409]mmmm\ d\,\ yyyy;@"/>
    <numFmt numFmtId="178" formatCode="_(* #,##0.00_);[Red]_(* \(#,##0.00\);_(* &quot;-&quot;_);_(@_)"/>
    <numFmt numFmtId="179" formatCode="0.000%"/>
    <numFmt numFmtId="180" formatCode="_(* #,##0.0_);[Red]_(* \(#,##0.0\);_(* &quot;-&quot;_);_(@_)"/>
    <numFmt numFmtId="181" formatCode="mmm"/>
    <numFmt numFmtId="182" formatCode="&quot;$&quot;#,##0.00\(\x\)"/>
    <numFmt numFmtId="183" formatCode="_(* #,##0.000_);[Red]_(* \(#,##0.000\);_(* &quot;-&quot;_);_(@_)"/>
  </numFmts>
  <fonts count="30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8"/>
      <color indexed="18"/>
      <name val="Helv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color rgb="FFFF0000"/>
      <name val="Times New Roman"/>
      <family val="1"/>
    </font>
    <font>
      <sz val="9.35"/>
      <name val="Times New Roman"/>
      <family val="1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175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6" fillId="0" borderId="0" applyFont="0" applyFill="0" applyBorder="0" applyProtection="0">
      <alignment horizontal="right"/>
    </xf>
    <xf numFmtId="0" fontId="15" fillId="0" borderId="0" applyNumberFormat="0" applyFill="0" applyBorder="0" applyAlignment="0">
      <protection locked="0"/>
    </xf>
    <xf numFmtId="165" fontId="17" fillId="0" borderId="0" applyNumberFormat="0" applyFill="0" applyBorder="0" applyAlignment="0" applyProtection="0"/>
    <xf numFmtId="0" fontId="18" fillId="0" borderId="1" applyNumberFormat="0" applyBorder="0" applyAlignment="0"/>
    <xf numFmtId="0" fontId="2" fillId="0" borderId="0"/>
    <xf numFmtId="41" fontId="4" fillId="0" borderId="0"/>
    <xf numFmtId="0" fontId="4" fillId="0" borderId="0"/>
    <xf numFmtId="175" fontId="4" fillId="0" borderId="0"/>
    <xf numFmtId="0" fontId="2" fillId="0" borderId="0"/>
    <xf numFmtId="12" fontId="14" fillId="2" borderId="2">
      <alignment horizontal="left"/>
    </xf>
    <xf numFmtId="9" fontId="2" fillId="0" borderId="0" applyFont="0" applyFill="0" applyBorder="0" applyAlignment="0" applyProtection="0"/>
    <xf numFmtId="37" fontId="18" fillId="3" borderId="0" applyNumberFormat="0" applyBorder="0" applyAlignment="0" applyProtection="0"/>
    <xf numFmtId="37" fontId="19" fillId="0" borderId="0"/>
    <xf numFmtId="3" fontId="20" fillId="4" borderId="3" applyProtection="0"/>
    <xf numFmtId="0" fontId="2" fillId="0" borderId="0"/>
    <xf numFmtId="0" fontId="1" fillId="0" borderId="0"/>
    <xf numFmtId="175" fontId="2" fillId="0" borderId="0"/>
    <xf numFmtId="175" fontId="2" fillId="0" borderId="0"/>
    <xf numFmtId="175" fontId="4" fillId="0" borderId="0"/>
    <xf numFmtId="175" fontId="4" fillId="0" borderId="0"/>
  </cellStyleXfs>
  <cellXfs count="374">
    <xf numFmtId="175" fontId="0" fillId="0" borderId="0" xfId="0"/>
    <xf numFmtId="175" fontId="5" fillId="0" borderId="0" xfId="0" applyFont="1" applyFill="1" applyAlignment="1">
      <alignment horizontal="centerContinuous"/>
    </xf>
    <xf numFmtId="175" fontId="12" fillId="0" borderId="0" xfId="0" applyFont="1" applyFill="1"/>
    <xf numFmtId="175" fontId="12" fillId="0" borderId="0" xfId="0" applyFont="1" applyFill="1" applyBorder="1"/>
    <xf numFmtId="175" fontId="12" fillId="0" borderId="4" xfId="0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center"/>
    </xf>
    <xf numFmtId="175" fontId="4" fillId="0" borderId="0" xfId="0" applyFont="1" applyFill="1"/>
    <xf numFmtId="175" fontId="6" fillId="0" borderId="0" xfId="0" applyFont="1" applyFill="1" applyAlignment="1">
      <alignment horizontal="centerContinuous"/>
    </xf>
    <xf numFmtId="175" fontId="4" fillId="0" borderId="5" xfId="0" applyFont="1" applyFill="1" applyBorder="1" applyAlignment="1">
      <alignment horizontal="centerContinuous"/>
    </xf>
    <xf numFmtId="175" fontId="4" fillId="0" borderId="0" xfId="0" applyFont="1" applyFill="1" applyBorder="1"/>
    <xf numFmtId="175" fontId="4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"/>
    </xf>
    <xf numFmtId="175" fontId="12" fillId="0" borderId="6" xfId="0" applyFont="1" applyFill="1" applyBorder="1" applyAlignment="1">
      <alignment horizontal="center"/>
    </xf>
    <xf numFmtId="175" fontId="12" fillId="0" borderId="7" xfId="0" applyFont="1" applyFill="1" applyBorder="1" applyAlignment="1">
      <alignment horizontal="center"/>
    </xf>
    <xf numFmtId="175" fontId="9" fillId="0" borderId="0" xfId="0" applyFont="1" applyFill="1"/>
    <xf numFmtId="175" fontId="4" fillId="0" borderId="0" xfId="0" quotePrefix="1" applyFont="1" applyFill="1" applyBorder="1" applyAlignment="1">
      <alignment horizontal="center"/>
    </xf>
    <xf numFmtId="175" fontId="9" fillId="0" borderId="0" xfId="0" applyFont="1" applyFill="1" applyAlignment="1">
      <alignment horizontal="centerContinuous"/>
    </xf>
    <xf numFmtId="175" fontId="10" fillId="0" borderId="0" xfId="0" applyFont="1" applyFill="1"/>
    <xf numFmtId="175" fontId="4" fillId="0" borderId="0" xfId="0" quotePrefix="1" applyFont="1" applyFill="1" applyAlignment="1">
      <alignment horizontal="right"/>
    </xf>
    <xf numFmtId="175" fontId="5" fillId="0" borderId="0" xfId="0" applyFont="1" applyFill="1" applyBorder="1" applyAlignment="1">
      <alignment horizontal="center"/>
    </xf>
    <xf numFmtId="175" fontId="6" fillId="0" borderId="0" xfId="0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Continuous"/>
    </xf>
    <xf numFmtId="175" fontId="8" fillId="0" borderId="0" xfId="0" quotePrefix="1" applyFont="1" applyFill="1" applyAlignment="1">
      <alignment horizontal="center"/>
    </xf>
    <xf numFmtId="8" fontId="8" fillId="0" borderId="0" xfId="0" applyNumberFormat="1" applyFont="1" applyFill="1" applyAlignment="1"/>
    <xf numFmtId="175" fontId="3" fillId="0" borderId="0" xfId="0" applyFont="1" applyFill="1" applyBorder="1" applyAlignment="1">
      <alignment horizontal="left"/>
    </xf>
    <xf numFmtId="175" fontId="10" fillId="0" borderId="0" xfId="0" applyFont="1" applyFill="1" applyAlignment="1">
      <alignment horizontal="centerContinuous"/>
    </xf>
    <xf numFmtId="175" fontId="5" fillId="0" borderId="0" xfId="0" applyFont="1" applyFill="1" applyBorder="1" applyAlignment="1">
      <alignment horizontal="centerContinuous"/>
    </xf>
    <xf numFmtId="175" fontId="6" fillId="0" borderId="0" xfId="0" applyFont="1" applyFill="1" applyBorder="1" applyAlignment="1">
      <alignment horizontal="centerContinuous"/>
    </xf>
    <xf numFmtId="8" fontId="8" fillId="0" borderId="0" xfId="0" applyNumberFormat="1" applyFont="1" applyFill="1" applyBorder="1" applyAlignment="1">
      <alignment horizontal="left"/>
    </xf>
    <xf numFmtId="175" fontId="4" fillId="0" borderId="0" xfId="0" quotePrefix="1" applyFont="1" applyFill="1" applyBorder="1" applyAlignment="1">
      <alignment horizontal="left"/>
    </xf>
    <xf numFmtId="175" fontId="12" fillId="0" borderId="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Continuous"/>
    </xf>
    <xf numFmtId="1" fontId="12" fillId="0" borderId="0" xfId="0" applyNumberFormat="1" applyFont="1" applyFill="1" applyAlignment="1">
      <alignment horizontal="center"/>
    </xf>
    <xf numFmtId="175" fontId="12" fillId="0" borderId="4" xfId="0" applyFont="1" applyFill="1" applyBorder="1"/>
    <xf numFmtId="175" fontId="12" fillId="0" borderId="6" xfId="0" applyFont="1" applyFill="1" applyBorder="1"/>
    <xf numFmtId="175" fontId="12" fillId="0" borderId="10" xfId="0" applyFont="1" applyFill="1" applyBorder="1"/>
    <xf numFmtId="175" fontId="12" fillId="0" borderId="10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Continuous"/>
    </xf>
    <xf numFmtId="175" fontId="12" fillId="0" borderId="4" xfId="0" applyFont="1" applyFill="1" applyBorder="1" applyAlignment="1">
      <alignment horizontal="centerContinuous"/>
    </xf>
    <xf numFmtId="175" fontId="12" fillId="0" borderId="12" xfId="0" applyFont="1" applyFill="1" applyBorder="1" applyAlignment="1">
      <alignment horizontal="center"/>
    </xf>
    <xf numFmtId="175" fontId="12" fillId="0" borderId="13" xfId="0" applyFont="1" applyFill="1" applyBorder="1" applyAlignment="1">
      <alignment horizontal="centerContinuous"/>
    </xf>
    <xf numFmtId="175" fontId="12" fillId="0" borderId="12" xfId="0" applyFont="1" applyFill="1" applyBorder="1"/>
    <xf numFmtId="175" fontId="12" fillId="0" borderId="14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Continuous"/>
    </xf>
    <xf numFmtId="175" fontId="12" fillId="0" borderId="13" xfId="0" applyFont="1" applyFill="1" applyBorder="1" applyAlignment="1">
      <alignment horizontal="center"/>
    </xf>
    <xf numFmtId="175" fontId="12" fillId="0" borderId="16" xfId="0" applyFont="1" applyFill="1" applyBorder="1" applyAlignment="1">
      <alignment horizontal="center"/>
    </xf>
    <xf numFmtId="175" fontId="12" fillId="0" borderId="12" xfId="0" applyFont="1" applyFill="1" applyBorder="1" applyAlignment="1">
      <alignment horizontal="centerContinuous"/>
    </xf>
    <xf numFmtId="9" fontId="12" fillId="0" borderId="6" xfId="13" applyFont="1" applyFill="1" applyBorder="1" applyAlignment="1">
      <alignment horizontal="center"/>
    </xf>
    <xf numFmtId="175" fontId="12" fillId="0" borderId="11" xfId="0" quotePrefix="1" applyFont="1" applyFill="1" applyBorder="1" applyAlignment="1">
      <alignment horizontal="centerContinuous"/>
    </xf>
    <xf numFmtId="175" fontId="12" fillId="0" borderId="8" xfId="0" quotePrefix="1" applyFont="1" applyFill="1" applyBorder="1" applyAlignment="1">
      <alignment horizontal="centerContinuous"/>
    </xf>
    <xf numFmtId="175" fontId="12" fillId="0" borderId="0" xfId="0" quotePrefix="1" applyFont="1" applyFill="1"/>
    <xf numFmtId="169" fontId="11" fillId="0" borderId="0" xfId="13" applyNumberFormat="1" applyFont="1" applyFill="1"/>
    <xf numFmtId="41" fontId="11" fillId="0" borderId="0" xfId="8" applyFont="1" applyFill="1"/>
    <xf numFmtId="164" fontId="11" fillId="0" borderId="0" xfId="8" applyNumberFormat="1" applyFont="1" applyFill="1"/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75" fontId="4" fillId="0" borderId="11" xfId="0" applyFont="1" applyFill="1" applyBorder="1" applyAlignment="1">
      <alignment horizontal="center"/>
    </xf>
    <xf numFmtId="8" fontId="4" fillId="0" borderId="7" xfId="0" applyNumberFormat="1" applyFont="1" applyFill="1" applyBorder="1" applyAlignment="1">
      <alignment horizontal="center"/>
    </xf>
    <xf numFmtId="175" fontId="4" fillId="0" borderId="0" xfId="0" applyFont="1" applyFill="1" applyBorder="1" applyAlignment="1">
      <alignment horizontal="left"/>
    </xf>
    <xf numFmtId="175" fontId="4" fillId="0" borderId="0" xfId="0" quotePrefix="1" applyFont="1" applyFill="1"/>
    <xf numFmtId="175" fontId="4" fillId="0" borderId="8" xfId="0" applyFont="1" applyFill="1" applyBorder="1" applyAlignment="1">
      <alignment horizontal="centerContinuous"/>
    </xf>
    <xf numFmtId="175" fontId="4" fillId="0" borderId="17" xfId="0" applyFont="1" applyFill="1" applyBorder="1" applyAlignment="1">
      <alignment horizontal="centerContinuous"/>
    </xf>
    <xf numFmtId="175" fontId="4" fillId="0" borderId="0" xfId="0" applyFont="1" applyFill="1" applyAlignment="1">
      <alignment horizontal="right"/>
    </xf>
    <xf numFmtId="175" fontId="4" fillId="0" borderId="0" xfId="0" applyFont="1" applyFill="1" applyBorder="1" applyAlignment="1">
      <alignment horizontal="right"/>
    </xf>
    <xf numFmtId="8" fontId="4" fillId="0" borderId="0" xfId="0" applyNumberFormat="1" applyFont="1" applyFill="1"/>
    <xf numFmtId="167" fontId="4" fillId="0" borderId="0" xfId="0" applyNumberFormat="1" applyFont="1" applyFill="1" applyAlignment="1">
      <alignment horizontal="left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167" fontId="4" fillId="0" borderId="16" xfId="0" applyNumberFormat="1" applyFont="1" applyFill="1" applyBorder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center"/>
    </xf>
    <xf numFmtId="167" fontId="4" fillId="0" borderId="15" xfId="0" applyNumberFormat="1" applyFont="1" applyFill="1" applyBorder="1" applyAlignment="1">
      <alignment horizontal="center"/>
    </xf>
    <xf numFmtId="175" fontId="7" fillId="0" borderId="0" xfId="0" applyFont="1" applyFill="1" applyBorder="1" applyAlignment="1">
      <alignment horizontal="center"/>
    </xf>
    <xf numFmtId="175" fontId="7" fillId="0" borderId="0" xfId="0" quotePrefix="1" applyFont="1" applyFill="1" applyBorder="1" applyAlignment="1">
      <alignment horizontal="center"/>
    </xf>
    <xf numFmtId="8" fontId="12" fillId="0" borderId="0" xfId="0" applyNumberFormat="1" applyFont="1" applyFill="1" applyAlignment="1">
      <alignment horizontal="center"/>
    </xf>
    <xf numFmtId="8" fontId="8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7" fontId="12" fillId="0" borderId="7" xfId="0" applyNumberFormat="1" applyFont="1" applyFill="1" applyBorder="1" applyAlignment="1">
      <alignment horizontal="center"/>
    </xf>
    <xf numFmtId="175" fontId="4" fillId="0" borderId="0" xfId="10" applyFont="1" applyFill="1"/>
    <xf numFmtId="175" fontId="5" fillId="0" borderId="0" xfId="10" applyFont="1" applyFill="1" applyAlignment="1">
      <alignment horizontal="centerContinuous"/>
    </xf>
    <xf numFmtId="175" fontId="3" fillId="0" borderId="4" xfId="10" applyFont="1" applyFill="1" applyBorder="1" applyAlignment="1">
      <alignment horizontal="center"/>
    </xf>
    <xf numFmtId="175" fontId="3" fillId="0" borderId="4" xfId="10" applyFont="1" applyFill="1" applyBorder="1" applyAlignment="1">
      <alignment horizontal="center" wrapText="1"/>
    </xf>
    <xf numFmtId="175" fontId="13" fillId="0" borderId="10" xfId="10" applyFont="1" applyFill="1" applyBorder="1" applyAlignment="1">
      <alignment horizontal="centerContinuous"/>
    </xf>
    <xf numFmtId="175" fontId="22" fillId="0" borderId="10" xfId="10" quotePrefix="1" applyFont="1" applyFill="1" applyBorder="1" applyAlignment="1">
      <alignment horizontal="center" wrapText="1"/>
    </xf>
    <xf numFmtId="175" fontId="22" fillId="0" borderId="10" xfId="10" applyFont="1" applyFill="1" applyBorder="1" applyAlignment="1">
      <alignment horizontal="center" wrapText="1"/>
    </xf>
    <xf numFmtId="175" fontId="7" fillId="0" borderId="0" xfId="10" quotePrefix="1" applyFont="1" applyFill="1" applyBorder="1" applyAlignment="1">
      <alignment horizontal="center"/>
    </xf>
    <xf numFmtId="175" fontId="23" fillId="0" borderId="0" xfId="10" applyFont="1" applyFill="1" applyBorder="1"/>
    <xf numFmtId="175" fontId="3" fillId="0" borderId="19" xfId="10" applyFont="1" applyFill="1" applyBorder="1" applyAlignment="1">
      <alignment horizontal="centerContinuous"/>
    </xf>
    <xf numFmtId="175" fontId="3" fillId="0" borderId="20" xfId="10" applyFont="1" applyFill="1" applyBorder="1" applyAlignment="1">
      <alignment horizontal="centerContinuous"/>
    </xf>
    <xf numFmtId="175" fontId="3" fillId="0" borderId="21" xfId="10" applyFont="1" applyFill="1" applyBorder="1" applyAlignment="1">
      <alignment horizontal="centerContinuous"/>
    </xf>
    <xf numFmtId="41" fontId="3" fillId="0" borderId="20" xfId="8" applyFont="1" applyFill="1" applyBorder="1" applyAlignment="1">
      <alignment horizontal="centerContinuous"/>
    </xf>
    <xf numFmtId="41" fontId="3" fillId="0" borderId="22" xfId="8" applyFont="1" applyFill="1" applyBorder="1" applyAlignment="1">
      <alignment horizontal="centerContinuous"/>
    </xf>
    <xf numFmtId="175" fontId="6" fillId="0" borderId="0" xfId="10" applyFont="1" applyFill="1" applyAlignment="1">
      <alignment horizontal="centerContinuous"/>
    </xf>
    <xf numFmtId="175" fontId="3" fillId="0" borderId="0" xfId="10" applyFont="1" applyFill="1" applyAlignment="1">
      <alignment horizontal="centerContinuous"/>
    </xf>
    <xf numFmtId="175" fontId="3" fillId="0" borderId="11" xfId="10" applyFont="1" applyFill="1" applyBorder="1" applyAlignment="1">
      <alignment horizontal="centerContinuous"/>
    </xf>
    <xf numFmtId="175" fontId="3" fillId="0" borderId="5" xfId="10" applyFont="1" applyFill="1" applyBorder="1" applyAlignment="1">
      <alignment horizontal="centerContinuous"/>
    </xf>
    <xf numFmtId="175" fontId="3" fillId="0" borderId="11" xfId="10" applyFont="1" applyFill="1" applyBorder="1" applyAlignment="1">
      <alignment horizontal="center"/>
    </xf>
    <xf numFmtId="41" fontId="11" fillId="0" borderId="0" xfId="10" applyNumberFormat="1" applyFont="1" applyFill="1"/>
    <xf numFmtId="6" fontId="11" fillId="0" borderId="0" xfId="2" applyNumberFormat="1" applyFont="1" applyFill="1"/>
    <xf numFmtId="8" fontId="11" fillId="0" borderId="0" xfId="2" applyNumberFormat="1" applyFont="1" applyFill="1"/>
    <xf numFmtId="175" fontId="11" fillId="0" borderId="0" xfId="10" applyFont="1" applyFill="1"/>
    <xf numFmtId="164" fontId="7" fillId="0" borderId="0" xfId="10" applyNumberFormat="1" applyFont="1" applyFill="1" applyAlignment="1">
      <alignment horizontal="right"/>
    </xf>
    <xf numFmtId="175" fontId="3" fillId="0" borderId="8" xfId="10" applyFont="1" applyFill="1" applyBorder="1" applyAlignment="1">
      <alignment horizontal="centerContinuous"/>
    </xf>
    <xf numFmtId="175" fontId="3" fillId="0" borderId="6" xfId="10" applyFont="1" applyFill="1" applyBorder="1" applyAlignment="1">
      <alignment horizontal="center"/>
    </xf>
    <xf numFmtId="175" fontId="4" fillId="0" borderId="10" xfId="10" applyFont="1" applyFill="1" applyBorder="1"/>
    <xf numFmtId="175" fontId="3" fillId="0" borderId="10" xfId="10" applyFont="1" applyFill="1" applyBorder="1" applyAlignment="1">
      <alignment horizontal="center"/>
    </xf>
    <xf numFmtId="175" fontId="4" fillId="0" borderId="0" xfId="10" applyFont="1" applyFill="1" applyBorder="1" applyAlignment="1">
      <alignment horizontal="center"/>
    </xf>
    <xf numFmtId="175" fontId="4" fillId="0" borderId="0" xfId="10" quotePrefix="1" applyFont="1" applyFill="1" applyBorder="1" applyAlignment="1">
      <alignment horizontal="center"/>
    </xf>
    <xf numFmtId="0" fontId="4" fillId="0" borderId="0" xfId="10" applyNumberFormat="1" applyFont="1" applyFill="1" applyAlignment="1">
      <alignment horizontal="center"/>
    </xf>
    <xf numFmtId="167" fontId="4" fillId="0" borderId="0" xfId="10" applyNumberFormat="1" applyFont="1" applyFill="1" applyBorder="1" applyAlignment="1">
      <alignment horizontal="center"/>
    </xf>
    <xf numFmtId="175" fontId="24" fillId="0" borderId="0" xfId="10" applyFont="1" applyFill="1" applyAlignment="1">
      <alignment horizontal="left"/>
    </xf>
    <xf numFmtId="167" fontId="8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"/>
    </xf>
    <xf numFmtId="175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175" fontId="3" fillId="0" borderId="0" xfId="0" applyFont="1" applyFill="1"/>
    <xf numFmtId="175" fontId="3" fillId="0" borderId="8" xfId="0" applyFont="1" applyFill="1" applyBorder="1" applyAlignment="1">
      <alignment horizontal="center"/>
    </xf>
    <xf numFmtId="175" fontId="3" fillId="0" borderId="5" xfId="0" applyFont="1" applyFill="1" applyBorder="1" applyAlignment="1">
      <alignment horizontal="center"/>
    </xf>
    <xf numFmtId="175" fontId="3" fillId="0" borderId="17" xfId="0" applyFont="1" applyFill="1" applyBorder="1" applyAlignment="1">
      <alignment horizontal="center"/>
    </xf>
    <xf numFmtId="175" fontId="3" fillId="0" borderId="11" xfId="0" applyFont="1" applyFill="1" applyBorder="1" applyAlignment="1">
      <alignment horizontal="center"/>
    </xf>
    <xf numFmtId="175" fontId="21" fillId="0" borderId="0" xfId="0" applyFont="1" applyFill="1"/>
    <xf numFmtId="175" fontId="12" fillId="0" borderId="0" xfId="10" applyFont="1" applyFill="1"/>
    <xf numFmtId="175" fontId="12" fillId="0" borderId="0" xfId="10" applyFont="1" applyFill="1" applyAlignment="1">
      <alignment horizontal="centerContinuous"/>
    </xf>
    <xf numFmtId="175" fontId="25" fillId="0" borderId="0" xfId="10" applyFont="1" applyFill="1"/>
    <xf numFmtId="175" fontId="25" fillId="0" borderId="0" xfId="10" applyFont="1" applyFill="1" applyAlignment="1">
      <alignment horizontal="right"/>
    </xf>
    <xf numFmtId="8" fontId="12" fillId="0" borderId="0" xfId="0" applyNumberFormat="1" applyFont="1" applyFill="1" applyBorder="1" applyAlignment="1">
      <alignment horizontal="centerContinuous"/>
    </xf>
    <xf numFmtId="0" fontId="12" fillId="0" borderId="12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right"/>
    </xf>
    <xf numFmtId="8" fontId="12" fillId="0" borderId="15" xfId="0" applyNumberFormat="1" applyFont="1" applyFill="1" applyBorder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167" fontId="12" fillId="0" borderId="15" xfId="0" applyNumberFormat="1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"/>
    </xf>
    <xf numFmtId="8" fontId="12" fillId="0" borderId="0" xfId="0" applyNumberFormat="1" applyFont="1" applyFill="1" applyBorder="1"/>
    <xf numFmtId="175" fontId="12" fillId="0" borderId="6" xfId="0" applyFont="1" applyFill="1" applyBorder="1" applyAlignment="1">
      <alignment horizontal="centerContinuous"/>
    </xf>
    <xf numFmtId="175" fontId="12" fillId="0" borderId="13" xfId="0" applyFont="1" applyFill="1" applyBorder="1"/>
    <xf numFmtId="175" fontId="12" fillId="0" borderId="7" xfId="0" quotePrefix="1" applyFont="1" applyFill="1" applyBorder="1" applyAlignment="1">
      <alignment horizontal="center"/>
    </xf>
    <xf numFmtId="175" fontId="12" fillId="0" borderId="10" xfId="0" quotePrefix="1" applyFont="1" applyFill="1" applyBorder="1" applyAlignment="1">
      <alignment horizontal="center"/>
    </xf>
    <xf numFmtId="175" fontId="7" fillId="0" borderId="10" xfId="0" quotePrefix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75" fontId="12" fillId="0" borderId="1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Continuous"/>
    </xf>
    <xf numFmtId="0" fontId="12" fillId="0" borderId="9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12" xfId="0" applyNumberFormat="1" applyFont="1" applyFill="1" applyBorder="1" applyAlignment="1">
      <alignment horizontal="center"/>
    </xf>
    <xf numFmtId="175" fontId="4" fillId="0" borderId="6" xfId="0" quotePrefix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70" fontId="4" fillId="0" borderId="0" xfId="0" applyNumberFormat="1" applyFont="1" applyFill="1"/>
    <xf numFmtId="175" fontId="12" fillId="0" borderId="8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75" fontId="0" fillId="0" borderId="0" xfId="0" applyFont="1" applyFill="1"/>
    <xf numFmtId="175" fontId="0" fillId="0" borderId="0" xfId="0" applyFont="1" applyFill="1" applyAlignment="1">
      <alignment horizontal="centerContinuous"/>
    </xf>
    <xf numFmtId="177" fontId="0" fillId="0" borderId="0" xfId="0" applyNumberFormat="1" applyFont="1" applyFill="1"/>
    <xf numFmtId="175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39" fontId="0" fillId="0" borderId="0" xfId="1" applyNumberFormat="1" applyFont="1" applyFill="1" applyAlignment="1">
      <alignment horizontal="center"/>
    </xf>
    <xf numFmtId="17" fontId="0" fillId="0" borderId="13" xfId="0" applyNumberFormat="1" applyFont="1" applyFill="1" applyBorder="1" applyAlignment="1">
      <alignment horizontal="center"/>
    </xf>
    <xf numFmtId="176" fontId="0" fillId="0" borderId="0" xfId="2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17" fontId="0" fillId="0" borderId="12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176" fontId="0" fillId="0" borderId="9" xfId="2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175" fontId="0" fillId="0" borderId="0" xfId="0" applyFont="1" applyFill="1" applyAlignment="1">
      <alignment horizontal="center"/>
    </xf>
    <xf numFmtId="0" fontId="0" fillId="0" borderId="0" xfId="7" applyFont="1" applyFill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41" fontId="0" fillId="0" borderId="0" xfId="8" applyFont="1" applyFill="1"/>
    <xf numFmtId="175" fontId="0" fillId="0" borderId="0" xfId="10" applyFont="1" applyFill="1"/>
    <xf numFmtId="172" fontId="0" fillId="0" borderId="0" xfId="2" applyNumberFormat="1" applyFont="1" applyFill="1"/>
    <xf numFmtId="41" fontId="0" fillId="0" borderId="0" xfId="8" applyFont="1" applyFill="1" applyAlignment="1">
      <alignment horizontal="left"/>
    </xf>
    <xf numFmtId="8" fontId="0" fillId="0" borderId="0" xfId="2" applyNumberFormat="1" applyFont="1" applyFill="1"/>
    <xf numFmtId="179" fontId="0" fillId="0" borderId="0" xfId="8" applyNumberFormat="1" applyFont="1" applyFill="1" applyBorder="1"/>
    <xf numFmtId="9" fontId="0" fillId="0" borderId="0" xfId="10" applyNumberFormat="1" applyFont="1" applyFill="1"/>
    <xf numFmtId="41" fontId="0" fillId="0" borderId="0" xfId="8" applyFont="1" applyFill="1" applyAlignment="1">
      <alignment horizontal="center"/>
    </xf>
    <xf numFmtId="8" fontId="0" fillId="0" borderId="0" xfId="8" applyNumberFormat="1" applyFont="1" applyFill="1" applyBorder="1"/>
    <xf numFmtId="6" fontId="0" fillId="0" borderId="0" xfId="2" applyNumberFormat="1" applyFont="1" applyFill="1"/>
    <xf numFmtId="9" fontId="0" fillId="0" borderId="0" xfId="0" applyNumberFormat="1" applyFont="1" applyFill="1"/>
    <xf numFmtId="169" fontId="0" fillId="0" borderId="0" xfId="13" applyNumberFormat="1" applyFont="1" applyFill="1"/>
    <xf numFmtId="169" fontId="0" fillId="0" borderId="0" xfId="0" applyNumberFormat="1" applyFont="1" applyFill="1"/>
    <xf numFmtId="175" fontId="0" fillId="0" borderId="24" xfId="0" applyFont="1" applyFill="1" applyBorder="1"/>
    <xf numFmtId="175" fontId="3" fillId="0" borderId="25" xfId="0" applyFont="1" applyFill="1" applyBorder="1" applyAlignment="1">
      <alignment horizontal="center"/>
    </xf>
    <xf numFmtId="175" fontId="3" fillId="0" borderId="26" xfId="0" applyFont="1" applyFill="1" applyBorder="1" applyAlignment="1">
      <alignment horizontal="center"/>
    </xf>
    <xf numFmtId="175" fontId="3" fillId="0" borderId="27" xfId="0" applyFont="1" applyFill="1" applyBorder="1" applyAlignment="1">
      <alignment horizontal="center"/>
    </xf>
    <xf numFmtId="175" fontId="0" fillId="0" borderId="26" xfId="0" applyFont="1" applyFill="1" applyBorder="1"/>
    <xf numFmtId="175" fontId="3" fillId="0" borderId="27" xfId="0" quotePrefix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39" fontId="0" fillId="0" borderId="27" xfId="1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39" fontId="0" fillId="0" borderId="29" xfId="1" applyNumberFormat="1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right"/>
    </xf>
    <xf numFmtId="8" fontId="12" fillId="0" borderId="7" xfId="0" applyNumberFormat="1" applyFont="1" applyFill="1" applyBorder="1" applyAlignment="1">
      <alignment horizontal="center"/>
    </xf>
    <xf numFmtId="41" fontId="11" fillId="0" borderId="0" xfId="10" applyNumberFormat="1" applyFont="1" applyFill="1" applyAlignment="1">
      <alignment horizontal="center"/>
    </xf>
    <xf numFmtId="179" fontId="0" fillId="0" borderId="0" xfId="0" applyNumberFormat="1" applyFont="1" applyFill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1" fontId="0" fillId="0" borderId="0" xfId="10" applyNumberFormat="1" applyFont="1" applyFill="1"/>
    <xf numFmtId="175" fontId="0" fillId="0" borderId="0" xfId="10" applyFont="1" applyFill="1" applyAlignment="1">
      <alignment horizontal="centerContinuous"/>
    </xf>
    <xf numFmtId="175" fontId="0" fillId="0" borderId="0" xfId="10" applyFont="1" applyFill="1" applyAlignment="1">
      <alignment horizontal="right"/>
    </xf>
    <xf numFmtId="175" fontId="0" fillId="0" borderId="0" xfId="10" applyFont="1" applyFill="1" applyBorder="1" applyAlignment="1">
      <alignment horizontal="centerContinuous"/>
    </xf>
    <xf numFmtId="175" fontId="0" fillId="0" borderId="0" xfId="10" applyFont="1" applyFill="1" applyBorder="1"/>
    <xf numFmtId="175" fontId="0" fillId="0" borderId="7" xfId="10" applyFont="1" applyFill="1" applyBorder="1"/>
    <xf numFmtId="0" fontId="0" fillId="0" borderId="0" xfId="10" applyNumberFormat="1" applyFont="1" applyFill="1"/>
    <xf numFmtId="6" fontId="0" fillId="0" borderId="0" xfId="10" applyNumberFormat="1" applyFont="1" applyFill="1" applyAlignment="1">
      <alignment horizontal="right"/>
    </xf>
    <xf numFmtId="8" fontId="0" fillId="0" borderId="0" xfId="10" applyNumberFormat="1" applyFont="1" applyFill="1" applyAlignment="1">
      <alignment horizontal="right"/>
    </xf>
    <xf numFmtId="8" fontId="0" fillId="0" borderId="0" xfId="10" applyNumberFormat="1" applyFont="1" applyFill="1" applyBorder="1" applyAlignment="1">
      <alignment horizontal="right"/>
    </xf>
    <xf numFmtId="166" fontId="0" fillId="0" borderId="0" xfId="10" applyNumberFormat="1" applyFont="1" applyFill="1" applyAlignment="1">
      <alignment horizontal="center"/>
    </xf>
    <xf numFmtId="168" fontId="0" fillId="0" borderId="0" xfId="10" applyNumberFormat="1" applyFont="1" applyFill="1" applyBorder="1"/>
    <xf numFmtId="43" fontId="0" fillId="0" borderId="0" xfId="10" applyNumberFormat="1" applyFont="1" applyFill="1"/>
    <xf numFmtId="8" fontId="0" fillId="0" borderId="0" xfId="10" applyNumberFormat="1" applyFont="1" applyFill="1" applyBorder="1"/>
    <xf numFmtId="0" fontId="0" fillId="0" borderId="0" xfId="10" applyNumberFormat="1" applyFont="1" applyFill="1" applyBorder="1"/>
    <xf numFmtId="166" fontId="0" fillId="0" borderId="0" xfId="10" applyNumberFormat="1" applyFont="1" applyFill="1" applyBorder="1" applyAlignment="1">
      <alignment horizontal="center"/>
    </xf>
    <xf numFmtId="8" fontId="0" fillId="0" borderId="0" xfId="10" applyNumberFormat="1" applyFont="1" applyFill="1" applyBorder="1" applyAlignment="1">
      <alignment horizontal="center"/>
    </xf>
    <xf numFmtId="43" fontId="0" fillId="0" borderId="0" xfId="10" applyNumberFormat="1" applyFont="1" applyFill="1" applyBorder="1"/>
    <xf numFmtId="43" fontId="0" fillId="0" borderId="0" xfId="8" applyNumberFormat="1" applyFont="1" applyFill="1"/>
    <xf numFmtId="164" fontId="0" fillId="0" borderId="0" xfId="8" applyNumberFormat="1" applyFont="1" applyFill="1"/>
    <xf numFmtId="175" fontId="3" fillId="0" borderId="4" xfId="0" applyFont="1" applyFill="1" applyBorder="1" applyAlignment="1">
      <alignment horizontal="centerContinuous" wrapText="1"/>
    </xf>
    <xf numFmtId="175" fontId="3" fillId="0" borderId="4" xfId="0" applyFont="1" applyFill="1" applyBorder="1" applyAlignment="1">
      <alignment horizontal="center" wrapText="1"/>
    </xf>
    <xf numFmtId="175" fontId="22" fillId="0" borderId="10" xfId="0" applyFont="1" applyFill="1" applyBorder="1" applyAlignment="1">
      <alignment horizontal="center" wrapText="1"/>
    </xf>
    <xf numFmtId="175" fontId="22" fillId="0" borderId="10" xfId="0" quotePrefix="1" applyFont="1" applyFill="1" applyBorder="1" applyAlignment="1">
      <alignment horizontal="center" wrapText="1"/>
    </xf>
    <xf numFmtId="8" fontId="0" fillId="0" borderId="0" xfId="10" applyNumberFormat="1" applyFont="1" applyFill="1"/>
    <xf numFmtId="8" fontId="0" fillId="0" borderId="0" xfId="0" applyNumberFormat="1" applyFont="1" applyFill="1" applyBorder="1"/>
    <xf numFmtId="173" fontId="0" fillId="0" borderId="0" xfId="10" applyNumberFormat="1" applyFont="1" applyFill="1"/>
    <xf numFmtId="175" fontId="0" fillId="0" borderId="0" xfId="10" applyFont="1" applyFill="1" applyAlignment="1">
      <alignment horizontal="center"/>
    </xf>
    <xf numFmtId="41" fontId="0" fillId="0" borderId="0" xfId="10" applyNumberFormat="1" applyFont="1" applyFill="1" applyBorder="1"/>
    <xf numFmtId="174" fontId="0" fillId="0" borderId="0" xfId="10" applyNumberFormat="1" applyFont="1" applyFill="1" applyBorder="1"/>
    <xf numFmtId="175" fontId="3" fillId="0" borderId="20" xfId="0" applyFont="1" applyFill="1" applyBorder="1" applyAlignment="1">
      <alignment horizontal="centerContinuous"/>
    </xf>
    <xf numFmtId="175" fontId="3" fillId="0" borderId="23" xfId="0" applyFont="1" applyFill="1" applyBorder="1" applyAlignment="1">
      <alignment horizontal="centerContinuous"/>
    </xf>
    <xf numFmtId="175" fontId="0" fillId="0" borderId="22" xfId="0" applyFont="1" applyFill="1" applyBorder="1" applyAlignment="1">
      <alignment horizontal="centerContinuous"/>
    </xf>
    <xf numFmtId="175" fontId="0" fillId="0" borderId="0" xfId="10" applyFont="1" applyFill="1" applyAlignment="1">
      <alignment horizontal="left"/>
    </xf>
    <xf numFmtId="41" fontId="0" fillId="0" borderId="0" xfId="10" applyNumberFormat="1" applyFont="1" applyFill="1" applyAlignment="1">
      <alignment horizontal="center"/>
    </xf>
    <xf numFmtId="43" fontId="11" fillId="0" borderId="0" xfId="2" applyNumberFormat="1" applyFont="1" applyFill="1"/>
    <xf numFmtId="169" fontId="0" fillId="0" borderId="0" xfId="10" applyNumberFormat="1" applyFont="1" applyFill="1"/>
    <xf numFmtId="175" fontId="0" fillId="0" borderId="5" xfId="0" applyFont="1" applyFill="1" applyBorder="1" applyAlignment="1">
      <alignment horizontal="centerContinuous"/>
    </xf>
    <xf numFmtId="175" fontId="0" fillId="0" borderId="17" xfId="0" applyFont="1" applyFill="1" applyBorder="1" applyAlignment="1">
      <alignment horizontal="centerContinuous"/>
    </xf>
    <xf numFmtId="43" fontId="0" fillId="0" borderId="0" xfId="1" applyFont="1" applyFill="1"/>
    <xf numFmtId="175" fontId="3" fillId="0" borderId="19" xfId="0" applyFont="1" applyFill="1" applyBorder="1" applyAlignment="1">
      <alignment horizontal="centerContinuous"/>
    </xf>
    <xf numFmtId="1" fontId="0" fillId="0" borderId="0" xfId="11" applyNumberFormat="1" applyFont="1" applyFill="1" applyAlignment="1" applyProtection="1">
      <alignment horizontal="center"/>
      <protection locked="0"/>
    </xf>
    <xf numFmtId="175" fontId="0" fillId="0" borderId="0" xfId="0" applyFont="1" applyFill="1" applyBorder="1"/>
    <xf numFmtId="1" fontId="0" fillId="0" borderId="0" xfId="10" applyNumberFormat="1" applyFont="1" applyFill="1"/>
    <xf numFmtId="10" fontId="0" fillId="0" borderId="0" xfId="10" applyNumberFormat="1" applyFont="1" applyFill="1"/>
    <xf numFmtId="175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left"/>
    </xf>
    <xf numFmtId="1" fontId="26" fillId="0" borderId="0" xfId="0" applyNumberFormat="1" applyFont="1" applyFill="1" applyBorder="1" applyAlignment="1">
      <alignment horizontal="center"/>
    </xf>
    <xf numFmtId="175" fontId="26" fillId="0" borderId="0" xfId="0" applyFont="1" applyFill="1" applyBorder="1"/>
    <xf numFmtId="175" fontId="26" fillId="0" borderId="0" xfId="0" applyFont="1" applyFill="1" applyBorder="1" applyAlignment="1">
      <alignment horizontal="centerContinuous"/>
    </xf>
    <xf numFmtId="175" fontId="26" fillId="0" borderId="0" xfId="0" applyFont="1" applyFill="1" applyBorder="1" applyAlignment="1">
      <alignment horizontal="center"/>
    </xf>
    <xf numFmtId="175" fontId="26" fillId="0" borderId="4" xfId="0" applyFont="1" applyFill="1" applyBorder="1" applyAlignment="1">
      <alignment horizontal="center"/>
    </xf>
    <xf numFmtId="175" fontId="26" fillId="0" borderId="10" xfId="0" applyFont="1" applyFill="1" applyBorder="1" applyAlignment="1">
      <alignment horizontal="center"/>
    </xf>
    <xf numFmtId="178" fontId="26" fillId="0" borderId="0" xfId="0" applyNumberFormat="1" applyFont="1" applyFill="1" applyBorder="1"/>
    <xf numFmtId="175" fontId="26" fillId="0" borderId="0" xfId="0" applyFont="1" applyFill="1"/>
    <xf numFmtId="39" fontId="26" fillId="0" borderId="0" xfId="0" applyNumberFormat="1" applyFont="1" applyFill="1" applyBorder="1" applyAlignment="1">
      <alignment horizontal="center"/>
    </xf>
    <xf numFmtId="179" fontId="26" fillId="0" borderId="0" xfId="0" applyNumberFormat="1" applyFont="1" applyFill="1" applyAlignment="1">
      <alignment horizontal="center"/>
    </xf>
    <xf numFmtId="179" fontId="0" fillId="0" borderId="0" xfId="0" applyNumberFormat="1" applyFont="1" applyFill="1" applyBorder="1"/>
    <xf numFmtId="175" fontId="27" fillId="0" borderId="0" xfId="0" applyFont="1" applyFill="1"/>
    <xf numFmtId="169" fontId="4" fillId="0" borderId="0" xfId="13" applyNumberFormat="1" applyFont="1" applyFill="1"/>
    <xf numFmtId="175" fontId="6" fillId="0" borderId="0" xfId="0" applyFont="1" applyFill="1" applyAlignment="1">
      <alignment horizontal="centerContinuous" vertical="center"/>
    </xf>
    <xf numFmtId="175" fontId="0" fillId="0" borderId="0" xfId="0" applyFill="1" applyAlignment="1">
      <alignment horizontal="centerContinuous" vertical="center"/>
    </xf>
    <xf numFmtId="180" fontId="4" fillId="0" borderId="0" xfId="10" applyNumberFormat="1" applyFont="1" applyFill="1"/>
    <xf numFmtId="178" fontId="4" fillId="0" borderId="0" xfId="10" applyNumberFormat="1" applyFont="1" applyFill="1"/>
    <xf numFmtId="180" fontId="12" fillId="0" borderId="0" xfId="10" applyNumberFormat="1" applyFont="1" applyFill="1"/>
    <xf numFmtId="180" fontId="4" fillId="0" borderId="0" xfId="13" applyNumberFormat="1" applyFont="1" applyFill="1"/>
    <xf numFmtId="180" fontId="25" fillId="0" borderId="0" xfId="10" applyNumberFormat="1" applyFont="1" applyFill="1"/>
    <xf numFmtId="180" fontId="25" fillId="0" borderId="0" xfId="13" applyNumberFormat="1" applyFont="1" applyFill="1"/>
    <xf numFmtId="175" fontId="3" fillId="0" borderId="11" xfId="0" applyFont="1" applyFill="1" applyBorder="1" applyAlignment="1">
      <alignment horizontal="centerContinuous" wrapText="1"/>
    </xf>
    <xf numFmtId="170" fontId="4" fillId="0" borderId="0" xfId="0" applyNumberFormat="1" applyFont="1" applyFill="1" applyBorder="1"/>
    <xf numFmtId="178" fontId="12" fillId="0" borderId="0" xfId="0" applyNumberFormat="1" applyFont="1" applyFill="1"/>
    <xf numFmtId="178" fontId="12" fillId="0" borderId="0" xfId="0" applyNumberFormat="1" applyFont="1" applyFill="1" applyBorder="1"/>
    <xf numFmtId="1" fontId="26" fillId="0" borderId="12" xfId="0" applyNumberFormat="1" applyFont="1" applyFill="1" applyBorder="1" applyAlignment="1">
      <alignment horizontal="center"/>
    </xf>
    <xf numFmtId="175" fontId="10" fillId="0" borderId="0" xfId="0" applyFont="1" applyFill="1" applyBorder="1"/>
    <xf numFmtId="14" fontId="12" fillId="0" borderId="0" xfId="0" applyNumberFormat="1" applyFont="1" applyFill="1" applyBorder="1"/>
    <xf numFmtId="175" fontId="2" fillId="0" borderId="0" xfId="20"/>
    <xf numFmtId="164" fontId="4" fillId="0" borderId="0" xfId="20" applyNumberFormat="1" applyFont="1"/>
    <xf numFmtId="169" fontId="4" fillId="0" borderId="0" xfId="13" applyNumberFormat="1" applyFont="1"/>
    <xf numFmtId="8" fontId="4" fillId="0" borderId="0" xfId="2" applyNumberFormat="1" applyFont="1" applyFill="1"/>
    <xf numFmtId="164" fontId="4" fillId="0" borderId="0" xfId="0" applyNumberFormat="1" applyFont="1" applyFill="1"/>
    <xf numFmtId="1" fontId="4" fillId="0" borderId="0" xfId="10" applyNumberFormat="1" applyFont="1" applyFill="1" applyAlignment="1">
      <alignment horizontal="center"/>
    </xf>
    <xf numFmtId="175" fontId="14" fillId="0" borderId="0" xfId="0" applyFont="1" applyFill="1" applyBorder="1" applyAlignment="1">
      <alignment horizontal="centerContinuous"/>
    </xf>
    <xf numFmtId="8" fontId="26" fillId="0" borderId="0" xfId="0" applyNumberFormat="1" applyFont="1" applyFill="1" applyBorder="1"/>
    <xf numFmtId="175" fontId="26" fillId="0" borderId="6" xfId="0" applyFont="1" applyFill="1" applyBorder="1" applyAlignment="1">
      <alignment horizontal="center"/>
    </xf>
    <xf numFmtId="8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175" fontId="14" fillId="0" borderId="0" xfId="0" applyFont="1" applyFill="1" applyBorder="1"/>
    <xf numFmtId="1" fontId="4" fillId="0" borderId="14" xfId="0" applyNumberFormat="1" applyFont="1" applyFill="1" applyBorder="1" applyAlignment="1">
      <alignment horizontal="center"/>
    </xf>
    <xf numFmtId="167" fontId="4" fillId="0" borderId="1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9" applyFont="1"/>
    <xf numFmtId="2" fontId="4" fillId="0" borderId="0" xfId="0" applyNumberFormat="1" applyFont="1" applyFill="1" applyAlignment="1">
      <alignment horizontal="center"/>
    </xf>
    <xf numFmtId="43" fontId="4" fillId="0" borderId="0" xfId="1" applyFont="1" applyFill="1"/>
    <xf numFmtId="39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center"/>
    </xf>
    <xf numFmtId="175" fontId="4" fillId="0" borderId="0" xfId="0" applyFont="1" applyFill="1" applyAlignment="1">
      <alignment horizontal="center"/>
    </xf>
    <xf numFmtId="175" fontId="4" fillId="0" borderId="0" xfId="0" applyFont="1" applyFill="1" applyAlignment="1">
      <alignment horizontal="left"/>
    </xf>
    <xf numFmtId="178" fontId="4" fillId="0" borderId="0" xfId="0" applyNumberFormat="1" applyFont="1" applyFill="1"/>
    <xf numFmtId="178" fontId="4" fillId="0" borderId="0" xfId="0" applyNumberFormat="1" applyFont="1" applyFill="1" applyBorder="1"/>
    <xf numFmtId="175" fontId="4" fillId="0" borderId="10" xfId="0" applyFont="1" applyFill="1" applyBorder="1" applyAlignment="1">
      <alignment horizontal="center"/>
    </xf>
    <xf numFmtId="175" fontId="4" fillId="0" borderId="15" xfId="0" applyFont="1" applyFill="1" applyBorder="1" applyAlignment="1">
      <alignment horizontal="center"/>
    </xf>
    <xf numFmtId="175" fontId="4" fillId="0" borderId="14" xfId="0" applyFont="1" applyFill="1" applyBorder="1" applyAlignment="1">
      <alignment horizontal="centerContinuous"/>
    </xf>
    <xf numFmtId="175" fontId="4" fillId="0" borderId="14" xfId="0" applyFont="1" applyFill="1" applyBorder="1"/>
    <xf numFmtId="175" fontId="4" fillId="0" borderId="6" xfId="0" applyFont="1" applyFill="1" applyBorder="1" applyAlignment="1">
      <alignment horizontal="center"/>
    </xf>
    <xf numFmtId="17" fontId="4" fillId="0" borderId="7" xfId="0" applyNumberFormat="1" applyFont="1" applyFill="1" applyBorder="1" applyAlignment="1">
      <alignment horizontal="center"/>
    </xf>
    <xf numFmtId="17" fontId="4" fillId="0" borderId="12" xfId="0" applyNumberFormat="1" applyFont="1" applyFill="1" applyBorder="1" applyAlignment="1">
      <alignment horizontal="centerContinuous"/>
    </xf>
    <xf numFmtId="175" fontId="4" fillId="0" borderId="12" xfId="0" applyFont="1" applyFill="1" applyBorder="1"/>
    <xf numFmtId="175" fontId="4" fillId="0" borderId="7" xfId="0" applyFont="1" applyFill="1" applyBorder="1" applyAlignment="1">
      <alignment horizontal="center"/>
    </xf>
    <xf numFmtId="175" fontId="4" fillId="0" borderId="13" xfId="0" applyFont="1" applyFill="1" applyBorder="1" applyAlignment="1">
      <alignment horizontal="centerContinuous"/>
    </xf>
    <xf numFmtId="175" fontId="4" fillId="0" borderId="12" xfId="0" applyFont="1" applyFill="1" applyBorder="1" applyAlignment="1">
      <alignment horizontal="center"/>
    </xf>
    <xf numFmtId="175" fontId="4" fillId="0" borderId="4" xfId="0" applyFont="1" applyFill="1" applyBorder="1"/>
    <xf numFmtId="43" fontId="4" fillId="0" borderId="0" xfId="1" applyNumberFormat="1" applyFont="1" applyFill="1" applyBorder="1"/>
    <xf numFmtId="175" fontId="4" fillId="0" borderId="0" xfId="0" applyFont="1"/>
    <xf numFmtId="175" fontId="5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11" fillId="0" borderId="0" xfId="0" applyNumberFormat="1" applyFont="1"/>
    <xf numFmtId="181" fontId="7" fillId="0" borderId="0" xfId="0" quotePrefix="1" applyNumberFormat="1" applyFont="1" applyAlignment="1">
      <alignment horizontal="center"/>
    </xf>
    <xf numFmtId="175" fontId="4" fillId="0" borderId="0" xfId="0" applyNumberFormat="1" applyFont="1"/>
    <xf numFmtId="17" fontId="5" fillId="0" borderId="0" xfId="0" quotePrefix="1" applyNumberFormat="1" applyFont="1" applyAlignment="1">
      <alignment horizontal="centerContinuous"/>
    </xf>
    <xf numFmtId="175" fontId="3" fillId="0" borderId="11" xfId="0" applyFont="1" applyBorder="1" applyAlignment="1">
      <alignment horizontal="center"/>
    </xf>
    <xf numFmtId="1" fontId="4" fillId="0" borderId="0" xfId="0" applyNumberFormat="1" applyFont="1" applyFill="1"/>
    <xf numFmtId="175" fontId="3" fillId="0" borderId="19" xfId="21" applyFont="1" applyFill="1" applyBorder="1" applyAlignment="1">
      <alignment horizontal="centerContinuous"/>
    </xf>
    <xf numFmtId="175" fontId="3" fillId="5" borderId="8" xfId="0" applyFont="1" applyFill="1" applyBorder="1" applyAlignment="1">
      <alignment horizontal="centerContinuous"/>
    </xf>
    <xf numFmtId="175" fontId="4" fillId="5" borderId="5" xfId="0" applyFont="1" applyFill="1" applyBorder="1" applyAlignment="1">
      <alignment horizontal="centerContinuous"/>
    </xf>
    <xf numFmtId="175" fontId="4" fillId="5" borderId="17" xfId="0" applyFont="1" applyFill="1" applyBorder="1" applyAlignment="1">
      <alignment horizontal="centerContinuous"/>
    </xf>
    <xf numFmtId="175" fontId="4" fillId="0" borderId="13" xfId="0" quotePrefix="1" applyFont="1" applyFill="1" applyBorder="1" applyAlignment="1">
      <alignment horizontal="centerContinuous"/>
    </xf>
    <xf numFmtId="175" fontId="4" fillId="0" borderId="12" xfId="0" quotePrefix="1" applyFont="1" applyFill="1" applyBorder="1" applyAlignment="1">
      <alignment horizontal="center"/>
    </xf>
    <xf numFmtId="183" fontId="4" fillId="0" borderId="0" xfId="0" applyNumberFormat="1" applyFont="1" applyFill="1"/>
    <xf numFmtId="175" fontId="29" fillId="0" borderId="0" xfId="20" applyFont="1"/>
    <xf numFmtId="167" fontId="12" fillId="0" borderId="18" xfId="0" applyNumberFormat="1" applyFont="1" applyFill="1" applyBorder="1" applyAlignment="1">
      <alignment horizontal="center"/>
    </xf>
    <xf numFmtId="175" fontId="6" fillId="0" borderId="0" xfId="0" applyFont="1" applyFill="1" applyAlignment="1">
      <alignment horizontal="left" vertical="top"/>
    </xf>
    <xf numFmtId="175" fontId="4" fillId="0" borderId="16" xfId="0" quotePrefix="1" applyFont="1" applyFill="1" applyBorder="1" applyAlignment="1">
      <alignment horizontal="center"/>
    </xf>
    <xf numFmtId="8" fontId="8" fillId="0" borderId="7" xfId="0" applyNumberFormat="1" applyFont="1" applyFill="1" applyBorder="1" applyAlignment="1">
      <alignment horizontal="center"/>
    </xf>
    <xf numFmtId="175" fontId="4" fillId="0" borderId="12" xfId="0" applyFont="1" applyFill="1" applyBorder="1" applyAlignment="1">
      <alignment horizontal="centerContinuous"/>
    </xf>
    <xf numFmtId="0" fontId="26" fillId="0" borderId="12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8" fontId="26" fillId="0" borderId="7" xfId="0" applyNumberFormat="1" applyFont="1" applyFill="1" applyBorder="1" applyAlignment="1">
      <alignment horizontal="center"/>
    </xf>
    <xf numFmtId="0" fontId="26" fillId="0" borderId="14" xfId="0" applyNumberFormat="1" applyFont="1" applyFill="1" applyBorder="1" applyAlignment="1">
      <alignment horizontal="center"/>
    </xf>
    <xf numFmtId="8" fontId="26" fillId="0" borderId="9" xfId="0" applyNumberFormat="1" applyFont="1" applyFill="1" applyBorder="1" applyAlignment="1">
      <alignment horizontal="center"/>
    </xf>
    <xf numFmtId="8" fontId="26" fillId="0" borderId="15" xfId="0" applyNumberFormat="1" applyFont="1" applyFill="1" applyBorder="1" applyAlignment="1">
      <alignment horizontal="center"/>
    </xf>
    <xf numFmtId="175" fontId="4" fillId="0" borderId="18" xfId="0" quotePrefix="1" applyFont="1" applyFill="1" applyBorder="1" applyAlignment="1">
      <alignment horizontal="center"/>
    </xf>
    <xf numFmtId="175" fontId="4" fillId="0" borderId="18" xfId="0" applyFont="1" applyFill="1" applyBorder="1"/>
    <xf numFmtId="182" fontId="4" fillId="0" borderId="9" xfId="0" applyNumberFormat="1" applyFont="1" applyFill="1" applyBorder="1" applyAlignment="1">
      <alignment horizontal="center"/>
    </xf>
    <xf numFmtId="8" fontId="4" fillId="0" borderId="15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175" fontId="4" fillId="0" borderId="6" xfId="0" applyFont="1" applyFill="1" applyBorder="1"/>
    <xf numFmtId="0" fontId="4" fillId="0" borderId="6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9" fontId="4" fillId="0" borderId="0" xfId="13" applyFont="1" applyFill="1" applyBorder="1" applyAlignment="1">
      <alignment horizontal="center"/>
    </xf>
    <xf numFmtId="9" fontId="4" fillId="0" borderId="0" xfId="13" applyFont="1" applyFill="1"/>
    <xf numFmtId="1" fontId="4" fillId="0" borderId="8" xfId="0" applyNumberFormat="1" applyFont="1" applyFill="1" applyBorder="1" applyAlignment="1">
      <alignment horizontal="center"/>
    </xf>
    <xf numFmtId="8" fontId="4" fillId="0" borderId="5" xfId="0" applyNumberFormat="1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8" fontId="4" fillId="0" borderId="1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167" fontId="4" fillId="0" borderId="5" xfId="0" applyNumberFormat="1" applyFont="1" applyFill="1" applyBorder="1" applyAlignment="1">
      <alignment horizontal="center"/>
    </xf>
    <xf numFmtId="167" fontId="4" fillId="0" borderId="17" xfId="0" applyNumberFormat="1" applyFont="1" applyFill="1" applyBorder="1" applyAlignment="1">
      <alignment horizontal="center"/>
    </xf>
    <xf numFmtId="175" fontId="5" fillId="0" borderId="0" xfId="0" applyFont="1" applyFill="1" applyAlignment="1">
      <alignment horizontal="center"/>
    </xf>
    <xf numFmtId="175" fontId="0" fillId="0" borderId="0" xfId="0" applyAlignment="1"/>
  </cellXfs>
  <cellStyles count="23">
    <cellStyle name="_x0013_" xfId="17"/>
    <cellStyle name="Comma" xfId="1" builtinId="3"/>
    <cellStyle name="Currency" xfId="2" builtinId="4"/>
    <cellStyle name="Currency No Comma" xfId="3"/>
    <cellStyle name="Input" xfId="4" builtinId="20" customBuiltin="1"/>
    <cellStyle name="MCP" xfId="5"/>
    <cellStyle name="noninput" xfId="6"/>
    <cellStyle name="Normal" xfId="0" builtinId="0" customBuiltin="1"/>
    <cellStyle name="Normal 176" xfId="18"/>
    <cellStyle name="Normal 2" xfId="19"/>
    <cellStyle name="Normal 5" xfId="22"/>
    <cellStyle name="Normal_CG27 Official Base Case 03-31-05" xfId="7"/>
    <cellStyle name="Normal_DRR AC Study - Utah Valley - 53 MW 90 CF (2.28.2005)" xfId="8"/>
    <cellStyle name="Normal_Or AC 2003 - AC Study - Fuel Indexed Avoided Costs" xfId="9"/>
    <cellStyle name="Normal_OR AC Sch 37 - AC  Study (Gold) _2009 06 19" xfId="10"/>
    <cellStyle name="Normal_OR AC Sch 37 - AC  Study (Gold) _2009 07 07" xfId="21"/>
    <cellStyle name="Normal_T-INF-10-15-04-TEMPLATE" xfId="11"/>
    <cellStyle name="Normal_WA AC 2009 - L&amp;R Study_2009 12 08 (vs 2008)" xfId="20"/>
    <cellStyle name="Password" xfId="12"/>
    <cellStyle name="Percent" xfId="13" builtinId="5"/>
    <cellStyle name="Unprot" xfId="14"/>
    <cellStyle name="Unprot$" xfId="15"/>
    <cellStyle name="Unprotect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ashington\WA%20AC%202014%20Dec\Scenario\WA%20Sch%2037%20-%20Avoided%20Cost%20Study%20_2015%2011%2016%20(Comparison%20for%20internal%20purposes)_Comission%20Ordered%20Methodolog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4%20May%20-%20Sch%2037%20Update\Testimony\UT%20Sch%2037%202014%20-%20Appendix%201%20-AC%20Study%20_2014%2005%2007_Testimony%20Support%202014%2007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3%20May%20-%20Sch%2037%20Update\Scenario\Preliminary%20and%20Draft%20Versions\UT%20Sch%2037%202013%20-%202a%20-%20L&amp;R%20%20Study%20_2013%2005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 Load"/>
      <sheetName val="Table 2B Wind"/>
      <sheetName val="Table 2C SolarFixed"/>
      <sheetName val="Table 2D SolarTracking"/>
      <sheetName val="Tables 3 to 6"/>
      <sheetName val="Tables 7"/>
      <sheetName val="Table 8"/>
      <sheetName val="Table 9"/>
      <sheetName val="Table 10"/>
      <sheetName val="Summmary Chgs"/>
      <sheetName val="&gt;&gt;&gt;  Do Not Print"/>
      <sheetName val="Tariff Page"/>
      <sheetName val="Tariff Page Wind"/>
      <sheetName val="Tariff Page SolarFixed "/>
      <sheetName val="Tariff Page SolarTracking"/>
      <sheetName val="Comparison_Capacity_Energy"/>
      <sheetName val="Fuel Price 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O1" t="str">
            <v>Table 5</v>
          </cell>
        </row>
        <row r="42">
          <cell r="AE42">
            <v>1</v>
          </cell>
          <cell r="AL42">
            <v>1</v>
          </cell>
          <cell r="AS42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C11">
            <v>32.479999999999997</v>
          </cell>
        </row>
      </sheetData>
      <sheetData sheetId="13">
        <row r="11">
          <cell r="C11">
            <v>29.419999999999998</v>
          </cell>
        </row>
      </sheetData>
      <sheetData sheetId="14">
        <row r="11">
          <cell r="C11">
            <v>31.709999999999997</v>
          </cell>
        </row>
      </sheetData>
      <sheetData sheetId="15">
        <row r="11">
          <cell r="C11">
            <v>31.709999999999997</v>
          </cell>
        </row>
      </sheetData>
      <sheetData sheetId="16">
        <row r="32">
          <cell r="A32">
            <v>2015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Load"/>
      <sheetName val="Table 2B Wind"/>
      <sheetName val="Table 2C SolarFixed"/>
      <sheetName val="Table 2D SolarTracking"/>
      <sheetName val="Tables 3 to 6"/>
      <sheetName val="Table 7"/>
      <sheetName val="Table 8"/>
      <sheetName val="Table 9"/>
      <sheetName val="Table 10"/>
      <sheetName val="Table 11"/>
      <sheetName val="Table 12"/>
      <sheetName val="--- Do Not Print ---&gt;"/>
      <sheetName val="Tariff Page"/>
      <sheetName val="Tariff Page Solar Fixed"/>
      <sheetName val="Tariff Page Solar Tracking"/>
      <sheetName val="Tariff Page Wind"/>
      <sheetName val="Testimony _Table 1"/>
      <sheetName val="Capacity_Energy Prices"/>
      <sheetName val="Volumetric 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B45">
            <v>2.1800000000000002</v>
          </cell>
        </row>
        <row r="46">
          <cell r="B46">
            <v>2.83</v>
          </cell>
        </row>
      </sheetData>
      <sheetData sheetId="12"/>
      <sheetData sheetId="13">
        <row r="30">
          <cell r="K30">
            <v>6.8820000000000006E-2</v>
          </cell>
        </row>
      </sheetData>
      <sheetData sheetId="14"/>
      <sheetData sheetId="15"/>
      <sheetData sheetId="16"/>
      <sheetData sheetId="17">
        <row r="4">
          <cell r="E4">
            <v>45.464846863762403</v>
          </cell>
        </row>
      </sheetData>
      <sheetData sheetId="18"/>
      <sheetData sheetId="19">
        <row r="15">
          <cell r="B15">
            <v>2014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Summary"/>
      <sheetName val="Profile"/>
      <sheetName val="Delta"/>
      <sheetName val="L&amp;R"/>
      <sheetName val="Base"/>
      <sheetName val="Check LTC"/>
      <sheetName val="Thermal Derates"/>
      <sheetName val="GRID Hydro Gen Peak"/>
      <sheetName val="GRID Load Peak"/>
      <sheetName val="GRID LTC Availability Min"/>
      <sheetName val="GRID LTC Availability Peak"/>
      <sheetName val="GRID LTC Dispatch Peak"/>
      <sheetName val="GRID Nameplate"/>
      <sheetName val="GRID Plant Outage Peak"/>
      <sheetName val="GRID ResReq Margin Peak"/>
      <sheetName val="GRID ResReq NoSpin Peak"/>
      <sheetName val="GRID ResReq Spin Peak"/>
      <sheetName val="GRID STF Purchases Peak"/>
      <sheetName val="GRID STF Sales Peak"/>
      <sheetName val="GRID Thermal Avail Peak"/>
      <sheetName val="GRID Hydro Generation (MWH)"/>
      <sheetName val="GRID Load (MWH)"/>
      <sheetName val="GRID LTC Availability (MWH)"/>
      <sheetName val="GRID LTC Dispatch (MWH)"/>
      <sheetName val="GRID Plant Outage (MWH)"/>
      <sheetName val="GRID Ready Res (MWH)"/>
      <sheetName val="GRID ResReq Margin (MWH)"/>
      <sheetName val="GRID Spinning Res (MWH)"/>
      <sheetName val="GRID STF Purchases (MWH)"/>
      <sheetName val="GRID STF Sales (MWH)"/>
      <sheetName val="GRID Thermal Availability (MWH)"/>
      <sheetName val="MacroBuilder"/>
      <sheetName val="on off peak hours"/>
    </sheetNames>
    <sheetDataSet>
      <sheetData sheetId="0">
        <row r="7">
          <cell r="D7" t="str">
            <v>Ut Sch 37 - 05a - Base Case _2013 05 10 (Plants) (L&amp;R)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5">
          <cell r="C15">
            <v>40909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zoomScale="80" zoomScaleNormal="80" workbookViewId="0">
      <selection activeCell="F2" sqref="F2"/>
    </sheetView>
  </sheetViews>
  <sheetFormatPr defaultColWidth="10.6640625" defaultRowHeight="12.75" x14ac:dyDescent="0.2"/>
  <cols>
    <col min="1" max="1" width="1.83203125" customWidth="1"/>
    <col min="2" max="2" width="31.5" style="326" bestFit="1" customWidth="1"/>
    <col min="3" max="12" width="9.33203125" style="326" customWidth="1"/>
    <col min="13" max="13" width="2.5" customWidth="1"/>
    <col min="14" max="16384" width="10.6640625" style="284"/>
  </cols>
  <sheetData>
    <row r="1" spans="2:19" ht="15.75" x14ac:dyDescent="0.25">
      <c r="B1" s="372" t="s">
        <v>173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2:19" ht="15.75" x14ac:dyDescent="0.25">
      <c r="B2" s="327" t="s">
        <v>136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N2" s="343"/>
    </row>
    <row r="3" spans="2:19" ht="15.75" x14ac:dyDescent="0.25">
      <c r="B3" s="333" t="s">
        <v>197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5" spans="2:19" x14ac:dyDescent="0.2">
      <c r="C5" s="328">
        <v>2018</v>
      </c>
      <c r="D5" s="328">
        <v>2019</v>
      </c>
      <c r="E5" s="328">
        <v>2020</v>
      </c>
      <c r="F5" s="328">
        <v>2021</v>
      </c>
      <c r="G5" s="328">
        <v>2022</v>
      </c>
      <c r="H5" s="328">
        <v>2023</v>
      </c>
      <c r="I5" s="328">
        <v>2024</v>
      </c>
      <c r="J5" s="328">
        <v>2025</v>
      </c>
      <c r="K5" s="328">
        <v>2026</v>
      </c>
      <c r="L5" s="328">
        <v>2027</v>
      </c>
    </row>
    <row r="6" spans="2:19" x14ac:dyDescent="0.2">
      <c r="B6" s="334" t="s">
        <v>66</v>
      </c>
    </row>
    <row r="7" spans="2:19" x14ac:dyDescent="0.2">
      <c r="B7" s="326" t="s">
        <v>137</v>
      </c>
      <c r="C7" s="329">
        <v>2337.3797142096951</v>
      </c>
      <c r="D7" s="329">
        <v>2343.1717073603795</v>
      </c>
      <c r="E7" s="329">
        <v>2334.0642379800688</v>
      </c>
      <c r="F7" s="329">
        <v>2316.1966320179145</v>
      </c>
      <c r="G7" s="329">
        <v>2308.2426582736221</v>
      </c>
      <c r="H7" s="329">
        <v>2304.5159014243068</v>
      </c>
      <c r="I7" s="329">
        <v>2307.15455901832</v>
      </c>
      <c r="J7" s="329">
        <v>2299.9006422918865</v>
      </c>
      <c r="K7" s="329">
        <v>2238.8418146663157</v>
      </c>
      <c r="L7" s="329">
        <v>2238.0589562188275</v>
      </c>
    </row>
    <row r="8" spans="2:19" x14ac:dyDescent="0.2">
      <c r="B8" s="326" t="s">
        <v>138</v>
      </c>
      <c r="C8" s="329">
        <v>73.717984018264843</v>
      </c>
      <c r="D8" s="329">
        <v>73.717984018264843</v>
      </c>
      <c r="E8" s="329">
        <v>73.516568761384335</v>
      </c>
      <c r="F8" s="329">
        <v>73.717984018264843</v>
      </c>
      <c r="G8" s="329">
        <v>73.717984018264843</v>
      </c>
      <c r="H8" s="329">
        <v>73.717984018264843</v>
      </c>
      <c r="I8" s="329">
        <v>73.516568761384335</v>
      </c>
      <c r="J8" s="329">
        <v>73.717984018264843</v>
      </c>
      <c r="K8" s="329">
        <v>73.717984018264843</v>
      </c>
      <c r="L8" s="329">
        <v>73.717984018264843</v>
      </c>
    </row>
    <row r="9" spans="2:19" x14ac:dyDescent="0.2">
      <c r="B9" s="326" t="s">
        <v>139</v>
      </c>
      <c r="C9" s="330">
        <v>0</v>
      </c>
      <c r="D9" s="330">
        <v>0</v>
      </c>
      <c r="E9" s="330">
        <v>0</v>
      </c>
      <c r="F9" s="330">
        <v>0</v>
      </c>
      <c r="G9" s="330">
        <v>0</v>
      </c>
      <c r="H9" s="330">
        <v>0</v>
      </c>
      <c r="I9" s="330">
        <v>0</v>
      </c>
      <c r="J9" s="330">
        <v>0</v>
      </c>
      <c r="K9" s="330">
        <v>0</v>
      </c>
      <c r="L9" s="330">
        <v>0</v>
      </c>
    </row>
    <row r="10" spans="2:19" x14ac:dyDescent="0.2">
      <c r="B10" s="326" t="s">
        <v>140</v>
      </c>
      <c r="C10" s="329">
        <v>2411.0976982279599</v>
      </c>
      <c r="D10" s="329">
        <v>2416.8896913786443</v>
      </c>
      <c r="E10" s="329">
        <v>2407.5808067414532</v>
      </c>
      <c r="F10" s="329">
        <v>2389.9146160361793</v>
      </c>
      <c r="G10" s="329">
        <v>2381.9606422918869</v>
      </c>
      <c r="H10" s="329">
        <v>2378.2338854425716</v>
      </c>
      <c r="I10" s="329">
        <v>2380.6711277797044</v>
      </c>
      <c r="J10" s="329">
        <v>2373.6186263101513</v>
      </c>
      <c r="K10" s="329">
        <v>2312.5597986845805</v>
      </c>
      <c r="L10" s="329">
        <v>2311.7769402370923</v>
      </c>
    </row>
    <row r="11" spans="2:19" x14ac:dyDescent="0.2">
      <c r="C11" s="329"/>
      <c r="D11" s="329"/>
      <c r="E11" s="329"/>
      <c r="F11" s="329"/>
      <c r="G11" s="329"/>
      <c r="H11" s="329"/>
      <c r="I11" s="329"/>
      <c r="J11" s="329"/>
      <c r="K11" s="329"/>
      <c r="L11" s="329"/>
    </row>
    <row r="12" spans="2:19" x14ac:dyDescent="0.2">
      <c r="B12" s="326" t="s">
        <v>141</v>
      </c>
      <c r="C12" s="329">
        <v>50.018093038581512</v>
      </c>
      <c r="D12" s="329">
        <v>23.275117301050457</v>
      </c>
      <c r="E12" s="329">
        <v>23.566471297164846</v>
      </c>
      <c r="F12" s="329">
        <v>23.021480765524657</v>
      </c>
      <c r="G12" s="329">
        <v>14.668602348860162</v>
      </c>
      <c r="H12" s="329">
        <v>22.708340095533675</v>
      </c>
      <c r="I12" s="329">
        <v>10.826840926696267</v>
      </c>
      <c r="J12" s="329">
        <v>10.711110002922373</v>
      </c>
      <c r="K12" s="329">
        <v>10.473782704235159</v>
      </c>
      <c r="L12" s="329">
        <v>9.0959043105602735</v>
      </c>
      <c r="O12" s="285"/>
      <c r="P12" s="285"/>
      <c r="Q12" s="285"/>
      <c r="R12" s="285"/>
      <c r="S12" s="285"/>
    </row>
    <row r="13" spans="2:19" x14ac:dyDescent="0.2">
      <c r="B13" s="326" t="s">
        <v>142</v>
      </c>
      <c r="C13" s="329">
        <v>203.24200913242009</v>
      </c>
      <c r="D13" s="329">
        <v>0</v>
      </c>
      <c r="E13" s="329">
        <v>0</v>
      </c>
      <c r="F13" s="329">
        <v>0</v>
      </c>
      <c r="G13" s="329">
        <v>0</v>
      </c>
      <c r="H13" s="329">
        <v>0</v>
      </c>
      <c r="I13" s="329">
        <v>0</v>
      </c>
      <c r="J13" s="329">
        <v>0</v>
      </c>
      <c r="K13" s="329">
        <v>0</v>
      </c>
      <c r="L13" s="329">
        <v>0</v>
      </c>
    </row>
    <row r="14" spans="2:19" x14ac:dyDescent="0.2">
      <c r="B14" s="326" t="s">
        <v>143</v>
      </c>
      <c r="C14" s="329">
        <v>1914.4298638698631</v>
      </c>
      <c r="D14" s="329">
        <v>1914.4298767694063</v>
      </c>
      <c r="E14" s="329">
        <v>1914.8514677823312</v>
      </c>
      <c r="F14" s="329">
        <v>1914.2298970319634</v>
      </c>
      <c r="G14" s="329">
        <v>1914.2299085616437</v>
      </c>
      <c r="H14" s="329">
        <v>1914.2298926940639</v>
      </c>
      <c r="I14" s="329">
        <v>1914.7867664503642</v>
      </c>
      <c r="J14" s="329">
        <v>1914.2189325913241</v>
      </c>
      <c r="K14" s="329">
        <v>1914.2189475456619</v>
      </c>
      <c r="L14" s="329">
        <v>1914.2189691210046</v>
      </c>
    </row>
    <row r="15" spans="2:19" x14ac:dyDescent="0.2">
      <c r="B15" s="326" t="s">
        <v>144</v>
      </c>
      <c r="C15" s="329">
        <v>517.56693640276001</v>
      </c>
      <c r="D15" s="329">
        <v>526.25287806898655</v>
      </c>
      <c r="E15" s="329">
        <v>558.01770651158029</v>
      </c>
      <c r="F15" s="329">
        <v>489.83896208582462</v>
      </c>
      <c r="G15" s="329">
        <v>489.79012132745248</v>
      </c>
      <c r="H15" s="329">
        <v>490.68310410249245</v>
      </c>
      <c r="I15" s="329">
        <v>490.52478941425818</v>
      </c>
      <c r="J15" s="329">
        <v>489.86945081591711</v>
      </c>
      <c r="K15" s="329">
        <v>489.81190689932919</v>
      </c>
      <c r="L15" s="329">
        <v>489.84098222509408</v>
      </c>
    </row>
    <row r="16" spans="2:19" x14ac:dyDescent="0.2">
      <c r="B16" s="326" t="s">
        <v>145</v>
      </c>
      <c r="C16" s="330">
        <v>-135.07222000360696</v>
      </c>
      <c r="D16" s="330">
        <v>-143.50018679188003</v>
      </c>
      <c r="E16" s="330">
        <v>-147.45452220275945</v>
      </c>
      <c r="F16" s="330">
        <v>-161.594042853433</v>
      </c>
      <c r="G16" s="330">
        <v>-161.92463968204709</v>
      </c>
      <c r="H16" s="330">
        <v>-163.86575082718312</v>
      </c>
      <c r="I16" s="330">
        <v>-162.10955429872121</v>
      </c>
      <c r="J16" s="330">
        <v>-161.73801840428496</v>
      </c>
      <c r="K16" s="330">
        <v>-160.42850778330796</v>
      </c>
      <c r="L16" s="330">
        <v>-160.54262570096807</v>
      </c>
    </row>
    <row r="17" spans="2:12" x14ac:dyDescent="0.2">
      <c r="B17" s="326" t="s">
        <v>146</v>
      </c>
      <c r="C17" s="329">
        <v>2550.1846824400177</v>
      </c>
      <c r="D17" s="329">
        <v>2320.4576853475633</v>
      </c>
      <c r="E17" s="329">
        <v>2348.9811233883165</v>
      </c>
      <c r="F17" s="329">
        <v>2265.4962970298798</v>
      </c>
      <c r="G17" s="329">
        <v>2256.7639925559092</v>
      </c>
      <c r="H17" s="329">
        <v>2263.7555860649068</v>
      </c>
      <c r="I17" s="329">
        <v>2254.0288424925975</v>
      </c>
      <c r="J17" s="329">
        <v>2253.0614750058785</v>
      </c>
      <c r="K17" s="329">
        <v>2254.0761293659184</v>
      </c>
      <c r="L17" s="329">
        <v>2252.6132299556907</v>
      </c>
    </row>
    <row r="18" spans="2:12" x14ac:dyDescent="0.2">
      <c r="C18" s="329"/>
      <c r="D18" s="329"/>
      <c r="E18" s="329"/>
      <c r="F18" s="329"/>
      <c r="G18" s="329"/>
      <c r="H18" s="329"/>
      <c r="I18" s="329"/>
      <c r="J18" s="329"/>
      <c r="K18" s="329"/>
      <c r="L18" s="329"/>
    </row>
    <row r="19" spans="2:12" x14ac:dyDescent="0.2">
      <c r="B19" s="335" t="s">
        <v>147</v>
      </c>
      <c r="C19" s="329">
        <v>139.08698421205781</v>
      </c>
      <c r="D19" s="329">
        <v>-96.432006031081073</v>
      </c>
      <c r="E19" s="329">
        <v>-58.599683353136697</v>
      </c>
      <c r="F19" s="329">
        <v>-124.4183190062995</v>
      </c>
      <c r="G19" s="329">
        <v>-125.19664973597764</v>
      </c>
      <c r="H19" s="288">
        <v>-114.47829937766483</v>
      </c>
      <c r="I19" s="288">
        <v>-126.64228528710692</v>
      </c>
      <c r="J19" s="288">
        <v>-120.55715130427279</v>
      </c>
      <c r="K19" s="288">
        <v>-58.483669318662123</v>
      </c>
      <c r="L19" s="288">
        <v>-59.163710281401563</v>
      </c>
    </row>
    <row r="20" spans="2:12" x14ac:dyDescent="0.2">
      <c r="B20" s="335" t="s">
        <v>148</v>
      </c>
      <c r="C20" s="286">
        <v>5.7686166891652714E-2</v>
      </c>
      <c r="D20" s="286">
        <v>-3.9899216904712868E-2</v>
      </c>
      <c r="E20" s="286">
        <v>-2.4339653808940518E-2</v>
      </c>
      <c r="F20" s="286">
        <v>-5.205973392164736E-2</v>
      </c>
      <c r="G20" s="286">
        <v>-5.2560335176451659E-2</v>
      </c>
      <c r="H20" s="286">
        <v>-4.8135845712399844E-2</v>
      </c>
      <c r="I20" s="286">
        <v>-5.3196043674128925E-2</v>
      </c>
      <c r="J20" s="286">
        <v>-5.0790447112256554E-2</v>
      </c>
      <c r="K20" s="286">
        <v>-2.5289581420523063E-2</v>
      </c>
      <c r="L20" s="286">
        <v>-2.5592309210997592E-2</v>
      </c>
    </row>
    <row r="22" spans="2:12" x14ac:dyDescent="0.2">
      <c r="B22" s="334" t="s">
        <v>149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</row>
    <row r="23" spans="2:12" x14ac:dyDescent="0.2">
      <c r="B23" s="326" t="s">
        <v>137</v>
      </c>
      <c r="C23" s="329">
        <v>3361.5864778</v>
      </c>
      <c r="D23" s="329">
        <v>3358.7676111999999</v>
      </c>
      <c r="E23" s="329">
        <v>3342.9848112</v>
      </c>
      <c r="F23" s="329">
        <v>3326.7308634000001</v>
      </c>
      <c r="G23" s="329">
        <v>3315.0135111999998</v>
      </c>
      <c r="H23" s="329">
        <v>3308.9808112000001</v>
      </c>
      <c r="I23" s="329">
        <v>3300.8608112000002</v>
      </c>
      <c r="J23" s="329">
        <v>3297.4690111999998</v>
      </c>
      <c r="K23" s="329">
        <v>3239.6068111999998</v>
      </c>
      <c r="L23" s="329">
        <v>3237.5831634000001</v>
      </c>
    </row>
    <row r="24" spans="2:12" x14ac:dyDescent="0.2">
      <c r="B24" s="326" t="s">
        <v>138</v>
      </c>
      <c r="C24" s="329">
        <v>0</v>
      </c>
      <c r="D24" s="329">
        <v>0</v>
      </c>
      <c r="E24" s="329">
        <v>0</v>
      </c>
      <c r="F24" s="329">
        <v>0</v>
      </c>
      <c r="G24" s="329">
        <v>0</v>
      </c>
      <c r="H24" s="329">
        <v>0</v>
      </c>
      <c r="I24" s="329">
        <v>0</v>
      </c>
      <c r="J24" s="329">
        <v>0</v>
      </c>
      <c r="K24" s="329">
        <v>0</v>
      </c>
      <c r="L24" s="329">
        <v>0</v>
      </c>
    </row>
    <row r="25" spans="2:12" x14ac:dyDescent="0.2">
      <c r="B25" s="326" t="s">
        <v>139</v>
      </c>
      <c r="C25" s="330">
        <v>0</v>
      </c>
      <c r="D25" s="330">
        <v>0</v>
      </c>
      <c r="E25" s="330">
        <v>0</v>
      </c>
      <c r="F25" s="330">
        <v>0</v>
      </c>
      <c r="G25" s="330">
        <v>0</v>
      </c>
      <c r="H25" s="330">
        <v>0</v>
      </c>
      <c r="I25" s="330">
        <v>0</v>
      </c>
      <c r="J25" s="330">
        <v>0</v>
      </c>
      <c r="K25" s="330">
        <v>0</v>
      </c>
      <c r="L25" s="330">
        <v>0</v>
      </c>
    </row>
    <row r="26" spans="2:12" x14ac:dyDescent="0.2">
      <c r="B26" s="326" t="s">
        <v>140</v>
      </c>
      <c r="C26" s="329">
        <v>3361.5864778</v>
      </c>
      <c r="D26" s="329">
        <v>3358.7676111999999</v>
      </c>
      <c r="E26" s="329">
        <v>3342.9848112</v>
      </c>
      <c r="F26" s="329">
        <v>3326.7308634000001</v>
      </c>
      <c r="G26" s="329">
        <v>3315.0135111999998</v>
      </c>
      <c r="H26" s="329">
        <v>3308.9808112000001</v>
      </c>
      <c r="I26" s="329">
        <v>3300.8608112000002</v>
      </c>
      <c r="J26" s="329">
        <v>3297.4690111999998</v>
      </c>
      <c r="K26" s="329">
        <v>3239.6068111999998</v>
      </c>
      <c r="L26" s="329">
        <v>3237.5831634000001</v>
      </c>
    </row>
    <row r="27" spans="2:12" x14ac:dyDescent="0.2">
      <c r="C27" s="329"/>
      <c r="D27" s="329"/>
      <c r="E27" s="329"/>
      <c r="F27" s="329"/>
      <c r="G27" s="329"/>
      <c r="H27" s="329"/>
      <c r="I27" s="329"/>
      <c r="J27" s="329"/>
      <c r="K27" s="329"/>
      <c r="L27" s="329"/>
    </row>
    <row r="28" spans="2:12" x14ac:dyDescent="0.2">
      <c r="B28" s="326" t="s">
        <v>141</v>
      </c>
      <c r="C28" s="329">
        <v>59.64487292095</v>
      </c>
      <c r="D28" s="329">
        <v>16.119394512992756</v>
      </c>
      <c r="E28" s="329">
        <v>12.371936216117751</v>
      </c>
      <c r="F28" s="329">
        <v>10.422842156548084</v>
      </c>
      <c r="G28" s="329">
        <v>18.344456810325003</v>
      </c>
      <c r="H28" s="329">
        <v>19.265578099775006</v>
      </c>
      <c r="I28" s="329">
        <v>11.187368400000004</v>
      </c>
      <c r="J28" s="329">
        <v>11.240981000000003</v>
      </c>
      <c r="K28" s="329">
        <v>11.268532000000004</v>
      </c>
      <c r="L28" s="329">
        <v>11.475734500000003</v>
      </c>
    </row>
    <row r="29" spans="2:12" x14ac:dyDescent="0.2">
      <c r="B29" s="326" t="s">
        <v>142</v>
      </c>
      <c r="C29" s="329">
        <v>225</v>
      </c>
      <c r="D29" s="329">
        <v>0</v>
      </c>
      <c r="E29" s="329">
        <v>0</v>
      </c>
      <c r="F29" s="329">
        <v>0</v>
      </c>
      <c r="G29" s="329">
        <v>0</v>
      </c>
      <c r="H29" s="329">
        <v>0</v>
      </c>
      <c r="I29" s="329">
        <v>0</v>
      </c>
      <c r="J29" s="329">
        <v>0</v>
      </c>
      <c r="K29" s="329">
        <v>0</v>
      </c>
      <c r="L29" s="329">
        <v>0</v>
      </c>
    </row>
    <row r="30" spans="2:12" x14ac:dyDescent="0.2">
      <c r="B30" s="326" t="s">
        <v>143</v>
      </c>
      <c r="C30" s="329">
        <v>1997.5852634862063</v>
      </c>
      <c r="D30" s="329">
        <v>1997.5852634862063</v>
      </c>
      <c r="E30" s="329">
        <v>1997.5852634862063</v>
      </c>
      <c r="F30" s="329">
        <v>1997.5852634862063</v>
      </c>
      <c r="G30" s="329">
        <v>1997.5852634862063</v>
      </c>
      <c r="H30" s="329">
        <v>1997.5852634862063</v>
      </c>
      <c r="I30" s="329">
        <v>1997.5852634862063</v>
      </c>
      <c r="J30" s="329">
        <v>1997.5852634862063</v>
      </c>
      <c r="K30" s="329">
        <v>1997.5852634862063</v>
      </c>
      <c r="L30" s="329">
        <v>1997.5852634862063</v>
      </c>
    </row>
    <row r="31" spans="2:12" x14ac:dyDescent="0.2">
      <c r="B31" s="326" t="s">
        <v>144</v>
      </c>
      <c r="C31" s="329">
        <v>915.59307769872498</v>
      </c>
      <c r="D31" s="329">
        <v>947.63840696770421</v>
      </c>
      <c r="E31" s="329">
        <v>979.93557703724991</v>
      </c>
      <c r="F31" s="329">
        <v>825.19759293960567</v>
      </c>
      <c r="G31" s="329">
        <v>816.93879461013012</v>
      </c>
      <c r="H31" s="329">
        <v>816.29293758354015</v>
      </c>
      <c r="I31" s="329">
        <v>835.41655730499997</v>
      </c>
      <c r="J31" s="329">
        <v>837.4910742134133</v>
      </c>
      <c r="K31" s="329">
        <v>823.21394183724988</v>
      </c>
      <c r="L31" s="329">
        <v>825.19759293960567</v>
      </c>
    </row>
    <row r="32" spans="2:12" x14ac:dyDescent="0.2">
      <c r="B32" s="326" t="s">
        <v>145</v>
      </c>
      <c r="C32" s="330">
        <v>-174.94844000000001</v>
      </c>
      <c r="D32" s="330">
        <v>-172.26844599999998</v>
      </c>
      <c r="E32" s="330">
        <v>-174.16000600000001</v>
      </c>
      <c r="F32" s="330">
        <v>-160.59635</v>
      </c>
      <c r="G32" s="330">
        <v>-167.06632000000002</v>
      </c>
      <c r="H32" s="330">
        <v>-166.94081</v>
      </c>
      <c r="I32" s="330">
        <v>-170.10386</v>
      </c>
      <c r="J32" s="330">
        <v>-168.48774</v>
      </c>
      <c r="K32" s="330">
        <v>-167.29423</v>
      </c>
      <c r="L32" s="330">
        <v>-167.57506000000001</v>
      </c>
    </row>
    <row r="33" spans="2:12" x14ac:dyDescent="0.2">
      <c r="B33" s="326" t="s">
        <v>146</v>
      </c>
      <c r="C33" s="329">
        <v>3022.8747741058814</v>
      </c>
      <c r="D33" s="329">
        <v>2789.0746189669035</v>
      </c>
      <c r="E33" s="329">
        <v>2815.7327707395739</v>
      </c>
      <c r="F33" s="329">
        <v>2672.6093485823603</v>
      </c>
      <c r="G33" s="329">
        <v>2665.8021949066615</v>
      </c>
      <c r="H33" s="329">
        <v>2666.2029691695216</v>
      </c>
      <c r="I33" s="329">
        <v>2674.0853291912063</v>
      </c>
      <c r="J33" s="329">
        <v>2677.8295786996196</v>
      </c>
      <c r="K33" s="329">
        <v>2664.7735073234562</v>
      </c>
      <c r="L33" s="329">
        <v>2666.6835309258117</v>
      </c>
    </row>
    <row r="34" spans="2:12" x14ac:dyDescent="0.2">
      <c r="C34" s="329"/>
      <c r="D34" s="329"/>
      <c r="E34" s="329"/>
      <c r="F34" s="329"/>
      <c r="G34" s="329"/>
      <c r="H34" s="329"/>
      <c r="I34" s="329"/>
      <c r="J34" s="329"/>
      <c r="K34" s="329"/>
      <c r="L34" s="329"/>
    </row>
    <row r="35" spans="2:12" x14ac:dyDescent="0.2">
      <c r="B35" s="335" t="s">
        <v>147</v>
      </c>
      <c r="C35" s="329">
        <v>-338.71170369411857</v>
      </c>
      <c r="D35" s="329">
        <v>-569.69299223309645</v>
      </c>
      <c r="E35" s="329">
        <v>-527.25204046042609</v>
      </c>
      <c r="F35" s="329">
        <v>-654.12151481763976</v>
      </c>
      <c r="G35" s="329">
        <v>-649.21131629333831</v>
      </c>
      <c r="H35" s="329">
        <v>-642.7778420304785</v>
      </c>
      <c r="I35" s="329">
        <v>-626.77548200879392</v>
      </c>
      <c r="J35" s="329">
        <v>-619.63943250038028</v>
      </c>
      <c r="K35" s="329">
        <v>-574.8333038765436</v>
      </c>
      <c r="L35" s="329">
        <v>-570.89963247418837</v>
      </c>
    </row>
    <row r="36" spans="2:12" x14ac:dyDescent="0.2">
      <c r="B36" s="335" t="s">
        <v>148</v>
      </c>
      <c r="C36" s="286">
        <v>-0.10075947946928601</v>
      </c>
      <c r="D36" s="286">
        <v>-0.16961369709932389</v>
      </c>
      <c r="E36" s="286">
        <v>-0.15771894586358093</v>
      </c>
      <c r="F36" s="286">
        <v>-0.19662591946169988</v>
      </c>
      <c r="G36" s="268">
        <v>-0.19583971953656704</v>
      </c>
      <c r="H36" s="286">
        <v>-0.19425251420463072</v>
      </c>
      <c r="I36" s="286">
        <v>-0.18988243305567767</v>
      </c>
      <c r="J36" s="286">
        <v>-0.18791364843634539</v>
      </c>
      <c r="K36" s="286">
        <v>-0.17743921944145333</v>
      </c>
      <c r="L36" s="286">
        <v>-0.17633512520328556</v>
      </c>
    </row>
    <row r="38" spans="2:12" x14ac:dyDescent="0.2">
      <c r="B38" s="334" t="s">
        <v>150</v>
      </c>
      <c r="C38" s="331"/>
      <c r="D38" s="331"/>
      <c r="E38" s="331"/>
      <c r="F38" s="331"/>
      <c r="G38" s="331"/>
      <c r="H38" s="331"/>
      <c r="I38" s="331"/>
      <c r="J38" s="331"/>
      <c r="K38" s="331"/>
      <c r="L38" s="331"/>
    </row>
    <row r="39" spans="2:12" x14ac:dyDescent="0.2">
      <c r="B39" s="326" t="s">
        <v>137</v>
      </c>
      <c r="C39" s="329">
        <v>3637.4249560000003</v>
      </c>
      <c r="D39" s="329">
        <v>3644.5614560000004</v>
      </c>
      <c r="E39" s="329">
        <v>3628.8920560000001</v>
      </c>
      <c r="F39" s="329">
        <v>3612.9415893999999</v>
      </c>
      <c r="G39" s="329">
        <v>3608.059256</v>
      </c>
      <c r="H39" s="329">
        <v>3604.5742485000001</v>
      </c>
      <c r="I39" s="329">
        <v>3606.298256</v>
      </c>
      <c r="J39" s="329">
        <v>3608.7562560000001</v>
      </c>
      <c r="K39" s="329">
        <v>3552.6180560000003</v>
      </c>
      <c r="L39" s="329">
        <v>3555.7785893999999</v>
      </c>
    </row>
    <row r="40" spans="2:12" x14ac:dyDescent="0.2">
      <c r="B40" s="326" t="s">
        <v>138</v>
      </c>
      <c r="C40" s="329">
        <v>0</v>
      </c>
      <c r="D40" s="329">
        <v>0</v>
      </c>
      <c r="E40" s="329">
        <v>0</v>
      </c>
      <c r="F40" s="329">
        <v>0</v>
      </c>
      <c r="G40" s="329">
        <v>0</v>
      </c>
      <c r="H40" s="329">
        <v>0</v>
      </c>
      <c r="I40" s="329">
        <v>0</v>
      </c>
      <c r="J40" s="329">
        <v>0</v>
      </c>
      <c r="K40" s="329">
        <v>0</v>
      </c>
      <c r="L40" s="329">
        <v>0</v>
      </c>
    </row>
    <row r="41" spans="2:12" x14ac:dyDescent="0.2">
      <c r="B41" s="326" t="s">
        <v>139</v>
      </c>
      <c r="C41" s="330">
        <v>0</v>
      </c>
      <c r="D41" s="330">
        <v>0</v>
      </c>
      <c r="E41" s="330">
        <v>0</v>
      </c>
      <c r="F41" s="330">
        <v>0</v>
      </c>
      <c r="G41" s="330">
        <v>0</v>
      </c>
      <c r="H41" s="330">
        <v>0</v>
      </c>
      <c r="I41" s="330">
        <v>0</v>
      </c>
      <c r="J41" s="330">
        <v>0</v>
      </c>
      <c r="K41" s="330">
        <v>0</v>
      </c>
      <c r="L41" s="330">
        <v>0</v>
      </c>
    </row>
    <row r="42" spans="2:12" x14ac:dyDescent="0.2">
      <c r="B42" s="326" t="s">
        <v>140</v>
      </c>
      <c r="C42" s="329">
        <v>3637.4249560000003</v>
      </c>
      <c r="D42" s="329">
        <v>3644.5614560000004</v>
      </c>
      <c r="E42" s="329">
        <v>3628.8920560000001</v>
      </c>
      <c r="F42" s="329">
        <v>3612.9415893999999</v>
      </c>
      <c r="G42" s="329">
        <v>3608.059256</v>
      </c>
      <c r="H42" s="329">
        <v>3604.5742485000001</v>
      </c>
      <c r="I42" s="329">
        <v>3606.298256</v>
      </c>
      <c r="J42" s="329">
        <v>3608.7562560000001</v>
      </c>
      <c r="K42" s="329">
        <v>3552.6180560000003</v>
      </c>
      <c r="L42" s="329">
        <v>3555.7785893999999</v>
      </c>
    </row>
    <row r="43" spans="2:12" x14ac:dyDescent="0.2">
      <c r="C43" s="329"/>
      <c r="D43" s="329"/>
      <c r="E43" s="329"/>
      <c r="F43" s="329"/>
      <c r="G43" s="329"/>
      <c r="H43" s="329"/>
      <c r="I43" s="329"/>
      <c r="J43" s="329"/>
      <c r="K43" s="329"/>
      <c r="L43" s="329"/>
    </row>
    <row r="44" spans="2:12" x14ac:dyDescent="0.2">
      <c r="B44" s="326" t="s">
        <v>141</v>
      </c>
      <c r="C44" s="329">
        <v>58.668418835480693</v>
      </c>
      <c r="D44" s="329">
        <v>23.286752169014378</v>
      </c>
      <c r="E44" s="329">
        <v>29.683147758725831</v>
      </c>
      <c r="F44" s="329">
        <v>27.891328548124992</v>
      </c>
      <c r="G44" s="329">
        <v>-13.653408716950006</v>
      </c>
      <c r="H44" s="329">
        <v>29.460883990249997</v>
      </c>
      <c r="I44" s="329">
        <v>19.620033499999998</v>
      </c>
      <c r="J44" s="329">
        <v>19.613476499999997</v>
      </c>
      <c r="K44" s="329">
        <v>19.614568999999999</v>
      </c>
      <c r="L44" s="329">
        <v>6.088239999999999</v>
      </c>
    </row>
    <row r="45" spans="2:12" x14ac:dyDescent="0.2">
      <c r="B45" s="326" t="s">
        <v>142</v>
      </c>
      <c r="C45" s="329">
        <v>825</v>
      </c>
      <c r="D45" s="329">
        <v>0</v>
      </c>
      <c r="E45" s="329">
        <v>0</v>
      </c>
      <c r="F45" s="329">
        <v>0</v>
      </c>
      <c r="G45" s="329">
        <v>0</v>
      </c>
      <c r="H45" s="329">
        <v>0</v>
      </c>
      <c r="I45" s="329">
        <v>0</v>
      </c>
      <c r="J45" s="329">
        <v>0</v>
      </c>
      <c r="K45" s="329">
        <v>0</v>
      </c>
      <c r="L45" s="329">
        <v>0</v>
      </c>
    </row>
    <row r="46" spans="2:12" x14ac:dyDescent="0.2">
      <c r="B46" s="326" t="s">
        <v>143</v>
      </c>
      <c r="C46" s="329">
        <v>2047.1505634862062</v>
      </c>
      <c r="D46" s="329">
        <v>2047.1505634862062</v>
      </c>
      <c r="E46" s="329">
        <v>2047.1505634862062</v>
      </c>
      <c r="F46" s="329">
        <v>2047.1505634862062</v>
      </c>
      <c r="G46" s="329">
        <v>2047.1505634862062</v>
      </c>
      <c r="H46" s="329">
        <v>2047.1505634862062</v>
      </c>
      <c r="I46" s="329">
        <v>2047.1505634862062</v>
      </c>
      <c r="J46" s="329">
        <v>2047.1505634862062</v>
      </c>
      <c r="K46" s="329">
        <v>2047.1505634862062</v>
      </c>
      <c r="L46" s="329">
        <v>2047.1505634862062</v>
      </c>
    </row>
    <row r="47" spans="2:12" x14ac:dyDescent="0.2">
      <c r="B47" s="326" t="s">
        <v>144</v>
      </c>
      <c r="C47" s="329">
        <v>1022.7670620329661</v>
      </c>
      <c r="D47" s="329">
        <v>1025.740029338519</v>
      </c>
      <c r="E47" s="329">
        <v>1068.3981896308746</v>
      </c>
      <c r="F47" s="329">
        <v>907.21470395325991</v>
      </c>
      <c r="G47" s="329">
        <v>904.72826509734</v>
      </c>
      <c r="H47" s="329">
        <v>908.33963384419008</v>
      </c>
      <c r="I47" s="329">
        <v>899.13986092260552</v>
      </c>
      <c r="J47" s="329">
        <v>910.26813053087471</v>
      </c>
      <c r="K47" s="329">
        <v>916.54084202555737</v>
      </c>
      <c r="L47" s="329">
        <v>907.21470395325991</v>
      </c>
    </row>
    <row r="48" spans="2:12" x14ac:dyDescent="0.2">
      <c r="B48" s="326" t="s">
        <v>145</v>
      </c>
      <c r="C48" s="330">
        <v>-166.33408500000002</v>
      </c>
      <c r="D48" s="330">
        <v>-182.75312000000002</v>
      </c>
      <c r="E48" s="330">
        <v>-185.71568000000002</v>
      </c>
      <c r="F48" s="330">
        <v>-179.78958399999999</v>
      </c>
      <c r="G48" s="330">
        <v>-182.55444</v>
      </c>
      <c r="H48" s="330">
        <v>-182.28111999999999</v>
      </c>
      <c r="I48" s="330">
        <v>-182.63198999999997</v>
      </c>
      <c r="J48" s="330">
        <v>-180.8537</v>
      </c>
      <c r="K48" s="330">
        <v>-178.93837000000002</v>
      </c>
      <c r="L48" s="330">
        <v>-177.94615999999999</v>
      </c>
    </row>
    <row r="49" spans="2:12" x14ac:dyDescent="0.2">
      <c r="B49" s="326" t="s">
        <v>146</v>
      </c>
      <c r="C49" s="329">
        <v>3787.2519593546535</v>
      </c>
      <c r="D49" s="329">
        <v>2913.4242249937397</v>
      </c>
      <c r="E49" s="329">
        <v>2959.5162208758065</v>
      </c>
      <c r="F49" s="329">
        <v>2802.4670119875909</v>
      </c>
      <c r="G49" s="329">
        <v>2755.6709798665961</v>
      </c>
      <c r="H49" s="329">
        <v>2802.6699613206461</v>
      </c>
      <c r="I49" s="329">
        <v>2783.2784679088118</v>
      </c>
      <c r="J49" s="329">
        <v>2796.1784705170808</v>
      </c>
      <c r="K49" s="329">
        <v>2804.3676045117636</v>
      </c>
      <c r="L49" s="329">
        <v>2782.5073474394662</v>
      </c>
    </row>
    <row r="50" spans="2:12" x14ac:dyDescent="0.2">
      <c r="C50" s="332"/>
      <c r="D50" s="332"/>
      <c r="E50" s="332"/>
      <c r="F50" s="332"/>
      <c r="G50" s="332"/>
      <c r="H50" s="332"/>
      <c r="I50" s="332"/>
      <c r="J50" s="332"/>
      <c r="K50" s="332"/>
      <c r="L50" s="332"/>
    </row>
    <row r="51" spans="2:12" x14ac:dyDescent="0.2">
      <c r="B51" s="335" t="s">
        <v>147</v>
      </c>
      <c r="C51" s="329">
        <v>149.82700335465324</v>
      </c>
      <c r="D51" s="329">
        <v>-731.13723100626066</v>
      </c>
      <c r="E51" s="329">
        <v>-669.3758351241936</v>
      </c>
      <c r="F51" s="329">
        <v>-810.47457741240896</v>
      </c>
      <c r="G51" s="329">
        <v>-852.38827613340391</v>
      </c>
      <c r="H51" s="329">
        <v>-801.90428717935401</v>
      </c>
      <c r="I51" s="329">
        <v>-823.01978809118827</v>
      </c>
      <c r="J51" s="329">
        <v>-812.57778548291935</v>
      </c>
      <c r="K51" s="329">
        <v>-748.25045148823665</v>
      </c>
      <c r="L51" s="329">
        <v>-773.27124196053364</v>
      </c>
    </row>
    <row r="52" spans="2:12" x14ac:dyDescent="0.2">
      <c r="B52" s="335" t="s">
        <v>148</v>
      </c>
      <c r="C52" s="286">
        <v>4.1190403971774266E-2</v>
      </c>
      <c r="D52" s="286">
        <v>-0.2006104821754611</v>
      </c>
      <c r="E52" s="286">
        <v>-0.18445735634859942</v>
      </c>
      <c r="F52" s="286">
        <v>-0.22432540282141794</v>
      </c>
      <c r="G52" s="286">
        <v>-0.2362456422288326</v>
      </c>
      <c r="H52" s="286">
        <v>-0.22246851691654201</v>
      </c>
      <c r="I52" s="286">
        <v>-0.22821733802019403</v>
      </c>
      <c r="J52" s="286">
        <v>-0.2251683759832516</v>
      </c>
      <c r="K52" s="286">
        <v>-0.21061944731844165</v>
      </c>
      <c r="L52" s="286">
        <v>-0.21746889535408756</v>
      </c>
    </row>
    <row r="54" spans="2:12" hidden="1" x14ac:dyDescent="0.2"/>
    <row r="55" spans="2:12" hidden="1" x14ac:dyDescent="0.2">
      <c r="B55" s="331"/>
    </row>
    <row r="56" spans="2:12" hidden="1" x14ac:dyDescent="0.2">
      <c r="B56" s="326" t="s">
        <v>151</v>
      </c>
      <c r="C56" s="326">
        <v>0</v>
      </c>
      <c r="D56" s="326">
        <v>13</v>
      </c>
      <c r="E56" s="326">
        <v>26</v>
      </c>
      <c r="F56" s="326">
        <v>39</v>
      </c>
      <c r="G56" s="326">
        <v>52</v>
      </c>
      <c r="H56" s="326">
        <v>65</v>
      </c>
      <c r="I56" s="326">
        <v>78</v>
      </c>
      <c r="J56" s="326">
        <v>91</v>
      </c>
      <c r="K56" s="326">
        <v>104</v>
      </c>
      <c r="L56" s="326">
        <v>117</v>
      </c>
    </row>
  </sheetData>
  <mergeCells count="1">
    <mergeCell ref="B1:L1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B1:AD41"/>
  <sheetViews>
    <sheetView zoomScaleNormal="100" workbookViewId="0">
      <selection activeCell="D43" sqref="D43"/>
    </sheetView>
  </sheetViews>
  <sheetFormatPr defaultColWidth="9.33203125" defaultRowHeight="12.75" x14ac:dyDescent="0.2"/>
  <cols>
    <col min="1" max="1" width="1.33203125" style="2" customWidth="1"/>
    <col min="2" max="2" width="11.1640625" style="2" customWidth="1"/>
    <col min="3" max="8" width="8.1640625" style="2" customWidth="1"/>
    <col min="9" max="10" width="8.33203125" style="2" customWidth="1"/>
    <col min="11" max="11" width="8.1640625" style="2" customWidth="1"/>
    <col min="12" max="12" width="8.1640625" style="3" customWidth="1"/>
    <col min="13" max="14" width="8.1640625" style="2" customWidth="1"/>
    <col min="15" max="15" width="2.33203125" style="2" customWidth="1"/>
    <col min="16" max="16" width="10.83203125" style="3" customWidth="1"/>
    <col min="17" max="17" width="15.33203125" style="2" customWidth="1"/>
    <col min="18" max="18" width="2.1640625" style="2" customWidth="1"/>
    <col min="19" max="31" width="9.33203125" style="2"/>
    <col min="32" max="32" width="2.1640625" style="2" customWidth="1"/>
    <col min="33" max="33" width="2" style="2" customWidth="1"/>
    <col min="34" max="35" width="9.33203125" style="2"/>
    <col min="36" max="36" width="9.33203125" style="2" customWidth="1"/>
    <col min="37" max="16384" width="9.33203125" style="2"/>
  </cols>
  <sheetData>
    <row r="1" spans="2:17" s="16" customFormat="1" ht="15.75" x14ac:dyDescent="0.25">
      <c r="B1" s="1" t="s">
        <v>170</v>
      </c>
      <c r="C1" s="1"/>
      <c r="D1" s="1"/>
      <c r="E1" s="1"/>
      <c r="F1" s="18"/>
      <c r="G1" s="1"/>
      <c r="H1" s="1"/>
      <c r="I1" s="1"/>
      <c r="J1" s="1"/>
      <c r="K1" s="27"/>
      <c r="L1" s="28"/>
      <c r="M1" s="18"/>
      <c r="N1" s="18"/>
      <c r="P1" s="282"/>
    </row>
    <row r="2" spans="2:17" s="19" customFormat="1" ht="15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29"/>
      <c r="M2" s="27"/>
      <c r="N2" s="27"/>
      <c r="P2" s="282"/>
    </row>
    <row r="3" spans="2:17" ht="15" x14ac:dyDescent="0.25">
      <c r="B3" s="7" t="s">
        <v>135</v>
      </c>
      <c r="C3" s="7"/>
      <c r="D3" s="7"/>
      <c r="E3" s="7"/>
      <c r="F3" s="7"/>
      <c r="G3" s="7"/>
      <c r="H3" s="7"/>
      <c r="I3" s="7"/>
      <c r="J3" s="7"/>
      <c r="K3" s="7"/>
      <c r="L3" s="29"/>
      <c r="M3" s="27"/>
      <c r="N3" s="27"/>
    </row>
    <row r="4" spans="2:17" x14ac:dyDescent="0.2">
      <c r="C4" s="40"/>
      <c r="D4" s="40"/>
      <c r="E4" s="40"/>
      <c r="F4" s="13"/>
      <c r="G4" s="13"/>
      <c r="H4" s="13"/>
      <c r="I4" s="13"/>
      <c r="J4" s="13"/>
      <c r="K4" s="13"/>
      <c r="L4" s="30"/>
    </row>
    <row r="5" spans="2:17" x14ac:dyDescent="0.2">
      <c r="B5" s="4" t="s">
        <v>3</v>
      </c>
      <c r="C5" s="42" t="s">
        <v>63</v>
      </c>
      <c r="D5" s="55"/>
      <c r="E5" s="55"/>
      <c r="F5" s="42"/>
      <c r="G5" s="42" t="s">
        <v>64</v>
      </c>
      <c r="H5" s="42"/>
      <c r="I5" s="42"/>
      <c r="J5" s="42"/>
      <c r="K5" s="42"/>
      <c r="L5" s="42"/>
      <c r="M5" s="42" t="s">
        <v>63</v>
      </c>
      <c r="N5" s="42"/>
    </row>
    <row r="6" spans="2:17" x14ac:dyDescent="0.2">
      <c r="B6" s="39"/>
      <c r="C6" s="145" t="s">
        <v>51</v>
      </c>
      <c r="D6" s="145" t="s">
        <v>52</v>
      </c>
      <c r="E6" s="145" t="s">
        <v>53</v>
      </c>
      <c r="F6" s="145" t="s">
        <v>54</v>
      </c>
      <c r="G6" s="161" t="s">
        <v>55</v>
      </c>
      <c r="H6" s="145" t="s">
        <v>56</v>
      </c>
      <c r="I6" s="145" t="s">
        <v>57</v>
      </c>
      <c r="J6" s="145" t="s">
        <v>58</v>
      </c>
      <c r="K6" s="145" t="s">
        <v>59</v>
      </c>
      <c r="L6" s="145" t="s">
        <v>60</v>
      </c>
      <c r="M6" s="161" t="s">
        <v>61</v>
      </c>
      <c r="N6" s="49" t="s">
        <v>62</v>
      </c>
    </row>
    <row r="7" spans="2:17" x14ac:dyDescent="0.2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2:17" s="6" customFormat="1" ht="12.75" customHeight="1" x14ac:dyDescent="0.2">
      <c r="B8" s="26" t="s">
        <v>120</v>
      </c>
      <c r="D8" s="17"/>
      <c r="E8" s="17"/>
      <c r="F8" s="17"/>
      <c r="G8" s="17"/>
      <c r="H8" s="17"/>
      <c r="I8" s="17"/>
      <c r="J8" s="17"/>
      <c r="K8" s="31"/>
      <c r="L8" s="9"/>
      <c r="M8" s="17"/>
      <c r="N8" s="9"/>
      <c r="P8" s="9"/>
    </row>
    <row r="9" spans="2:17" s="6" customFormat="1" ht="12.75" customHeight="1" x14ac:dyDescent="0.2">
      <c r="B9" s="159">
        <v>2018</v>
      </c>
      <c r="C9" s="78">
        <v>26.10062520035893</v>
      </c>
      <c r="D9" s="78">
        <v>23.58439038830765</v>
      </c>
      <c r="E9" s="78">
        <v>18.62198618245942</v>
      </c>
      <c r="F9" s="78">
        <v>14.427046817704001</v>
      </c>
      <c r="G9" s="156">
        <v>12.488467741935484</v>
      </c>
      <c r="H9" s="78">
        <v>13.240375422392454</v>
      </c>
      <c r="I9" s="78">
        <v>23.245724638503805</v>
      </c>
      <c r="J9" s="78">
        <v>28.863416872496607</v>
      </c>
      <c r="K9" s="78">
        <v>25.326654689106885</v>
      </c>
      <c r="L9" s="79">
        <v>22.168806857379373</v>
      </c>
      <c r="M9" s="78">
        <v>22.115394736868641</v>
      </c>
      <c r="N9" s="79">
        <v>26.101941831378287</v>
      </c>
      <c r="P9" s="12"/>
      <c r="Q9" s="160"/>
    </row>
    <row r="10" spans="2:17" s="6" customFormat="1" ht="12.75" customHeight="1" x14ac:dyDescent="0.2">
      <c r="B10" s="179">
        <f t="shared" ref="B10:B11" si="0">B9+1</f>
        <v>2019</v>
      </c>
      <c r="C10" s="12">
        <v>26.669048692791932</v>
      </c>
      <c r="D10" s="12">
        <v>23.475228808442395</v>
      </c>
      <c r="E10" s="12">
        <v>19.228495402794771</v>
      </c>
      <c r="F10" s="12">
        <v>15.586127137996463</v>
      </c>
      <c r="G10" s="157">
        <v>13.764773202055705</v>
      </c>
      <c r="H10" s="12">
        <v>13.192047452383985</v>
      </c>
      <c r="I10" s="12">
        <v>23.119999269644218</v>
      </c>
      <c r="J10" s="12">
        <v>27.301291270636384</v>
      </c>
      <c r="K10" s="12">
        <v>25.159139794966826</v>
      </c>
      <c r="L10" s="80">
        <v>20.803758265132345</v>
      </c>
      <c r="M10" s="12">
        <v>22.660511378635963</v>
      </c>
      <c r="N10" s="80">
        <v>26.348686849686406</v>
      </c>
      <c r="P10" s="12"/>
      <c r="Q10" s="160"/>
    </row>
    <row r="11" spans="2:17" s="6" customFormat="1" ht="12.75" customHeight="1" x14ac:dyDescent="0.2">
      <c r="B11" s="179">
        <f t="shared" si="0"/>
        <v>2020</v>
      </c>
      <c r="C11" s="12">
        <v>28.652445045297824</v>
      </c>
      <c r="D11" s="12">
        <v>25.167437212460555</v>
      </c>
      <c r="E11" s="12">
        <v>20.779472033993532</v>
      </c>
      <c r="F11" s="12">
        <v>17.658713032828437</v>
      </c>
      <c r="G11" s="157">
        <v>15.833998343644623</v>
      </c>
      <c r="H11" s="12">
        <v>15.627842388875369</v>
      </c>
      <c r="I11" s="12">
        <v>23.012538682394812</v>
      </c>
      <c r="J11" s="12">
        <v>27.048704085553325</v>
      </c>
      <c r="K11" s="12">
        <v>25.304544329360333</v>
      </c>
      <c r="L11" s="80">
        <v>23.014694586259022</v>
      </c>
      <c r="M11" s="12">
        <v>25.103126671275952</v>
      </c>
      <c r="N11" s="80">
        <v>29.704637876178229</v>
      </c>
      <c r="P11" s="12"/>
      <c r="Q11" s="160"/>
    </row>
    <row r="12" spans="2:17" s="6" customFormat="1" ht="12.75" customHeight="1" x14ac:dyDescent="0.2">
      <c r="B12" s="179">
        <f>B11+1</f>
        <v>2021</v>
      </c>
      <c r="C12" s="12">
        <v>30.247314866112283</v>
      </c>
      <c r="D12" s="12">
        <v>26.708425846132005</v>
      </c>
      <c r="E12" s="12">
        <v>22.046044244946092</v>
      </c>
      <c r="F12" s="12">
        <v>19.032502983065321</v>
      </c>
      <c r="G12" s="157">
        <v>16.872436358720385</v>
      </c>
      <c r="H12" s="12">
        <v>16.742754987236733</v>
      </c>
      <c r="I12" s="12">
        <v>24.142600377228472</v>
      </c>
      <c r="J12" s="12">
        <v>28.291361926520462</v>
      </c>
      <c r="K12" s="12">
        <v>26.433137151009092</v>
      </c>
      <c r="L12" s="80">
        <v>24.097382054206744</v>
      </c>
      <c r="M12" s="12">
        <v>26.386314160163618</v>
      </c>
      <c r="N12" s="80">
        <v>31.351500548373465</v>
      </c>
      <c r="P12" s="12"/>
      <c r="Q12" s="160"/>
    </row>
    <row r="13" spans="2:17" s="6" customFormat="1" ht="12.75" customHeight="1" x14ac:dyDescent="0.2">
      <c r="B13" s="179">
        <f t="shared" ref="B13:B18" si="1">B12+1</f>
        <v>2022</v>
      </c>
      <c r="C13" s="12">
        <v>31.674814361598223</v>
      </c>
      <c r="D13" s="12">
        <v>28.13087862782513</v>
      </c>
      <c r="E13" s="12">
        <v>23.491484240219798</v>
      </c>
      <c r="F13" s="12">
        <v>20.507601300692393</v>
      </c>
      <c r="G13" s="157">
        <v>18.282279167700239</v>
      </c>
      <c r="H13" s="12">
        <v>18.198983631854254</v>
      </c>
      <c r="I13" s="12">
        <v>25.372605647423896</v>
      </c>
      <c r="J13" s="12">
        <v>29.893152529945979</v>
      </c>
      <c r="K13" s="12">
        <v>27.827846179141559</v>
      </c>
      <c r="L13" s="80">
        <v>25.528000854016032</v>
      </c>
      <c r="M13" s="12">
        <v>27.855422536291595</v>
      </c>
      <c r="N13" s="80">
        <v>32.777906981071119</v>
      </c>
      <c r="P13" s="12"/>
      <c r="Q13" s="160"/>
    </row>
    <row r="14" spans="2:17" s="6" customFormat="1" ht="12.75" customHeight="1" x14ac:dyDescent="0.2">
      <c r="B14" s="179">
        <f t="shared" si="1"/>
        <v>2023</v>
      </c>
      <c r="C14" s="12">
        <v>33.118706223716337</v>
      </c>
      <c r="D14" s="12">
        <v>29.584368625626055</v>
      </c>
      <c r="E14" s="12">
        <v>24.943498342196428</v>
      </c>
      <c r="F14" s="12">
        <v>21.803169243580765</v>
      </c>
      <c r="G14" s="157">
        <v>19.887472666944426</v>
      </c>
      <c r="H14" s="12">
        <v>19.646449586392485</v>
      </c>
      <c r="I14" s="12">
        <v>26.85730765940281</v>
      </c>
      <c r="J14" s="12">
        <v>31.379164161572572</v>
      </c>
      <c r="K14" s="12">
        <v>29.297888451105603</v>
      </c>
      <c r="L14" s="80">
        <v>26.906755298484036</v>
      </c>
      <c r="M14" s="12">
        <v>33.059758149398697</v>
      </c>
      <c r="N14" s="80">
        <v>36.269316059274061</v>
      </c>
      <c r="P14" s="12"/>
      <c r="Q14" s="160"/>
    </row>
    <row r="15" spans="2:17" s="6" customFormat="1" ht="12.75" customHeight="1" x14ac:dyDescent="0.2">
      <c r="B15" s="179">
        <f t="shared" si="1"/>
        <v>2024</v>
      </c>
      <c r="C15" s="12">
        <v>35.460864241843019</v>
      </c>
      <c r="D15" s="12">
        <v>35.350268390353598</v>
      </c>
      <c r="E15" s="12">
        <v>29.876706398070578</v>
      </c>
      <c r="F15" s="12">
        <v>27.684202500050887</v>
      </c>
      <c r="G15" s="157">
        <v>24.344525264195937</v>
      </c>
      <c r="H15" s="12">
        <v>25.840327401488192</v>
      </c>
      <c r="I15" s="12">
        <v>33.652667348966084</v>
      </c>
      <c r="J15" s="12">
        <v>37.31222683264243</v>
      </c>
      <c r="K15" s="12">
        <v>35.309294632610346</v>
      </c>
      <c r="L15" s="80">
        <v>33.193100633722963</v>
      </c>
      <c r="M15" s="12">
        <v>38.288673120811993</v>
      </c>
      <c r="N15" s="80">
        <v>39.752409113921146</v>
      </c>
      <c r="P15" s="12"/>
      <c r="Q15" s="160"/>
    </row>
    <row r="16" spans="2:17" s="6" customFormat="1" ht="12.75" customHeight="1" x14ac:dyDescent="0.2">
      <c r="B16" s="179">
        <f t="shared" si="1"/>
        <v>2025</v>
      </c>
      <c r="C16" s="12">
        <v>37.71619662909378</v>
      </c>
      <c r="D16" s="12">
        <v>41.146731775386833</v>
      </c>
      <c r="E16" s="12">
        <v>34.830833258599206</v>
      </c>
      <c r="F16" s="12">
        <v>33.486696650175581</v>
      </c>
      <c r="G16" s="157">
        <v>28.886411050723325</v>
      </c>
      <c r="H16" s="12">
        <v>32.165395132521788</v>
      </c>
      <c r="I16" s="12">
        <v>40.336430176201688</v>
      </c>
      <c r="J16" s="12">
        <v>43.034798200058759</v>
      </c>
      <c r="K16" s="12">
        <v>41.720912105652815</v>
      </c>
      <c r="L16" s="80">
        <v>39.15843324546772</v>
      </c>
      <c r="M16" s="12">
        <v>39.67493940109739</v>
      </c>
      <c r="N16" s="80">
        <v>40.690227038662641</v>
      </c>
      <c r="P16" s="12"/>
      <c r="Q16" s="160"/>
    </row>
    <row r="17" spans="2:17" s="6" customFormat="1" ht="12.75" customHeight="1" x14ac:dyDescent="0.2">
      <c r="B17" s="179">
        <f t="shared" si="1"/>
        <v>2026</v>
      </c>
      <c r="C17" s="12">
        <v>38.948251880117319</v>
      </c>
      <c r="D17" s="12">
        <v>41.755659199298051</v>
      </c>
      <c r="E17" s="12">
        <v>34.993643316087585</v>
      </c>
      <c r="F17" s="12">
        <v>34.178386236383268</v>
      </c>
      <c r="G17" s="157">
        <v>29.243846919481111</v>
      </c>
      <c r="H17" s="12">
        <v>33.442502495251595</v>
      </c>
      <c r="I17" s="12">
        <v>41.86542392924909</v>
      </c>
      <c r="J17" s="12">
        <v>43.813472017772014</v>
      </c>
      <c r="K17" s="12">
        <v>41.841521757529222</v>
      </c>
      <c r="L17" s="80">
        <v>39.632449416987079</v>
      </c>
      <c r="M17" s="12">
        <v>40.28959281643894</v>
      </c>
      <c r="N17" s="80">
        <v>41.769518461539057</v>
      </c>
      <c r="P17" s="12"/>
      <c r="Q17" s="160"/>
    </row>
    <row r="18" spans="2:17" s="6" customFormat="1" ht="12.75" customHeight="1" x14ac:dyDescent="0.2">
      <c r="B18" s="297">
        <f t="shared" si="1"/>
        <v>2027</v>
      </c>
      <c r="C18" s="82">
        <v>39.690928240648361</v>
      </c>
      <c r="D18" s="82">
        <v>42.492517234456415</v>
      </c>
      <c r="E18" s="82">
        <v>35.262803530855486</v>
      </c>
      <c r="F18" s="82">
        <v>34.397018673576625</v>
      </c>
      <c r="G18" s="298">
        <v>29.917497012862757</v>
      </c>
      <c r="H18" s="82">
        <v>33.689753838461719</v>
      </c>
      <c r="I18" s="82">
        <v>42.511002800456218</v>
      </c>
      <c r="J18" s="82">
        <v>44.240474199332219</v>
      </c>
      <c r="K18" s="82">
        <v>42.752867759022031</v>
      </c>
      <c r="L18" s="83">
        <v>41.2585044897546</v>
      </c>
      <c r="M18" s="82">
        <v>42.835681880752041</v>
      </c>
      <c r="N18" s="83">
        <v>43.817192765584878</v>
      </c>
      <c r="P18" s="12"/>
      <c r="Q18" s="160"/>
    </row>
    <row r="19" spans="2:17" s="9" customFormat="1" ht="12.75" customHeight="1" x14ac:dyDescent="0.2">
      <c r="B19" s="16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78"/>
    </row>
    <row r="20" spans="2:17" s="6" customFormat="1" ht="12.75" customHeight="1" x14ac:dyDescent="0.2">
      <c r="B20" s="26" t="s">
        <v>71</v>
      </c>
      <c r="D20" s="66"/>
      <c r="E20" s="66"/>
      <c r="L20" s="65"/>
      <c r="P20" s="9"/>
    </row>
    <row r="21" spans="2:17" s="6" customFormat="1" ht="12.75" customHeight="1" x14ac:dyDescent="0.2">
      <c r="B21" s="63" t="s">
        <v>3</v>
      </c>
      <c r="D21" s="67" t="s">
        <v>63</v>
      </c>
      <c r="E21" s="8"/>
      <c r="F21" s="68"/>
      <c r="G21" s="9"/>
      <c r="H21" s="67" t="s">
        <v>64</v>
      </c>
      <c r="I21" s="8"/>
      <c r="J21" s="68"/>
      <c r="K21" s="9"/>
      <c r="L21" s="67" t="s">
        <v>72</v>
      </c>
      <c r="M21" s="8"/>
      <c r="N21" s="68"/>
      <c r="P21" s="9"/>
    </row>
    <row r="22" spans="2:17" s="3" customFormat="1" ht="12.75" customHeight="1" x14ac:dyDescent="0.2">
      <c r="B22" s="10"/>
      <c r="C22" s="9"/>
      <c r="D22" s="84"/>
      <c r="E22" s="85"/>
      <c r="F22" s="85"/>
      <c r="G22" s="33"/>
      <c r="H22" s="84"/>
      <c r="I22" s="85"/>
      <c r="J22" s="85"/>
      <c r="K22" s="33"/>
      <c r="L22" s="84"/>
      <c r="M22" s="85"/>
      <c r="N22" s="85"/>
      <c r="O22" s="40"/>
    </row>
    <row r="23" spans="2:17" s="3" customFormat="1" ht="12.75" customHeight="1" x14ac:dyDescent="0.2">
      <c r="B23" s="35">
        <f>B9</f>
        <v>2018</v>
      </c>
      <c r="D23" s="146"/>
      <c r="E23" s="146">
        <f>ROUND((SUMPRODUCT(C9:F9,$C$38:$F$38)+SUMPRODUCT(M9:N9,$M$38:$N$38))/(365-$H$41),2)</f>
        <v>21.84</v>
      </c>
      <c r="F23" s="146"/>
      <c r="H23" s="5"/>
      <c r="I23" s="5">
        <f t="shared" ref="I23:I28" si="2">ROUND(SUMPRODUCT(G9:L9,$G$38:$L$38)/$H$41,2)</f>
        <v>20.91</v>
      </c>
      <c r="J23" s="5"/>
      <c r="L23" s="146"/>
      <c r="M23" s="146">
        <f>ROUND(SUMPRODUCT(C9:N9,$C$38:$N$38)/365,2)</f>
        <v>21.37</v>
      </c>
      <c r="N23" s="146"/>
    </row>
    <row r="24" spans="2:17" s="3" customFormat="1" ht="12.75" customHeight="1" x14ac:dyDescent="0.2">
      <c r="B24" s="35">
        <f t="shared" ref="B24:B32" si="3">B23+1</f>
        <v>2019</v>
      </c>
      <c r="D24" s="146"/>
      <c r="E24" s="146">
        <f>ROUND((SUMPRODUCT(C10:F10,$C$38:$F$38)+SUMPRODUCT(M10:N10,$M$38:$N$38))/(365-$H$41),2)</f>
        <v>22.34</v>
      </c>
      <c r="F24" s="146"/>
      <c r="H24" s="5"/>
      <c r="I24" s="5">
        <f t="shared" si="2"/>
        <v>20.57</v>
      </c>
      <c r="J24" s="5"/>
      <c r="L24" s="146"/>
      <c r="M24" s="146">
        <f>ROUND(SUMPRODUCT(C10:N10,$C$38:$N$38)/365,2)</f>
        <v>21.45</v>
      </c>
      <c r="N24" s="146"/>
    </row>
    <row r="25" spans="2:17" s="3" customFormat="1" ht="12.75" customHeight="1" x14ac:dyDescent="0.2">
      <c r="B25" s="35">
        <f t="shared" si="3"/>
        <v>2020</v>
      </c>
      <c r="D25" s="146"/>
      <c r="E25" s="146">
        <f>ROUND((SUMPRODUCT(C11:F11,$C$39:$F$39)+SUMPRODUCT(M11:N11,$M$39:$N$39))/(366-$H$41),2)</f>
        <v>24.54</v>
      </c>
      <c r="F25" s="146"/>
      <c r="H25" s="5"/>
      <c r="I25" s="5">
        <f t="shared" si="2"/>
        <v>21.65</v>
      </c>
      <c r="J25" s="5"/>
      <c r="L25" s="146"/>
      <c r="M25" s="146">
        <f>ROUND(SUMPRODUCT(C11:N11,$C$38:$N$38)/366,2)</f>
        <v>23.02</v>
      </c>
      <c r="N25" s="146"/>
    </row>
    <row r="26" spans="2:17" s="3" customFormat="1" ht="12.75" customHeight="1" x14ac:dyDescent="0.2">
      <c r="B26" s="35">
        <f t="shared" si="3"/>
        <v>2021</v>
      </c>
      <c r="D26" s="146"/>
      <c r="E26" s="146">
        <f>ROUND((SUMPRODUCT(C12:F12,$C$38:$F$38)+SUMPRODUCT(M12:N12,$M$38:$N$38))/(365-$H$41),2)</f>
        <v>25.99</v>
      </c>
      <c r="F26" s="146"/>
      <c r="H26" s="5"/>
      <c r="I26" s="5">
        <f t="shared" si="2"/>
        <v>22.78</v>
      </c>
      <c r="J26" s="5"/>
      <c r="L26" s="146"/>
      <c r="M26" s="146">
        <f>ROUND(SUMPRODUCT(C12:N12,$C$38:$N$38)/365,2)</f>
        <v>24.37</v>
      </c>
      <c r="N26" s="146"/>
    </row>
    <row r="27" spans="2:17" s="3" customFormat="1" ht="12.75" customHeight="1" x14ac:dyDescent="0.2">
      <c r="B27" s="35">
        <f t="shared" si="3"/>
        <v>2022</v>
      </c>
      <c r="D27" s="146"/>
      <c r="E27" s="146">
        <f>ROUND((SUMPRODUCT(C13:F13,$C$38:$F$38)+SUMPRODUCT(M13:N13,$M$38:$N$38))/(365-$H$41),2)</f>
        <v>27.43</v>
      </c>
      <c r="F27" s="146"/>
      <c r="H27" s="5"/>
      <c r="I27" s="5">
        <f t="shared" si="2"/>
        <v>24.2</v>
      </c>
      <c r="J27" s="5"/>
      <c r="L27" s="146"/>
      <c r="M27" s="146">
        <f>ROUND(SUMPRODUCT(C13:N13,$C$38:$N$38)/365,2)</f>
        <v>25.8</v>
      </c>
      <c r="N27" s="146"/>
    </row>
    <row r="28" spans="2:17" s="3" customFormat="1" ht="12.75" customHeight="1" x14ac:dyDescent="0.2">
      <c r="B28" s="35">
        <f t="shared" si="3"/>
        <v>2023</v>
      </c>
      <c r="D28" s="146"/>
      <c r="E28" s="146">
        <f>ROUND((SUMPRODUCT(C14:F14,$C$38:$F$38)+SUMPRODUCT(M14:N14,$M$38:$N$38))/(365-$H$41),2)</f>
        <v>29.83</v>
      </c>
      <c r="F28" s="146"/>
      <c r="H28" s="5"/>
      <c r="I28" s="5">
        <f t="shared" si="2"/>
        <v>25.68</v>
      </c>
      <c r="J28" s="5"/>
      <c r="L28" s="146"/>
      <c r="M28" s="146">
        <f>ROUND(SUMPRODUCT(C14:N14,$C$38:$N$38)/365,2)</f>
        <v>27.73</v>
      </c>
      <c r="N28" s="146"/>
    </row>
    <row r="29" spans="2:17" s="3" customFormat="1" ht="12.75" customHeight="1" x14ac:dyDescent="0.2">
      <c r="B29" s="35">
        <f t="shared" si="3"/>
        <v>2024</v>
      </c>
      <c r="D29" s="146"/>
      <c r="E29" s="146">
        <f>ROUND((SUMPRODUCT(C15:F15,$C$39:$F$39)+SUMPRODUCT(M15:N15,$M$39:$N$39))/(366-$H$41),2)</f>
        <v>34.409999999999997</v>
      </c>
      <c r="F29" s="146"/>
      <c r="H29" s="5"/>
      <c r="I29" s="5">
        <f t="shared" ref="I29:I31" si="4">ROUND(SUMPRODUCT(G15:L15,$G$38:$L$38)/$H$41,2)</f>
        <v>31.62</v>
      </c>
      <c r="J29" s="5"/>
      <c r="L29" s="146"/>
      <c r="M29" s="146">
        <f>ROUND(SUMPRODUCT(C15:N15,$C$38:$N$38)/366,2)</f>
        <v>32.909999999999997</v>
      </c>
      <c r="N29" s="146"/>
    </row>
    <row r="30" spans="2:17" s="3" customFormat="1" ht="12.75" customHeight="1" x14ac:dyDescent="0.2">
      <c r="B30" s="35">
        <f t="shared" si="3"/>
        <v>2025</v>
      </c>
      <c r="D30" s="146"/>
      <c r="E30" s="146">
        <f t="shared" ref="E30:E31" si="5">ROUND((SUMPRODUCT(C16:F16,$C$38:$F$38)+SUMPRODUCT(M16:N16,$M$38:$N$38))/(365-$H$41),2)</f>
        <v>37.89</v>
      </c>
      <c r="F30" s="146"/>
      <c r="H30" s="5"/>
      <c r="I30" s="5">
        <f t="shared" si="4"/>
        <v>37.56</v>
      </c>
      <c r="J30" s="5"/>
      <c r="L30" s="146"/>
      <c r="M30" s="146">
        <f t="shared" ref="M30:M31" si="6">ROUND(SUMPRODUCT(C16:N16,$C$38:$N$38)/365,2)</f>
        <v>37.72</v>
      </c>
      <c r="N30" s="146"/>
    </row>
    <row r="31" spans="2:17" s="3" customFormat="1" ht="12.75" customHeight="1" x14ac:dyDescent="0.2">
      <c r="B31" s="35">
        <f t="shared" si="3"/>
        <v>2026</v>
      </c>
      <c r="D31" s="146"/>
      <c r="E31" s="146">
        <f t="shared" si="5"/>
        <v>38.619999999999997</v>
      </c>
      <c r="F31" s="146"/>
      <c r="H31" s="5"/>
      <c r="I31" s="5">
        <f t="shared" si="4"/>
        <v>38.31</v>
      </c>
      <c r="J31" s="5"/>
      <c r="L31" s="146"/>
      <c r="M31" s="146">
        <f t="shared" si="6"/>
        <v>38.47</v>
      </c>
      <c r="N31" s="146"/>
    </row>
    <row r="32" spans="2:17" s="3" customFormat="1" ht="12.75" customHeight="1" x14ac:dyDescent="0.2">
      <c r="B32" s="35">
        <f t="shared" si="3"/>
        <v>2027</v>
      </c>
      <c r="D32" s="146"/>
      <c r="E32" s="146">
        <f>ROUND((SUMPRODUCT(C18:F18,$C$39:$F$39)+SUMPRODUCT(M18:N18,$M$39:$N$39))/(366-$H$41),2)</f>
        <v>39.729999999999997</v>
      </c>
      <c r="F32" s="146"/>
      <c r="H32" s="5"/>
      <c r="I32" s="5">
        <f>ROUND(SUMPRODUCT(G18:L18,$G$38:$L$38)/$H$41,2)</f>
        <v>39.07</v>
      </c>
      <c r="J32" s="5"/>
      <c r="L32" s="146"/>
      <c r="M32" s="146">
        <f>ROUND(SUMPRODUCT(C18:N18,$C$38:$N$38)/366,2)</f>
        <v>39.28</v>
      </c>
      <c r="N32" s="146"/>
    </row>
    <row r="33" spans="2:30" s="3" customFormat="1" ht="12.75" customHeight="1" x14ac:dyDescent="0.2">
      <c r="B33" s="35"/>
      <c r="D33" s="146"/>
      <c r="E33" s="146"/>
      <c r="F33" s="146"/>
      <c r="H33" s="5"/>
      <c r="I33" s="5"/>
      <c r="J33" s="5"/>
      <c r="L33" s="146"/>
      <c r="M33" s="146"/>
      <c r="N33" s="146"/>
    </row>
    <row r="34" spans="2:30" s="3" customFormat="1" ht="12.75" customHeight="1" x14ac:dyDescent="0.2">
      <c r="B34" s="2" t="s">
        <v>83</v>
      </c>
      <c r="C34" s="303" t="s">
        <v>195</v>
      </c>
      <c r="E34" s="146"/>
      <c r="F34" s="5"/>
      <c r="G34" s="5"/>
      <c r="H34" s="5"/>
      <c r="K34" s="5"/>
      <c r="L34" s="5"/>
      <c r="P34" s="283"/>
    </row>
    <row r="35" spans="2:30" ht="12.75" hidden="1" customHeight="1" x14ac:dyDescent="0.2">
      <c r="D35" s="3"/>
      <c r="E35" s="146"/>
      <c r="F35" s="5"/>
      <c r="G35" s="5"/>
      <c r="H35" s="5"/>
      <c r="I35" s="3"/>
    </row>
    <row r="36" spans="2:30" ht="12.75" hidden="1" customHeight="1" x14ac:dyDescent="0.2">
      <c r="D36" s="3"/>
      <c r="E36" s="3"/>
      <c r="F36" s="3"/>
      <c r="G36" s="3"/>
      <c r="H36" s="3"/>
      <c r="P36" s="9"/>
    </row>
    <row r="37" spans="2:30" ht="12.75" hidden="1" customHeight="1" x14ac:dyDescent="0.2">
      <c r="D37" s="3"/>
      <c r="E37" s="3"/>
      <c r="F37" s="3"/>
      <c r="G37" s="3"/>
      <c r="H37" s="3"/>
      <c r="P37" s="9"/>
      <c r="V37" s="3"/>
      <c r="W37" s="3"/>
      <c r="X37" s="3"/>
      <c r="Y37" s="3"/>
      <c r="Z37" s="3"/>
      <c r="AA37" s="3"/>
      <c r="AB37" s="3"/>
      <c r="AC37" s="3"/>
      <c r="AD37" s="3"/>
    </row>
    <row r="38" spans="2:30" hidden="1" x14ac:dyDescent="0.2">
      <c r="B38" s="2" t="s">
        <v>112</v>
      </c>
      <c r="C38" s="2">
        <v>31</v>
      </c>
      <c r="D38" s="2">
        <v>28</v>
      </c>
      <c r="E38" s="2">
        <v>31</v>
      </c>
      <c r="F38" s="2">
        <v>30</v>
      </c>
      <c r="G38" s="46">
        <v>31</v>
      </c>
      <c r="H38" s="2">
        <v>30</v>
      </c>
      <c r="I38" s="2">
        <v>31</v>
      </c>
      <c r="J38" s="2">
        <v>31</v>
      </c>
      <c r="K38" s="2">
        <v>30</v>
      </c>
      <c r="L38" s="2">
        <v>31</v>
      </c>
      <c r="M38" s="46">
        <v>30</v>
      </c>
      <c r="N38" s="2">
        <v>31</v>
      </c>
      <c r="V38" s="3"/>
      <c r="W38" s="3"/>
      <c r="X38" s="3"/>
      <c r="Y38" s="3"/>
      <c r="Z38" s="3"/>
      <c r="AA38" s="3"/>
      <c r="AB38" s="3"/>
      <c r="AC38" s="3"/>
      <c r="AD38" s="3"/>
    </row>
    <row r="39" spans="2:30" hidden="1" x14ac:dyDescent="0.2">
      <c r="B39" s="2" t="s">
        <v>113</v>
      </c>
      <c r="C39" s="2">
        <v>31</v>
      </c>
      <c r="D39" s="2">
        <v>29</v>
      </c>
      <c r="E39" s="2">
        <v>31</v>
      </c>
      <c r="F39" s="2">
        <v>30</v>
      </c>
      <c r="G39" s="46">
        <v>31</v>
      </c>
      <c r="H39" s="2">
        <v>30</v>
      </c>
      <c r="I39" s="2">
        <v>31</v>
      </c>
      <c r="J39" s="2">
        <v>31</v>
      </c>
      <c r="K39" s="2">
        <v>30</v>
      </c>
      <c r="L39" s="2">
        <v>31</v>
      </c>
      <c r="M39" s="46">
        <v>30</v>
      </c>
      <c r="N39" s="2">
        <v>31</v>
      </c>
      <c r="V39" s="3"/>
      <c r="W39" s="3"/>
      <c r="X39" s="3"/>
      <c r="Y39" s="3"/>
      <c r="Z39" s="3"/>
      <c r="AA39" s="3"/>
      <c r="AB39" s="3"/>
      <c r="AC39" s="3"/>
      <c r="AD39" s="3"/>
    </row>
    <row r="40" spans="2:30" hidden="1" x14ac:dyDescent="0.2">
      <c r="V40" s="3"/>
      <c r="W40" s="3"/>
      <c r="X40" s="3"/>
      <c r="Y40" s="3"/>
      <c r="Z40" s="3"/>
      <c r="AA40" s="3"/>
      <c r="AB40" s="3"/>
      <c r="AC40" s="3"/>
      <c r="AD40" s="3"/>
    </row>
    <row r="41" spans="2:30" hidden="1" x14ac:dyDescent="0.2">
      <c r="H41" s="2">
        <f>SUM(G38:L38)</f>
        <v>184</v>
      </c>
      <c r="AC41" s="3"/>
    </row>
  </sheetData>
  <phoneticPr fontId="7" type="noConversion"/>
  <printOptions horizontalCentered="1"/>
  <pageMargins left="0.25" right="0.25" top="0.75" bottom="0.75" header="0.3" footer="0.3"/>
  <pageSetup orientation="landscape" r:id="rId1"/>
  <headerFooter alignWithMargins="0">
    <oddFooter>&amp;C &amp;R&amp;F</oddFooter>
  </headerFooter>
  <rowBreaks count="1" manualBreakCount="1">
    <brk id="3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46"/>
  <sheetViews>
    <sheetView zoomScale="80" zoomScaleNormal="80" workbookViewId="0">
      <selection activeCell="G49" sqref="G49"/>
    </sheetView>
  </sheetViews>
  <sheetFormatPr defaultColWidth="9.33203125" defaultRowHeight="12.75" x14ac:dyDescent="0.2"/>
  <cols>
    <col min="1" max="1" width="1.6640625" style="6" customWidth="1"/>
    <col min="2" max="2" width="13" style="6" customWidth="1"/>
    <col min="3" max="3" width="14.6640625" style="6" customWidth="1"/>
    <col min="4" max="4" width="16.5" style="6" customWidth="1"/>
    <col min="5" max="5" width="3.33203125" style="6" customWidth="1"/>
    <col min="6" max="6" width="15.33203125" style="6" customWidth="1"/>
    <col min="7" max="7" width="17" style="6" customWidth="1"/>
    <col min="8" max="8" width="1.6640625" style="9" customWidth="1"/>
    <col min="9" max="9" width="10.6640625" style="6" customWidth="1"/>
    <col min="10" max="10" width="15.83203125" style="6" customWidth="1"/>
    <col min="11" max="11" width="15" style="6" customWidth="1"/>
    <col min="12" max="12" width="14.33203125" style="6" customWidth="1"/>
    <col min="13" max="13" width="20" style="6" customWidth="1"/>
    <col min="14" max="14" width="1.6640625" style="9" customWidth="1"/>
    <col min="15" max="15" width="10.5" style="6" customWidth="1"/>
    <col min="16" max="20" width="16" style="6" customWidth="1"/>
    <col min="21" max="21" width="1.6640625" style="9" customWidth="1"/>
    <col min="22" max="22" width="10.5" style="6" customWidth="1"/>
    <col min="23" max="27" width="16" style="6" customWidth="1"/>
    <col min="28" max="28" width="1.6640625" style="6" customWidth="1"/>
    <col min="29" max="29" width="13.33203125" style="6" customWidth="1"/>
    <col min="30" max="16384" width="9.33203125" style="6"/>
  </cols>
  <sheetData>
    <row r="1" spans="2:32" s="16" customFormat="1" ht="15.75" x14ac:dyDescent="0.25">
      <c r="B1" s="1" t="s">
        <v>34</v>
      </c>
      <c r="C1" s="1"/>
      <c r="D1" s="1"/>
      <c r="E1" s="1"/>
      <c r="F1" s="1"/>
      <c r="G1" s="1"/>
      <c r="H1" s="21"/>
      <c r="I1" s="1" t="s">
        <v>35</v>
      </c>
      <c r="J1" s="1"/>
      <c r="K1" s="1"/>
      <c r="L1" s="1"/>
      <c r="M1" s="1"/>
      <c r="N1" s="22"/>
      <c r="O1" s="1" t="s">
        <v>36</v>
      </c>
      <c r="P1" s="18"/>
      <c r="Q1" s="1"/>
      <c r="R1" s="1"/>
      <c r="S1" s="1"/>
      <c r="T1" s="1"/>
      <c r="U1" s="22"/>
      <c r="V1" s="1" t="s">
        <v>168</v>
      </c>
      <c r="W1" s="18"/>
      <c r="X1" s="1"/>
      <c r="Y1" s="1"/>
      <c r="Z1" s="1"/>
      <c r="AA1" s="18"/>
    </row>
    <row r="2" spans="2:32" s="19" customFormat="1" ht="15" x14ac:dyDescent="0.25">
      <c r="B2" s="7" t="s">
        <v>16</v>
      </c>
      <c r="C2" s="7"/>
      <c r="D2" s="7"/>
      <c r="E2" s="7"/>
      <c r="F2" s="7"/>
      <c r="G2" s="7"/>
      <c r="H2" s="22"/>
      <c r="I2" s="7" t="s">
        <v>17</v>
      </c>
      <c r="J2" s="7"/>
      <c r="K2" s="7"/>
      <c r="L2" s="7"/>
      <c r="M2" s="7"/>
      <c r="N2" s="22"/>
      <c r="O2" s="7" t="s">
        <v>20</v>
      </c>
      <c r="P2" s="7"/>
      <c r="Q2" s="7"/>
      <c r="R2" s="7"/>
      <c r="S2" s="7"/>
      <c r="T2" s="7"/>
      <c r="U2" s="22"/>
      <c r="V2" s="269" t="s">
        <v>159</v>
      </c>
      <c r="W2" s="270"/>
      <c r="X2" s="270"/>
      <c r="Y2" s="270"/>
      <c r="Z2" s="270"/>
      <c r="AA2" s="270"/>
    </row>
    <row r="3" spans="2:32" s="19" customFormat="1" ht="15" x14ac:dyDescent="0.25">
      <c r="B3" s="7"/>
      <c r="C3" s="7"/>
      <c r="D3" s="7"/>
      <c r="E3" s="7"/>
      <c r="F3" s="7"/>
      <c r="G3" s="7"/>
      <c r="H3" s="22"/>
      <c r="I3" s="7"/>
      <c r="J3" s="7"/>
      <c r="K3" s="7"/>
      <c r="L3" s="7"/>
      <c r="M3" s="7"/>
      <c r="N3" s="22"/>
      <c r="O3" s="7"/>
      <c r="P3" s="7"/>
      <c r="Q3" s="7"/>
      <c r="R3" s="7"/>
      <c r="S3" s="7"/>
      <c r="T3" s="7"/>
      <c r="U3" s="22"/>
      <c r="V3" s="269"/>
      <c r="W3" s="270"/>
      <c r="X3" s="270"/>
      <c r="Y3" s="270"/>
      <c r="Z3" s="270"/>
      <c r="AA3" s="270"/>
    </row>
    <row r="4" spans="2:32" s="2" customFormat="1" x14ac:dyDescent="0.2">
      <c r="B4" s="36"/>
      <c r="C4" s="51" t="s">
        <v>100</v>
      </c>
      <c r="D4" s="45" t="s">
        <v>4</v>
      </c>
      <c r="E4" s="153"/>
      <c r="F4" s="52"/>
      <c r="G4" s="4" t="s">
        <v>10</v>
      </c>
      <c r="H4" s="33"/>
      <c r="I4" s="148"/>
      <c r="J4" s="43"/>
      <c r="K4" s="43"/>
      <c r="L4" s="52" t="s">
        <v>10</v>
      </c>
      <c r="M4" s="43" t="s">
        <v>15</v>
      </c>
      <c r="N4" s="33"/>
      <c r="O4" s="36"/>
      <c r="P4" s="4" t="s">
        <v>27</v>
      </c>
      <c r="Q4" s="45" t="s">
        <v>15</v>
      </c>
      <c r="R4" s="43" t="s">
        <v>18</v>
      </c>
      <c r="S4" s="43"/>
      <c r="T4" s="43"/>
      <c r="U4" s="33"/>
      <c r="V4" s="36"/>
      <c r="W4" s="51" t="s">
        <v>27</v>
      </c>
      <c r="X4" s="4" t="s">
        <v>29</v>
      </c>
      <c r="Y4" s="45" t="s">
        <v>15</v>
      </c>
      <c r="Z4" s="4" t="s">
        <v>1</v>
      </c>
      <c r="AA4" s="4" t="s">
        <v>2</v>
      </c>
    </row>
    <row r="5" spans="2:32" s="2" customFormat="1" x14ac:dyDescent="0.2">
      <c r="B5" s="14" t="s">
        <v>3</v>
      </c>
      <c r="C5" s="53" t="s">
        <v>11</v>
      </c>
      <c r="D5" s="53" t="s">
        <v>11</v>
      </c>
      <c r="E5" s="154"/>
      <c r="F5" s="15" t="s">
        <v>7</v>
      </c>
      <c r="G5" s="14" t="s">
        <v>8</v>
      </c>
      <c r="H5" s="33"/>
      <c r="I5" s="44" t="s">
        <v>3</v>
      </c>
      <c r="J5" s="14" t="s">
        <v>98</v>
      </c>
      <c r="K5" s="14" t="s">
        <v>13</v>
      </c>
      <c r="L5" s="15" t="s">
        <v>8</v>
      </c>
      <c r="M5" s="147" t="s">
        <v>14</v>
      </c>
      <c r="N5" s="33"/>
      <c r="O5" s="14" t="s">
        <v>3</v>
      </c>
      <c r="P5" s="14" t="s">
        <v>28</v>
      </c>
      <c r="Q5" s="53" t="s">
        <v>14</v>
      </c>
      <c r="R5" s="47" t="s">
        <v>19</v>
      </c>
      <c r="S5" s="34"/>
      <c r="T5" s="48"/>
      <c r="U5" s="33"/>
      <c r="V5" s="14" t="s">
        <v>3</v>
      </c>
      <c r="W5" s="44" t="s">
        <v>28</v>
      </c>
      <c r="X5" s="14" t="s">
        <v>30</v>
      </c>
      <c r="Y5" s="53" t="s">
        <v>14</v>
      </c>
      <c r="Z5" s="14" t="str">
        <f>TEXT((0.57*8760),"0,000")&amp;" Hours"</f>
        <v>4,993 Hours</v>
      </c>
      <c r="AA5" s="14" t="str">
        <f>TEXT((0.43*8760),"0,000")&amp;" Hours"</f>
        <v>3,767 Hours</v>
      </c>
    </row>
    <row r="6" spans="2:32" s="2" customFormat="1" x14ac:dyDescent="0.2">
      <c r="B6" s="37"/>
      <c r="C6" s="44" t="s">
        <v>5</v>
      </c>
      <c r="D6" s="53" t="s">
        <v>5</v>
      </c>
      <c r="E6" s="154"/>
      <c r="F6" s="15" t="s">
        <v>8</v>
      </c>
      <c r="G6" s="158" t="str">
        <f>TEXT('Table 8'!$G$81,"0.0%")&amp;" CF"</f>
        <v>70.3% CF</v>
      </c>
      <c r="H6" s="40"/>
      <c r="I6" s="46"/>
      <c r="J6" s="39" t="s">
        <v>99</v>
      </c>
      <c r="K6" s="151"/>
      <c r="L6" s="149" t="str">
        <f>G6</f>
        <v>70.3% CF</v>
      </c>
      <c r="M6" s="147" t="s">
        <v>13</v>
      </c>
      <c r="N6" s="40"/>
      <c r="O6" s="37"/>
      <c r="P6" s="14" t="s">
        <v>9</v>
      </c>
      <c r="Q6" s="53" t="s">
        <v>13</v>
      </c>
      <c r="R6" s="54">
        <v>0.75</v>
      </c>
      <c r="S6" s="54">
        <v>0.85</v>
      </c>
      <c r="T6" s="54">
        <v>0.95</v>
      </c>
      <c r="U6" s="40"/>
      <c r="V6" s="37"/>
      <c r="W6" s="44" t="s">
        <v>9</v>
      </c>
      <c r="X6" s="14" t="s">
        <v>0</v>
      </c>
      <c r="Y6" s="53" t="s">
        <v>13</v>
      </c>
      <c r="Z6" s="158" t="s">
        <v>156</v>
      </c>
      <c r="AA6" s="158" t="s">
        <v>155</v>
      </c>
    </row>
    <row r="7" spans="2:32" s="2" customFormat="1" x14ac:dyDescent="0.2">
      <c r="B7" s="38"/>
      <c r="C7" s="55" t="s">
        <v>6</v>
      </c>
      <c r="D7" s="55" t="s">
        <v>6</v>
      </c>
      <c r="E7" s="55"/>
      <c r="F7" s="55" t="s">
        <v>6</v>
      </c>
      <c r="G7" s="124" t="s">
        <v>110</v>
      </c>
      <c r="H7" s="40"/>
      <c r="I7" s="38"/>
      <c r="J7" s="150" t="s">
        <v>12</v>
      </c>
      <c r="K7" s="39" t="s">
        <v>110</v>
      </c>
      <c r="L7" s="124" t="s">
        <v>110</v>
      </c>
      <c r="M7" s="42" t="s">
        <v>110</v>
      </c>
      <c r="N7" s="40"/>
      <c r="O7" s="38"/>
      <c r="P7" s="55" t="s">
        <v>6</v>
      </c>
      <c r="Q7" s="32" t="s">
        <v>110</v>
      </c>
      <c r="R7" s="124" t="s">
        <v>110</v>
      </c>
      <c r="S7" s="124" t="s">
        <v>110</v>
      </c>
      <c r="T7" s="124" t="s">
        <v>110</v>
      </c>
      <c r="U7" s="40"/>
      <c r="V7" s="38"/>
      <c r="W7" s="56" t="s">
        <v>6</v>
      </c>
      <c r="X7" s="124" t="s">
        <v>110</v>
      </c>
      <c r="Y7" s="32" t="s">
        <v>110</v>
      </c>
      <c r="Z7" s="124" t="s">
        <v>110</v>
      </c>
      <c r="AA7" s="124" t="s">
        <v>110</v>
      </c>
    </row>
    <row r="8" spans="2:32" s="2" customFormat="1" x14ac:dyDescent="0.2">
      <c r="C8" s="40" t="s">
        <v>22</v>
      </c>
      <c r="D8" s="50" t="s">
        <v>23</v>
      </c>
      <c r="E8" s="50"/>
      <c r="F8" s="40" t="s">
        <v>24</v>
      </c>
      <c r="G8" s="40" t="s">
        <v>25</v>
      </c>
      <c r="H8" s="3"/>
      <c r="J8" s="40" t="s">
        <v>22</v>
      </c>
      <c r="K8" s="40" t="s">
        <v>23</v>
      </c>
      <c r="L8" s="40" t="s">
        <v>24</v>
      </c>
      <c r="M8" s="50" t="s">
        <v>25</v>
      </c>
      <c r="N8" s="3"/>
      <c r="P8" s="40" t="s">
        <v>22</v>
      </c>
      <c r="Q8" s="50" t="s">
        <v>23</v>
      </c>
      <c r="R8" s="40" t="s">
        <v>24</v>
      </c>
      <c r="S8" s="40" t="s">
        <v>25</v>
      </c>
      <c r="T8" s="40" t="s">
        <v>26</v>
      </c>
      <c r="U8" s="3"/>
      <c r="W8" s="40" t="s">
        <v>22</v>
      </c>
      <c r="X8" s="50" t="s">
        <v>23</v>
      </c>
      <c r="Y8" s="40" t="s">
        <v>24</v>
      </c>
      <c r="Z8" s="40" t="s">
        <v>25</v>
      </c>
      <c r="AA8" s="40" t="s">
        <v>26</v>
      </c>
    </row>
    <row r="9" spans="2:32" s="2" customFormat="1" x14ac:dyDescent="0.2">
      <c r="C9" s="40"/>
      <c r="D9" s="40"/>
      <c r="E9" s="40"/>
      <c r="F9" s="13"/>
      <c r="G9" s="13"/>
      <c r="H9" s="3"/>
      <c r="J9" s="40"/>
      <c r="K9" s="87" t="str">
        <f>$J$8&amp;" x "&amp;TEXT('Table 8'!$K$81/1000,"0.000")</f>
        <v>(a) x 6.410</v>
      </c>
      <c r="L9" s="40"/>
      <c r="M9" s="23" t="str">
        <f>K8&amp;" + "&amp;L8</f>
        <v>(b) + (c)</v>
      </c>
      <c r="N9" s="3"/>
      <c r="P9" s="24"/>
      <c r="Q9" s="40"/>
      <c r="R9" s="25" t="str">
        <f>" "&amp;$Q$8&amp;"+"&amp;$P$8&amp;"/(8.76 x "&amp;$R$6&amp;")"</f>
        <v xml:space="preserve"> (b)+(a)/(8.76 x 0.75)</v>
      </c>
      <c r="S9" s="25" t="str">
        <f>" "&amp;$Q$8&amp;"+("&amp;$P$8&amp;"/(8.76 x "&amp;$S$6&amp;")"</f>
        <v xml:space="preserve"> (b)+((a)/(8.76 x 0.85)</v>
      </c>
      <c r="T9" s="25" t="str">
        <f>" "&amp;$Q$8&amp;"+("&amp;$P$8&amp;"/(8.76 x "&amp;$T$6&amp;")"</f>
        <v xml:space="preserve"> (b)+((a)/(8.76 x 0.95)</v>
      </c>
      <c r="U9" s="3"/>
      <c r="W9" s="24"/>
      <c r="X9" s="13" t="str">
        <f>$W$8&amp;" /(8.76 x "&amp;TEXT('Table 8'!$D$101,"0.0%")&amp;" x 57%)"</f>
        <v>(a) /(8.76 x 100.0% x 57%)</v>
      </c>
      <c r="Y9" s="40"/>
      <c r="Z9" s="13" t="str">
        <f>X8&amp;" + "&amp;Y8</f>
        <v>(b) + (c)</v>
      </c>
      <c r="AA9" s="13" t="str">
        <f>X8</f>
        <v>(b)</v>
      </c>
    </row>
    <row r="10" spans="2:32" s="2" customFormat="1" x14ac:dyDescent="0.2">
      <c r="C10" s="57"/>
      <c r="D10" s="57"/>
      <c r="E10" s="57"/>
      <c r="H10" s="3"/>
      <c r="N10" s="3"/>
      <c r="U10" s="3"/>
    </row>
    <row r="11" spans="2:32" s="9" customFormat="1" x14ac:dyDescent="0.2">
      <c r="B11" s="26" t="s">
        <v>171</v>
      </c>
      <c r="C11" s="11"/>
      <c r="D11" s="123" t="s">
        <v>169</v>
      </c>
      <c r="E11" s="123"/>
      <c r="F11" s="137"/>
      <c r="G11" s="5"/>
      <c r="H11" s="5"/>
      <c r="I11" s="26" t="s">
        <v>171</v>
      </c>
      <c r="J11" s="12"/>
      <c r="L11" s="12"/>
      <c r="M11" s="12"/>
      <c r="N11" s="11"/>
      <c r="O11" s="26" t="s">
        <v>171</v>
      </c>
      <c r="P11" s="11"/>
      <c r="Q11" s="12"/>
      <c r="R11" s="12"/>
      <c r="S11" s="12"/>
      <c r="T11" s="12"/>
      <c r="U11" s="11"/>
      <c r="V11" s="26" t="s">
        <v>171</v>
      </c>
      <c r="W11" s="11"/>
      <c r="X11" s="13"/>
      <c r="Y11" s="12"/>
      <c r="Z11" s="12"/>
      <c r="AA11" s="12"/>
    </row>
    <row r="12" spans="2:32" s="9" customFormat="1" x14ac:dyDescent="0.2">
      <c r="B12" s="365">
        <f>'Table 2'!B9</f>
        <v>2018</v>
      </c>
      <c r="C12" s="366"/>
      <c r="D12" s="366">
        <f>VLOOKUP(B12,'Table 8'!$B$10:$H$20,7,FALSE)*3/12</f>
        <v>29.304999999999996</v>
      </c>
      <c r="E12" s="367"/>
      <c r="F12" s="366"/>
      <c r="G12" s="368"/>
      <c r="H12" s="11"/>
      <c r="I12" s="369">
        <f t="shared" ref="I12:I27" si="0">$B12</f>
        <v>2018</v>
      </c>
      <c r="J12" s="370"/>
      <c r="K12" s="370"/>
      <c r="L12" s="370"/>
      <c r="M12" s="371">
        <f>'Table 2'!M23</f>
        <v>21.37</v>
      </c>
      <c r="N12" s="11"/>
      <c r="O12" s="369">
        <f t="shared" ref="O12:O27" si="1">$B12</f>
        <v>2018</v>
      </c>
      <c r="P12" s="366">
        <f t="shared" ref="P12" si="2">D12</f>
        <v>29.304999999999996</v>
      </c>
      <c r="Q12" s="370">
        <f t="shared" ref="Q12" si="3">M12</f>
        <v>21.37</v>
      </c>
      <c r="R12" s="370">
        <f t="shared" ref="R12:R27" si="4">ROUND($Q12+$P12/(8.76*R$6),2)</f>
        <v>25.83</v>
      </c>
      <c r="S12" s="370">
        <f t="shared" ref="S12:T27" si="5">ROUND($Q12+$P12/(8.76*S$6),2)</f>
        <v>25.31</v>
      </c>
      <c r="T12" s="371">
        <f t="shared" si="5"/>
        <v>24.89</v>
      </c>
      <c r="U12" s="11"/>
      <c r="V12" s="369">
        <f t="shared" ref="V12:V27" si="6">$B12</f>
        <v>2018</v>
      </c>
      <c r="W12" s="366">
        <f t="shared" ref="W12" si="7">D12</f>
        <v>29.304999999999996</v>
      </c>
      <c r="X12" s="370">
        <f>ROUND(W12/(8.76*'Table 8'!$D$101*0.57),2)</f>
        <v>5.87</v>
      </c>
      <c r="Y12" s="370">
        <f t="shared" ref="Y12" si="8">M12</f>
        <v>21.37</v>
      </c>
      <c r="Z12" s="370">
        <f>X12+Y12</f>
        <v>27.240000000000002</v>
      </c>
      <c r="AA12" s="371">
        <f>Y12</f>
        <v>21.37</v>
      </c>
      <c r="AD12" s="325"/>
      <c r="AE12" s="312"/>
      <c r="AF12" s="312"/>
    </row>
    <row r="13" spans="2:32" s="3" customFormat="1" hidden="1" x14ac:dyDescent="0.2">
      <c r="B13" s="179"/>
      <c r="C13" s="11"/>
      <c r="D13" s="11"/>
      <c r="E13" s="152"/>
      <c r="F13" s="11"/>
      <c r="G13" s="64"/>
      <c r="H13" s="11"/>
      <c r="I13" s="74"/>
      <c r="J13" s="12"/>
      <c r="K13" s="87"/>
      <c r="L13" s="41"/>
      <c r="M13" s="89"/>
      <c r="N13" s="5"/>
      <c r="O13" s="138"/>
      <c r="P13" s="5"/>
      <c r="Q13" s="41"/>
      <c r="R13" s="41"/>
      <c r="S13" s="41"/>
      <c r="T13" s="89"/>
      <c r="U13" s="5"/>
      <c r="V13" s="138"/>
      <c r="W13" s="5"/>
      <c r="X13" s="41"/>
      <c r="Y13" s="41"/>
      <c r="Z13" s="12"/>
      <c r="AA13" s="80"/>
      <c r="AC13" s="9"/>
      <c r="AD13" s="325"/>
      <c r="AE13" s="280"/>
    </row>
    <row r="14" spans="2:32" s="2" customFormat="1" hidden="1" x14ac:dyDescent="0.2">
      <c r="B14" s="179"/>
      <c r="C14" s="11"/>
      <c r="D14" s="11"/>
      <c r="E14" s="61"/>
      <c r="F14" s="203"/>
      <c r="G14" s="204"/>
      <c r="H14" s="5"/>
      <c r="I14" s="74"/>
      <c r="J14" s="41"/>
      <c r="K14" s="41"/>
      <c r="L14" s="41"/>
      <c r="M14" s="89"/>
      <c r="N14" s="5"/>
      <c r="O14" s="138"/>
      <c r="P14" s="5"/>
      <c r="Q14" s="41"/>
      <c r="R14" s="41"/>
      <c r="S14" s="41"/>
      <c r="T14" s="89"/>
      <c r="U14" s="5"/>
      <c r="V14" s="138"/>
      <c r="W14" s="5"/>
      <c r="X14" s="41"/>
      <c r="Y14" s="41"/>
      <c r="Z14" s="12"/>
      <c r="AA14" s="80"/>
      <c r="AC14" s="9"/>
      <c r="AD14" s="325"/>
      <c r="AE14" s="279"/>
    </row>
    <row r="15" spans="2:32" s="2" customFormat="1" hidden="1" x14ac:dyDescent="0.2">
      <c r="B15" s="179"/>
      <c r="C15" s="11"/>
      <c r="D15" s="11"/>
      <c r="E15" s="61"/>
      <c r="F15" s="203"/>
      <c r="G15" s="204"/>
      <c r="H15" s="5"/>
      <c r="I15" s="74"/>
      <c r="J15" s="41"/>
      <c r="K15" s="41"/>
      <c r="L15" s="41"/>
      <c r="M15" s="89"/>
      <c r="N15" s="5"/>
      <c r="O15" s="138"/>
      <c r="P15" s="11"/>
      <c r="Q15" s="12"/>
      <c r="R15" s="12"/>
      <c r="S15" s="12"/>
      <c r="T15" s="80"/>
      <c r="U15" s="5"/>
      <c r="V15" s="138"/>
      <c r="W15" s="5"/>
      <c r="X15" s="41"/>
      <c r="Y15" s="41"/>
      <c r="Z15" s="12"/>
      <c r="AA15" s="80"/>
      <c r="AE15" s="279"/>
    </row>
    <row r="16" spans="2:32" s="2" customFormat="1" hidden="1" x14ac:dyDescent="0.2">
      <c r="B16" s="75"/>
      <c r="C16" s="81"/>
      <c r="D16" s="81"/>
      <c r="E16" s="155"/>
      <c r="F16" s="141"/>
      <c r="G16" s="142"/>
      <c r="H16" s="5"/>
      <c r="I16" s="75"/>
      <c r="J16" s="143"/>
      <c r="K16" s="143"/>
      <c r="L16" s="143"/>
      <c r="M16" s="144"/>
      <c r="N16" s="5"/>
      <c r="O16" s="139"/>
      <c r="P16" s="81"/>
      <c r="Q16" s="82"/>
      <c r="R16" s="82"/>
      <c r="S16" s="82"/>
      <c r="T16" s="83"/>
      <c r="U16" s="5"/>
      <c r="V16" s="139"/>
      <c r="W16" s="140"/>
      <c r="X16" s="143"/>
      <c r="Y16" s="143"/>
      <c r="Z16" s="82"/>
      <c r="AA16" s="83"/>
    </row>
    <row r="17" spans="2:27" x14ac:dyDescent="0.2">
      <c r="B17" s="299"/>
      <c r="C17" s="300"/>
      <c r="D17" s="300"/>
      <c r="E17" s="300"/>
      <c r="F17" s="300"/>
      <c r="G17" s="300"/>
      <c r="H17" s="11"/>
      <c r="I17" s="299"/>
      <c r="J17" s="12"/>
      <c r="K17" s="12"/>
      <c r="L17" s="12"/>
      <c r="M17" s="12"/>
      <c r="N17" s="11"/>
      <c r="O17" s="299"/>
      <c r="P17" s="11"/>
      <c r="Q17" s="12"/>
      <c r="R17" s="12"/>
      <c r="S17" s="12"/>
      <c r="T17" s="12"/>
      <c r="U17" s="11"/>
      <c r="V17" s="299"/>
      <c r="W17" s="11"/>
      <c r="X17" s="12"/>
      <c r="Y17" s="12"/>
      <c r="Z17" s="12"/>
      <c r="AA17" s="12"/>
    </row>
    <row r="18" spans="2:27" x14ac:dyDescent="0.2">
      <c r="B18" s="88" t="s">
        <v>166</v>
      </c>
      <c r="C18" s="11"/>
      <c r="D18" s="123" t="s">
        <v>167</v>
      </c>
      <c r="E18" s="123"/>
      <c r="F18" s="11"/>
      <c r="G18" s="11"/>
      <c r="H18" s="11"/>
      <c r="I18" s="88" t="s">
        <v>166</v>
      </c>
      <c r="J18" s="12"/>
      <c r="K18" s="9"/>
      <c r="L18" s="12"/>
      <c r="M18" s="12"/>
      <c r="N18" s="11"/>
      <c r="O18" s="88" t="s">
        <v>166</v>
      </c>
      <c r="P18" s="11"/>
      <c r="Q18" s="12"/>
      <c r="R18" s="12"/>
      <c r="S18" s="12"/>
      <c r="T18" s="12"/>
      <c r="U18" s="11"/>
      <c r="V18" s="88" t="s">
        <v>166</v>
      </c>
      <c r="W18" s="11"/>
      <c r="Y18" s="12"/>
      <c r="Z18" s="12"/>
      <c r="AA18" s="12"/>
    </row>
    <row r="19" spans="2:27" x14ac:dyDescent="0.2">
      <c r="B19" s="159">
        <v>2019</v>
      </c>
      <c r="C19" s="76">
        <f>VLOOKUP(B19,'Table 8'!$B$48:$H$59,7,FALSE)</f>
        <v>164.56</v>
      </c>
      <c r="D19" s="76">
        <f>VLOOKUP(B19,'Table 8'!$B$10:$H$21,7,FALSE)</f>
        <v>119.92</v>
      </c>
      <c r="E19" s="301"/>
      <c r="F19" s="302">
        <f>IF(C19&lt;D19,0,C19-D19)</f>
        <v>44.64</v>
      </c>
      <c r="G19" s="77">
        <f>IF(F19&lt;0,0,F19/(8760*'Table 8'!$D$100))</f>
        <v>7.2487772559870619E-3</v>
      </c>
      <c r="H19" s="11"/>
      <c r="I19" s="73">
        <f t="shared" si="0"/>
        <v>2019</v>
      </c>
      <c r="J19" s="78">
        <f>VLOOKUP(I19,'Table 8'!$B$51:$K$88,8,FALSE)</f>
        <v>2.39</v>
      </c>
      <c r="K19" s="344">
        <f>ROUND(J19*'Table 8'!$K$81,2)/1000</f>
        <v>15.319900000000001</v>
      </c>
      <c r="L19" s="78">
        <f>G19</f>
        <v>7.2487772559870619E-3</v>
      </c>
      <c r="M19" s="79">
        <f>K19+L19</f>
        <v>15.327148777255987</v>
      </c>
      <c r="N19" s="11"/>
      <c r="O19" s="73">
        <f t="shared" si="1"/>
        <v>2019</v>
      </c>
      <c r="P19" s="76">
        <f>C19</f>
        <v>164.56</v>
      </c>
      <c r="Q19" s="78">
        <f t="shared" ref="Q19:Q21" si="9">M19</f>
        <v>15.327148777255987</v>
      </c>
      <c r="R19" s="78">
        <f t="shared" si="4"/>
        <v>40.369999999999997</v>
      </c>
      <c r="S19" s="78">
        <f t="shared" si="5"/>
        <v>37.43</v>
      </c>
      <c r="T19" s="79">
        <f t="shared" si="5"/>
        <v>35.1</v>
      </c>
      <c r="U19" s="11"/>
      <c r="V19" s="73">
        <f t="shared" si="6"/>
        <v>2019</v>
      </c>
      <c r="W19" s="76">
        <f>C19</f>
        <v>164.56</v>
      </c>
      <c r="X19" s="78">
        <f>ROUND(W19/(8.76*'Table 8'!$D$101*0.57),2)</f>
        <v>32.96</v>
      </c>
      <c r="Y19" s="78">
        <f t="shared" ref="Y19:Y21" si="10">M19</f>
        <v>15.327148777255987</v>
      </c>
      <c r="Z19" s="78">
        <f>X19+Y19</f>
        <v>48.287148777255986</v>
      </c>
      <c r="AA19" s="79">
        <f t="shared" ref="AA19:AA21" si="11">Y19</f>
        <v>15.327148777255987</v>
      </c>
    </row>
    <row r="20" spans="2:27" s="2" customFormat="1" x14ac:dyDescent="0.2">
      <c r="B20" s="179">
        <f>B19+1</f>
        <v>2020</v>
      </c>
      <c r="C20" s="11">
        <f>VLOOKUP(B20,'Table 8'!$B$48:$H$59,7,FALSE)</f>
        <v>168.87</v>
      </c>
      <c r="D20" s="11">
        <f>VLOOKUP(B20,'Table 8'!$B$10:$H$21,7,FALSE)</f>
        <v>123.03</v>
      </c>
      <c r="E20" s="61"/>
      <c r="F20" s="203">
        <f t="shared" ref="F20:F23" si="12">IF(C20&lt;D20,0,C20-D20)</f>
        <v>45.84</v>
      </c>
      <c r="G20" s="204">
        <f>IF(F20&lt;0,0,F20/(8760*'Table 8'!$D$100))</f>
        <v>7.4436368596426279E-3</v>
      </c>
      <c r="H20" s="5"/>
      <c r="I20" s="74">
        <f t="shared" si="0"/>
        <v>2020</v>
      </c>
      <c r="J20" s="41">
        <f>VLOOKUP(I20,'Table 8'!$B$51:$K$88,8,FALSE)</f>
        <v>2.38</v>
      </c>
      <c r="K20" s="41">
        <f>ROUND(J20*'Table 8'!$K$81,2)/1000</f>
        <v>15.255799999999999</v>
      </c>
      <c r="L20" s="41">
        <f t="shared" ref="L20:L21" si="13">G20</f>
        <v>7.4436368596426279E-3</v>
      </c>
      <c r="M20" s="89">
        <f t="shared" ref="M20:M21" si="14">K20+L20</f>
        <v>15.263243636859642</v>
      </c>
      <c r="N20" s="5"/>
      <c r="O20" s="138">
        <f t="shared" si="1"/>
        <v>2020</v>
      </c>
      <c r="P20" s="5">
        <f t="shared" ref="P20:P23" si="15">C20</f>
        <v>168.87</v>
      </c>
      <c r="Q20" s="41">
        <f t="shared" si="9"/>
        <v>15.263243636859642</v>
      </c>
      <c r="R20" s="41">
        <f t="shared" si="4"/>
        <v>40.97</v>
      </c>
      <c r="S20" s="41">
        <f t="shared" si="5"/>
        <v>37.94</v>
      </c>
      <c r="T20" s="89">
        <f t="shared" si="5"/>
        <v>35.56</v>
      </c>
      <c r="U20" s="5"/>
      <c r="V20" s="138">
        <f t="shared" si="6"/>
        <v>2020</v>
      </c>
      <c r="W20" s="5">
        <f t="shared" ref="W20:W23" si="16">C20</f>
        <v>168.87</v>
      </c>
      <c r="X20" s="41">
        <f>ROUND(W20/(8.76*'Table 8'!$D$101*0.57),2)</f>
        <v>33.82</v>
      </c>
      <c r="Y20" s="41">
        <f t="shared" si="10"/>
        <v>15.263243636859642</v>
      </c>
      <c r="Z20" s="12">
        <f t="shared" ref="Z20:Z21" si="17">X20+Y20</f>
        <v>49.083243636859642</v>
      </c>
      <c r="AA20" s="80">
        <f t="shared" si="11"/>
        <v>15.263243636859642</v>
      </c>
    </row>
    <row r="21" spans="2:27" s="2" customFormat="1" x14ac:dyDescent="0.2">
      <c r="B21" s="179">
        <f>B20+1</f>
        <v>2021</v>
      </c>
      <c r="C21" s="11">
        <f>VLOOKUP(B21,'Table 8'!$B$48:$H$59,7,FALSE)</f>
        <v>172.9</v>
      </c>
      <c r="D21" s="11">
        <f>VLOOKUP(B21,'Table 8'!$B$10:$H$21,7,FALSE)</f>
        <v>125.99</v>
      </c>
      <c r="E21" s="61"/>
      <c r="F21" s="203">
        <f t="shared" si="12"/>
        <v>46.910000000000011</v>
      </c>
      <c r="G21" s="204">
        <f>IF(F21&lt;0,0,F21/(8760*'Table 8'!$D$100))</f>
        <v>7.6173866729021761E-3</v>
      </c>
      <c r="H21" s="5"/>
      <c r="I21" s="74">
        <f t="shared" si="0"/>
        <v>2021</v>
      </c>
      <c r="J21" s="41">
        <f>VLOOKUP(I21,'Table 8'!$B$51:$K$88,8,FALSE)</f>
        <v>2.4</v>
      </c>
      <c r="K21" s="41">
        <f>ROUND(J21*'Table 8'!$K$81,2)/1000</f>
        <v>15.384</v>
      </c>
      <c r="L21" s="41">
        <f t="shared" si="13"/>
        <v>7.6173866729021761E-3</v>
      </c>
      <c r="M21" s="89">
        <f t="shared" si="14"/>
        <v>15.391617386672902</v>
      </c>
      <c r="N21" s="5"/>
      <c r="O21" s="138">
        <f t="shared" si="1"/>
        <v>2021</v>
      </c>
      <c r="P21" s="5">
        <f t="shared" si="15"/>
        <v>172.9</v>
      </c>
      <c r="Q21" s="41">
        <f t="shared" si="9"/>
        <v>15.391617386672902</v>
      </c>
      <c r="R21" s="41">
        <f t="shared" si="4"/>
        <v>41.71</v>
      </c>
      <c r="S21" s="41">
        <f t="shared" si="5"/>
        <v>38.61</v>
      </c>
      <c r="T21" s="89">
        <f t="shared" si="5"/>
        <v>36.17</v>
      </c>
      <c r="U21" s="5"/>
      <c r="V21" s="138">
        <f t="shared" si="6"/>
        <v>2021</v>
      </c>
      <c r="W21" s="5">
        <f t="shared" si="16"/>
        <v>172.9</v>
      </c>
      <c r="X21" s="41">
        <f>ROUND(W21/(8.76*'Table 8'!$D$101*0.57),2)</f>
        <v>34.630000000000003</v>
      </c>
      <c r="Y21" s="41">
        <f t="shared" si="10"/>
        <v>15.391617386672902</v>
      </c>
      <c r="Z21" s="12">
        <f t="shared" si="17"/>
        <v>50.021617386672901</v>
      </c>
      <c r="AA21" s="80">
        <f t="shared" si="11"/>
        <v>15.391617386672902</v>
      </c>
    </row>
    <row r="22" spans="2:27" s="2" customFormat="1" x14ac:dyDescent="0.2">
      <c r="B22" s="179">
        <f>B21+1</f>
        <v>2022</v>
      </c>
      <c r="C22" s="11">
        <f>VLOOKUP(B22,'Table 8'!$B$48:$H$59,7,FALSE)</f>
        <v>176.87</v>
      </c>
      <c r="D22" s="11">
        <f>VLOOKUP(B22,'Table 8'!$B$10:$H$21,7,FALSE)</f>
        <v>128.88</v>
      </c>
      <c r="E22" s="61"/>
      <c r="F22" s="203">
        <f t="shared" si="12"/>
        <v>47.990000000000009</v>
      </c>
      <c r="G22" s="204">
        <f>IF(F22&lt;0,0,F22/(8760*'Table 8'!$D$100))</f>
        <v>7.7927603161921854E-3</v>
      </c>
      <c r="H22" s="5"/>
      <c r="I22" s="74">
        <f t="shared" si="0"/>
        <v>2022</v>
      </c>
      <c r="J22" s="41">
        <f>VLOOKUP(I22,'Table 8'!$B$51:$K$88,8,FALSE)</f>
        <v>2.42</v>
      </c>
      <c r="K22" s="41">
        <f>ROUND(J22*'Table 8'!$K$81,2)/1000</f>
        <v>15.5122</v>
      </c>
      <c r="L22" s="41">
        <f t="shared" ref="L22:L23" si="18">G22</f>
        <v>7.7927603161921854E-3</v>
      </c>
      <c r="M22" s="89">
        <f t="shared" ref="M22:M23" si="19">K22+L22</f>
        <v>15.519992760316192</v>
      </c>
      <c r="N22" s="5"/>
      <c r="O22" s="138">
        <f t="shared" si="1"/>
        <v>2022</v>
      </c>
      <c r="P22" s="5">
        <f t="shared" si="15"/>
        <v>176.87</v>
      </c>
      <c r="Q22" s="41">
        <f t="shared" ref="Q22:Q23" si="20">M22</f>
        <v>15.519992760316192</v>
      </c>
      <c r="R22" s="41">
        <f t="shared" si="4"/>
        <v>42.44</v>
      </c>
      <c r="S22" s="41">
        <f t="shared" si="5"/>
        <v>39.270000000000003</v>
      </c>
      <c r="T22" s="89">
        <f t="shared" si="5"/>
        <v>36.770000000000003</v>
      </c>
      <c r="U22" s="5"/>
      <c r="V22" s="138">
        <f t="shared" si="6"/>
        <v>2022</v>
      </c>
      <c r="W22" s="5">
        <f t="shared" si="16"/>
        <v>176.87</v>
      </c>
      <c r="X22" s="41">
        <f>ROUND(W22/(8.76*'Table 8'!$D$101*0.57),2)</f>
        <v>35.42</v>
      </c>
      <c r="Y22" s="41">
        <f t="shared" ref="Y22:Y23" si="21">M22</f>
        <v>15.519992760316192</v>
      </c>
      <c r="Z22" s="12">
        <f t="shared" ref="Z22:Z23" si="22">X22+Y22</f>
        <v>50.939992760316194</v>
      </c>
      <c r="AA22" s="80">
        <f t="shared" ref="AA22:AA23" si="23">Y22</f>
        <v>15.519992760316192</v>
      </c>
    </row>
    <row r="23" spans="2:27" s="2" customFormat="1" x14ac:dyDescent="0.2">
      <c r="B23" s="179">
        <f>B22+1</f>
        <v>2023</v>
      </c>
      <c r="C23" s="5">
        <f>VLOOKUP(B23,'Table 8'!$B$48:$H$59,7,FALSE)</f>
        <v>180.91</v>
      </c>
      <c r="D23" s="11">
        <f>VLOOKUP(B23,'Table 8'!$B$10:$H$21,7,FALSE)</f>
        <v>131.83000000000001</v>
      </c>
      <c r="E23" s="61"/>
      <c r="F23" s="203">
        <f t="shared" si="12"/>
        <v>49.079999999999984</v>
      </c>
      <c r="G23" s="204">
        <f>IF(F23&lt;0,0,F23/(8760*'Table 8'!$D$100))</f>
        <v>7.9697577895126541E-3</v>
      </c>
      <c r="H23" s="5"/>
      <c r="I23" s="74">
        <f t="shared" si="0"/>
        <v>2023</v>
      </c>
      <c r="J23" s="41">
        <f>VLOOKUP(I23,'Table 8'!$B$51:$K$88,8,FALSE)</f>
        <v>2.57</v>
      </c>
      <c r="K23" s="41">
        <f>ROUND(J23*'Table 8'!$K$81,2)/1000</f>
        <v>16.473700000000001</v>
      </c>
      <c r="L23" s="41">
        <f t="shared" si="18"/>
        <v>7.9697577895126541E-3</v>
      </c>
      <c r="M23" s="89">
        <f t="shared" si="19"/>
        <v>16.481669757789515</v>
      </c>
      <c r="N23" s="5"/>
      <c r="O23" s="138">
        <f t="shared" si="1"/>
        <v>2023</v>
      </c>
      <c r="P23" s="11">
        <f t="shared" si="15"/>
        <v>180.91</v>
      </c>
      <c r="Q23" s="12">
        <f t="shared" si="20"/>
        <v>16.481669757789515</v>
      </c>
      <c r="R23" s="12">
        <f t="shared" si="4"/>
        <v>44.02</v>
      </c>
      <c r="S23" s="12">
        <f t="shared" si="5"/>
        <v>40.78</v>
      </c>
      <c r="T23" s="80">
        <f t="shared" si="5"/>
        <v>38.22</v>
      </c>
      <c r="U23" s="5"/>
      <c r="V23" s="138">
        <f t="shared" si="6"/>
        <v>2023</v>
      </c>
      <c r="W23" s="5">
        <f t="shared" si="16"/>
        <v>180.91</v>
      </c>
      <c r="X23" s="41">
        <f>ROUND(W23/(8.76*'Table 8'!$D$101*0.57),2)</f>
        <v>36.229999999999997</v>
      </c>
      <c r="Y23" s="41">
        <f t="shared" si="21"/>
        <v>16.481669757789515</v>
      </c>
      <c r="Z23" s="41">
        <f t="shared" si="22"/>
        <v>52.711669757789508</v>
      </c>
      <c r="AA23" s="89">
        <f t="shared" si="23"/>
        <v>16.481669757789515</v>
      </c>
    </row>
    <row r="24" spans="2:27" s="2" customFormat="1" x14ac:dyDescent="0.2">
      <c r="B24" s="179">
        <f t="shared" ref="B24:B27" si="24">B23+1</f>
        <v>2024</v>
      </c>
      <c r="C24" s="5">
        <f>VLOOKUP(B24,'Table 8'!$B$48:$H$59,7,FALSE)</f>
        <v>185.04</v>
      </c>
      <c r="D24" s="11">
        <f>VLOOKUP(B24,'Table 8'!$B$10:$H$21,7,FALSE)</f>
        <v>134.87</v>
      </c>
      <c r="E24" s="61"/>
      <c r="F24" s="203">
        <f t="shared" ref="F24" si="25">IF(C24&lt;D24,0,C24-D24)</f>
        <v>50.169999999999987</v>
      </c>
      <c r="G24" s="204">
        <f>IF(F24&lt;0,0,F24/(8760*'Table 8'!$D$100))</f>
        <v>8.1467552628331271E-3</v>
      </c>
      <c r="H24" s="5"/>
      <c r="I24" s="74">
        <f t="shared" si="0"/>
        <v>2024</v>
      </c>
      <c r="J24" s="41">
        <f>VLOOKUP(I24,'Table 8'!$B$51:$K$88,8,FALSE)</f>
        <v>3.3</v>
      </c>
      <c r="K24" s="41">
        <f>ROUND(J24*'Table 8'!$K$81,2)/1000</f>
        <v>21.152999999999999</v>
      </c>
      <c r="L24" s="41">
        <f t="shared" ref="L24" si="26">G24</f>
        <v>8.1467552628331271E-3</v>
      </c>
      <c r="M24" s="89">
        <f t="shared" ref="M24" si="27">K24+L24</f>
        <v>21.161146755262831</v>
      </c>
      <c r="N24" s="5"/>
      <c r="O24" s="138">
        <f t="shared" si="1"/>
        <v>2024</v>
      </c>
      <c r="P24" s="11">
        <f t="shared" ref="P24" si="28">C24</f>
        <v>185.04</v>
      </c>
      <c r="Q24" s="12">
        <f t="shared" ref="Q24" si="29">M24</f>
        <v>21.161146755262831</v>
      </c>
      <c r="R24" s="12">
        <f t="shared" si="4"/>
        <v>49.33</v>
      </c>
      <c r="S24" s="12">
        <f t="shared" si="5"/>
        <v>46.01</v>
      </c>
      <c r="T24" s="80">
        <f t="shared" si="5"/>
        <v>43.4</v>
      </c>
      <c r="U24" s="5"/>
      <c r="V24" s="138">
        <f t="shared" si="6"/>
        <v>2024</v>
      </c>
      <c r="W24" s="5">
        <f t="shared" ref="W24" si="30">C24</f>
        <v>185.04</v>
      </c>
      <c r="X24" s="41">
        <f>ROUND(W24/(8.76*'Table 8'!$D$101*0.57),2)</f>
        <v>37.06</v>
      </c>
      <c r="Y24" s="41">
        <f t="shared" ref="Y24" si="31">M24</f>
        <v>21.161146755262831</v>
      </c>
      <c r="Z24" s="41">
        <f t="shared" ref="Z24" si="32">X24+Y24</f>
        <v>58.221146755262836</v>
      </c>
      <c r="AA24" s="89">
        <f t="shared" ref="AA24" si="33">Y24</f>
        <v>21.161146755262831</v>
      </c>
    </row>
    <row r="25" spans="2:27" s="2" customFormat="1" x14ac:dyDescent="0.2">
      <c r="B25" s="179">
        <f t="shared" si="24"/>
        <v>2025</v>
      </c>
      <c r="C25" s="5">
        <f>VLOOKUP(B25,'Table 8'!$B$48:$H$60,7,FALSE)</f>
        <v>189.32</v>
      </c>
      <c r="D25" s="11">
        <f>VLOOKUP(B25,'Table 8'!$B$10:$H$22,7,FALSE)</f>
        <v>137.97</v>
      </c>
      <c r="E25" s="61"/>
      <c r="F25" s="203">
        <f t="shared" ref="F25" si="34">IF(C25&lt;D25,0,C25-D25)</f>
        <v>51.349999999999994</v>
      </c>
      <c r="G25" s="204">
        <f>IF(F25&lt;0,0,F25/(8760*'Table 8'!$D$100))</f>
        <v>8.3383672064277683E-3</v>
      </c>
      <c r="H25" s="5"/>
      <c r="I25" s="74">
        <f t="shared" si="0"/>
        <v>2025</v>
      </c>
      <c r="J25" s="41">
        <f>VLOOKUP(I25,'Table 8'!$B$51:$K$88,8,FALSE)</f>
        <v>3.89</v>
      </c>
      <c r="K25" s="41">
        <f>ROUND(J25*'Table 8'!$K$81,2)/1000</f>
        <v>24.934900000000003</v>
      </c>
      <c r="L25" s="41">
        <f t="shared" ref="L25" si="35">G25</f>
        <v>8.3383672064277683E-3</v>
      </c>
      <c r="M25" s="89">
        <f t="shared" ref="M25" si="36">K25+L25</f>
        <v>24.94323836720643</v>
      </c>
      <c r="N25" s="5"/>
      <c r="O25" s="138">
        <f t="shared" si="1"/>
        <v>2025</v>
      </c>
      <c r="P25" s="11">
        <f t="shared" ref="P25" si="37">C25</f>
        <v>189.32</v>
      </c>
      <c r="Q25" s="12">
        <f t="shared" ref="Q25" si="38">M25</f>
        <v>24.94323836720643</v>
      </c>
      <c r="R25" s="12">
        <f t="shared" si="4"/>
        <v>53.76</v>
      </c>
      <c r="S25" s="12">
        <f t="shared" si="5"/>
        <v>50.37</v>
      </c>
      <c r="T25" s="80">
        <f t="shared" si="5"/>
        <v>47.69</v>
      </c>
      <c r="U25" s="5"/>
      <c r="V25" s="138">
        <f t="shared" si="6"/>
        <v>2025</v>
      </c>
      <c r="W25" s="5">
        <f t="shared" ref="W25" si="39">C25</f>
        <v>189.32</v>
      </c>
      <c r="X25" s="41">
        <f>ROUND(W25/(8.76*'Table 8'!$D$101*0.57),2)</f>
        <v>37.92</v>
      </c>
      <c r="Y25" s="41">
        <f t="shared" ref="Y25" si="40">M25</f>
        <v>24.94323836720643</v>
      </c>
      <c r="Z25" s="41">
        <f t="shared" ref="Z25" si="41">X25+Y25</f>
        <v>62.863238367206435</v>
      </c>
      <c r="AA25" s="89">
        <f t="shared" ref="AA25" si="42">Y25</f>
        <v>24.94323836720643</v>
      </c>
    </row>
    <row r="26" spans="2:27" s="2" customFormat="1" x14ac:dyDescent="0.2">
      <c r="B26" s="179">
        <f t="shared" si="24"/>
        <v>2026</v>
      </c>
      <c r="C26" s="5">
        <f>VLOOKUP(B26,'Table 8'!$B$48:$H$60,7,FALSE)</f>
        <v>193.46</v>
      </c>
      <c r="D26" s="11">
        <f>VLOOKUP(B26,'Table 8'!$B$10:$H$22,7,FALSE)</f>
        <v>141.01</v>
      </c>
      <c r="E26" s="61"/>
      <c r="F26" s="203">
        <f t="shared" ref="F26" si="43">IF(C26&lt;D26,0,C26-D26)</f>
        <v>52.450000000000017</v>
      </c>
      <c r="G26" s="204">
        <f>IF(F26&lt;0,0,F26/(8760*'Table 8'!$D$100))</f>
        <v>8.5169885097787067E-3</v>
      </c>
      <c r="H26" s="5"/>
      <c r="I26" s="74">
        <f t="shared" si="0"/>
        <v>2026</v>
      </c>
      <c r="J26" s="41">
        <f>VLOOKUP(I26,'Table 8'!$B$51:$K$88,8,FALSE)</f>
        <v>3.88</v>
      </c>
      <c r="K26" s="41">
        <f>ROUND(J26*'Table 8'!$K$81,2)/1000</f>
        <v>24.870799999999999</v>
      </c>
      <c r="L26" s="41">
        <f t="shared" ref="L26" si="44">G26</f>
        <v>8.5169885097787067E-3</v>
      </c>
      <c r="M26" s="89">
        <f t="shared" ref="M26" si="45">K26+L26</f>
        <v>24.879316988509778</v>
      </c>
      <c r="N26" s="5"/>
      <c r="O26" s="138">
        <f t="shared" si="1"/>
        <v>2026</v>
      </c>
      <c r="P26" s="11">
        <f t="shared" ref="P26" si="46">C26</f>
        <v>193.46</v>
      </c>
      <c r="Q26" s="12">
        <f t="shared" ref="Q26" si="47">M26</f>
        <v>24.879316988509778</v>
      </c>
      <c r="R26" s="12">
        <f t="shared" si="4"/>
        <v>54.33</v>
      </c>
      <c r="S26" s="12">
        <f t="shared" si="5"/>
        <v>50.86</v>
      </c>
      <c r="T26" s="80">
        <f t="shared" si="5"/>
        <v>48.13</v>
      </c>
      <c r="U26" s="5"/>
      <c r="V26" s="138">
        <f t="shared" si="6"/>
        <v>2026</v>
      </c>
      <c r="W26" s="5">
        <f t="shared" ref="W26" si="48">C26</f>
        <v>193.46</v>
      </c>
      <c r="X26" s="41">
        <f>ROUND(W26/(8.76*'Table 8'!$D$101*0.57),2)</f>
        <v>38.74</v>
      </c>
      <c r="Y26" s="41">
        <f t="shared" ref="Y26" si="49">M26</f>
        <v>24.879316988509778</v>
      </c>
      <c r="Z26" s="41">
        <f t="shared" ref="Z26" si="50">X26+Y26</f>
        <v>63.61931698850978</v>
      </c>
      <c r="AA26" s="89">
        <f t="shared" ref="AA26" si="51">Y26</f>
        <v>24.879316988509778</v>
      </c>
    </row>
    <row r="27" spans="2:27" s="2" customFormat="1" x14ac:dyDescent="0.2">
      <c r="B27" s="179">
        <f t="shared" si="24"/>
        <v>2027</v>
      </c>
      <c r="C27" s="5">
        <f>VLOOKUP(B27,'Table 8'!$B$48:$H$60,7,FALSE)</f>
        <v>197.75</v>
      </c>
      <c r="D27" s="11">
        <f>VLOOKUP(B27,'Table 8'!$B$10:$H$22,7,FALSE)</f>
        <v>144.11000000000001</v>
      </c>
      <c r="E27" s="61"/>
      <c r="F27" s="203">
        <f t="shared" ref="F27" si="52">IF(C27&lt;D27,0,C27-D27)</f>
        <v>53.639999999999986</v>
      </c>
      <c r="G27" s="204">
        <f>IF(F27&lt;0,0,F27/(8760*'Table 8'!$D$100))</f>
        <v>8.7102242834038064E-3</v>
      </c>
      <c r="H27" s="5"/>
      <c r="I27" s="74">
        <f t="shared" si="0"/>
        <v>2027</v>
      </c>
      <c r="J27" s="41">
        <f>VLOOKUP(I27,'Table 8'!$B$51:$K$88,8,FALSE)</f>
        <v>4.0199999999999996</v>
      </c>
      <c r="K27" s="41">
        <f>ROUND(J27*'Table 8'!$K$81,2)/1000</f>
        <v>25.7682</v>
      </c>
      <c r="L27" s="41">
        <f t="shared" ref="L27" si="53">G27</f>
        <v>8.7102242834038064E-3</v>
      </c>
      <c r="M27" s="89">
        <f t="shared" ref="M27" si="54">K27+L27</f>
        <v>25.776910224283405</v>
      </c>
      <c r="N27" s="5"/>
      <c r="O27" s="138">
        <f t="shared" si="1"/>
        <v>2027</v>
      </c>
      <c r="P27" s="11">
        <f t="shared" ref="P27" si="55">C27</f>
        <v>197.75</v>
      </c>
      <c r="Q27" s="12">
        <f t="shared" ref="Q27" si="56">M27</f>
        <v>25.776910224283405</v>
      </c>
      <c r="R27" s="12">
        <f t="shared" si="4"/>
        <v>55.88</v>
      </c>
      <c r="S27" s="12">
        <f t="shared" si="5"/>
        <v>52.33</v>
      </c>
      <c r="T27" s="80">
        <f t="shared" si="5"/>
        <v>49.54</v>
      </c>
      <c r="U27" s="5"/>
      <c r="V27" s="138">
        <f t="shared" si="6"/>
        <v>2027</v>
      </c>
      <c r="W27" s="5">
        <f t="shared" ref="W27" si="57">C27</f>
        <v>197.75</v>
      </c>
      <c r="X27" s="41">
        <f>ROUND(W27/(8.76*'Table 8'!$D$101*0.57),2)</f>
        <v>39.6</v>
      </c>
      <c r="Y27" s="41">
        <f t="shared" ref="Y27" si="58">M27</f>
        <v>25.776910224283405</v>
      </c>
      <c r="Z27" s="41">
        <f t="shared" ref="Z27" si="59">X27+Y27</f>
        <v>65.376910224283407</v>
      </c>
      <c r="AA27" s="89">
        <f t="shared" ref="AA27" si="60">Y27</f>
        <v>25.776910224283405</v>
      </c>
    </row>
    <row r="28" spans="2:27" s="2" customFormat="1" x14ac:dyDescent="0.2">
      <c r="B28" s="297"/>
      <c r="C28" s="140"/>
      <c r="D28" s="81"/>
      <c r="E28" s="155"/>
      <c r="F28" s="141"/>
      <c r="G28" s="142"/>
      <c r="H28" s="5"/>
      <c r="I28" s="75"/>
      <c r="J28" s="143"/>
      <c r="K28" s="143"/>
      <c r="L28" s="143"/>
      <c r="M28" s="144"/>
      <c r="N28" s="5"/>
      <c r="O28" s="139"/>
      <c r="P28" s="81"/>
      <c r="Q28" s="82"/>
      <c r="R28" s="82"/>
      <c r="S28" s="82"/>
      <c r="T28" s="83"/>
      <c r="U28" s="5"/>
      <c r="V28" s="139"/>
      <c r="W28" s="140"/>
      <c r="X28" s="143"/>
      <c r="Y28" s="143"/>
      <c r="Z28" s="143"/>
      <c r="AA28" s="144"/>
    </row>
    <row r="29" spans="2:27" s="2" customFormat="1" x14ac:dyDescent="0.2">
      <c r="B29" s="62"/>
      <c r="C29" s="86"/>
      <c r="D29" s="86"/>
      <c r="E29" s="86"/>
      <c r="F29" s="86"/>
      <c r="G29" s="86"/>
      <c r="H29" s="5"/>
      <c r="I29" s="62"/>
      <c r="J29" s="41"/>
      <c r="K29" s="41"/>
      <c r="L29" s="41"/>
      <c r="M29" s="41"/>
      <c r="N29" s="5"/>
      <c r="O29" s="62"/>
      <c r="P29" s="5"/>
      <c r="Q29" s="41"/>
      <c r="R29" s="41"/>
      <c r="S29" s="41"/>
      <c r="T29" s="41"/>
      <c r="U29" s="5"/>
      <c r="V29" s="62"/>
      <c r="W29" s="5"/>
      <c r="X29" s="41"/>
      <c r="Y29" s="41"/>
      <c r="Z29" s="41"/>
      <c r="AA29" s="41"/>
    </row>
    <row r="30" spans="2:27" x14ac:dyDescent="0.2">
      <c r="B30" s="6" t="s">
        <v>21</v>
      </c>
      <c r="I30" s="6" t="s">
        <v>21</v>
      </c>
      <c r="O30" s="6" t="s">
        <v>21</v>
      </c>
      <c r="V30" s="6" t="s">
        <v>21</v>
      </c>
      <c r="Y30" s="12"/>
    </row>
    <row r="31" spans="2:27" x14ac:dyDescent="0.2">
      <c r="B31" s="69" t="str">
        <f>C8</f>
        <v>(a)</v>
      </c>
      <c r="C31" s="6" t="str">
        <f>"  "&amp;'Table 8'!$B$1&amp;"  Column "&amp;'Table 8'!$H$7&amp;" - "&amp;'Table 8'!$B$1&amp;"  Page 2"</f>
        <v xml:space="preserve">  Table 8  Column (f) - Table 8  Page 2</v>
      </c>
      <c r="I31" s="69" t="str">
        <f>J8</f>
        <v>(a)</v>
      </c>
      <c r="J31" s="6" t="str">
        <f>"  "&amp;'Table 8'!$B$1&amp;"  Page 2  Column "&amp;'Table 8'!$I$45</f>
        <v xml:space="preserve">  Table 8  Page 2  Column (g)</v>
      </c>
      <c r="O31" s="70" t="str">
        <f>P8</f>
        <v>(a)</v>
      </c>
      <c r="P31" s="9" t="s">
        <v>190</v>
      </c>
      <c r="Q31" s="9"/>
      <c r="R31" s="9"/>
      <c r="V31" s="70" t="str">
        <f>W8</f>
        <v>(a)</v>
      </c>
      <c r="W31" s="9" t="s">
        <v>190</v>
      </c>
      <c r="Y31" s="12"/>
    </row>
    <row r="32" spans="2:27" x14ac:dyDescent="0.2">
      <c r="B32" s="69" t="str">
        <f>D8</f>
        <v>(b)</v>
      </c>
      <c r="C32" s="6" t="str">
        <f>"  "&amp;'Table 8'!$B$1&amp;"  Column "&amp;'Table 8'!$H$7&amp;" - "&amp;'Table 8'!$B$1&amp;"  Page 1"</f>
        <v xml:space="preserve">  Table 8  Column (f) - Table 8  Page 1</v>
      </c>
      <c r="G32" s="69"/>
      <c r="I32" s="69" t="str">
        <f>K8</f>
        <v>(b)</v>
      </c>
      <c r="J32" s="6" t="str">
        <f>"  "&amp;'Table 8'!$B$1&amp;"  Page 2  Column "&amp;'Table 8'!K45&amp;"  Heat rate "&amp;TEXT('Table 8'!$K$81/1000,"?.000")&amp;" MMBtu/MWh"</f>
        <v xml:space="preserve">  Table 8  Page 2  Column (i)  Heat rate 6.410 MMBtu/MWh</v>
      </c>
      <c r="P32" s="6" t="s">
        <v>191</v>
      </c>
      <c r="W32" s="6" t="s">
        <v>191</v>
      </c>
    </row>
    <row r="33" spans="2:24" x14ac:dyDescent="0.2">
      <c r="B33" s="6" t="s">
        <v>175</v>
      </c>
      <c r="C33" s="71" t="s">
        <v>177</v>
      </c>
      <c r="I33" s="69" t="str">
        <f>L8</f>
        <v>(c)</v>
      </c>
      <c r="J33" s="6" t="str">
        <f>"  "&amp;$B$1&amp;"  Column "&amp;$G$8</f>
        <v xml:space="preserve">  Table 3  Column (d)</v>
      </c>
      <c r="O33" s="69" t="str">
        <f>Q8</f>
        <v>(b)</v>
      </c>
      <c r="P33" s="6" t="str">
        <f>"  "&amp;$I$1&amp;"  Column "&amp;$M$8</f>
        <v xml:space="preserve">  Table 4  Column (d)</v>
      </c>
      <c r="V33" s="69" t="str">
        <f>X8</f>
        <v>(b)</v>
      </c>
      <c r="W33" s="6" t="str">
        <f>"  "&amp;'Table 8'!$B$1&amp;"   "&amp;TEXT('Table 8'!$D$101,"0.0%")&amp;" is the on-peak capacity factor of the Proxy Resource"</f>
        <v xml:space="preserve">  Table 8   100.0% is the on-peak capacity factor of the Proxy Resource</v>
      </c>
    </row>
    <row r="34" spans="2:24" x14ac:dyDescent="0.2">
      <c r="C34" s="71" t="s">
        <v>176</v>
      </c>
      <c r="I34" s="20" t="str">
        <f>M8</f>
        <v>(d)</v>
      </c>
      <c r="J34" s="6" t="str">
        <f>"  For "&amp;I12&amp;"-"&amp;MAX(I12:I16)&amp;" - "&amp;'Table 2'!B1</f>
        <v xml:space="preserve">  For 2018-2018 - Table 2</v>
      </c>
      <c r="O34" s="254"/>
      <c r="P34" s="255"/>
      <c r="V34" s="69" t="str">
        <f>Y8</f>
        <v>(c)</v>
      </c>
      <c r="W34" s="6" t="str">
        <f>"  "&amp;$I$1&amp;"  Column "&amp;$M$8</f>
        <v xml:space="preserve">  Table 4  Column (d)</v>
      </c>
    </row>
    <row r="35" spans="2:24" x14ac:dyDescent="0.2">
      <c r="B35" s="69"/>
      <c r="C35" s="71"/>
      <c r="I35" s="69"/>
      <c r="O35" s="254"/>
      <c r="P35" s="255"/>
      <c r="V35" s="69" t="s">
        <v>154</v>
      </c>
    </row>
    <row r="36" spans="2:24" x14ac:dyDescent="0.2">
      <c r="B36" s="69"/>
      <c r="C36" s="71"/>
      <c r="I36" s="69"/>
      <c r="O36" s="254"/>
      <c r="P36" s="255"/>
      <c r="V36" s="20" t="s">
        <v>153</v>
      </c>
      <c r="W36" s="6" t="s">
        <v>179</v>
      </c>
    </row>
    <row r="37" spans="2:24" x14ac:dyDescent="0.2">
      <c r="B37" s="69"/>
      <c r="C37" s="71"/>
      <c r="I37" s="69"/>
      <c r="O37" s="254"/>
      <c r="P37" s="255"/>
      <c r="W37" s="163" t="s">
        <v>180</v>
      </c>
    </row>
    <row r="38" spans="2:24" x14ac:dyDescent="0.2">
      <c r="B38" s="69"/>
      <c r="C38" s="71"/>
      <c r="I38" s="69"/>
      <c r="O38" s="254"/>
      <c r="P38" s="255"/>
      <c r="V38" s="69" t="s">
        <v>155</v>
      </c>
      <c r="W38" s="6" t="s">
        <v>157</v>
      </c>
    </row>
    <row r="39" spans="2:24" x14ac:dyDescent="0.2">
      <c r="B39" s="69"/>
      <c r="C39" s="71"/>
      <c r="I39" s="69"/>
      <c r="O39" s="254"/>
      <c r="P39" s="255"/>
      <c r="Q39" s="311"/>
      <c r="V39" s="69" t="s">
        <v>156</v>
      </c>
      <c r="W39" s="6" t="s">
        <v>158</v>
      </c>
    </row>
    <row r="40" spans="2:24" x14ac:dyDescent="0.2">
      <c r="B40" s="69"/>
      <c r="C40" s="71"/>
      <c r="I40" s="69"/>
      <c r="O40" s="254"/>
      <c r="P40" s="255"/>
      <c r="V40" s="69"/>
    </row>
    <row r="41" spans="2:24" x14ac:dyDescent="0.2">
      <c r="B41" s="69"/>
      <c r="O41" s="69"/>
      <c r="P41" s="72"/>
      <c r="V41" s="69"/>
    </row>
    <row r="42" spans="2:24" x14ac:dyDescent="0.2">
      <c r="B42" s="69"/>
      <c r="C42" s="71"/>
      <c r="I42" s="20"/>
      <c r="O42" s="69"/>
      <c r="P42" s="72"/>
      <c r="V42" s="69"/>
      <c r="X42" s="267"/>
    </row>
    <row r="44" spans="2:24" x14ac:dyDescent="0.2">
      <c r="X44" s="268"/>
    </row>
    <row r="45" spans="2:24" x14ac:dyDescent="0.2">
      <c r="X45" s="268"/>
    </row>
    <row r="46" spans="2:24" x14ac:dyDescent="0.2">
      <c r="W46" s="163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  <colBreaks count="3" manualBreakCount="3">
    <brk id="7" max="55" man="1"/>
    <brk id="13" max="55" man="1"/>
    <brk id="20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4"/>
  <sheetViews>
    <sheetView showGridLines="0" zoomScale="90" zoomScaleNormal="90" workbookViewId="0">
      <selection activeCell="I27" sqref="I27"/>
    </sheetView>
  </sheetViews>
  <sheetFormatPr defaultColWidth="9.33203125" defaultRowHeight="12.75" x14ac:dyDescent="0.2"/>
  <cols>
    <col min="1" max="1" width="1.6640625" style="6" customWidth="1"/>
    <col min="2" max="2" width="8.6640625" style="6" customWidth="1"/>
    <col min="3" max="8" width="15.33203125" style="6" customWidth="1"/>
    <col min="9" max="9" width="8.6640625" style="6" customWidth="1"/>
    <col min="10" max="14" width="15.33203125" style="6" customWidth="1"/>
    <col min="15" max="15" width="15.83203125" style="6" customWidth="1"/>
    <col min="16" max="16" width="1.5" style="6" customWidth="1"/>
    <col min="17" max="16384" width="9.33203125" style="6"/>
  </cols>
  <sheetData>
    <row r="1" spans="2:20" s="16" customFormat="1" ht="15.75" x14ac:dyDescent="0.25">
      <c r="B1" s="1" t="s">
        <v>37</v>
      </c>
      <c r="C1" s="18"/>
      <c r="D1" s="18"/>
      <c r="E1" s="18"/>
      <c r="F1" s="18"/>
      <c r="G1" s="18"/>
      <c r="H1" s="18"/>
      <c r="I1" s="1"/>
      <c r="J1" s="18"/>
      <c r="K1" s="18"/>
      <c r="L1" s="18"/>
      <c r="M1" s="18"/>
      <c r="N1" s="18"/>
      <c r="O1" s="18"/>
    </row>
    <row r="2" spans="2:20" s="19" customFormat="1" ht="15" x14ac:dyDescent="0.25">
      <c r="B2" s="345" t="s">
        <v>133</v>
      </c>
      <c r="C2" s="7"/>
      <c r="D2" s="7"/>
      <c r="E2" s="7"/>
      <c r="F2" s="7"/>
      <c r="G2" s="7"/>
      <c r="H2" s="7"/>
      <c r="I2" s="345"/>
      <c r="J2" s="345" t="s">
        <v>133</v>
      </c>
      <c r="K2" s="7"/>
      <c r="L2" s="7"/>
      <c r="M2" s="7"/>
      <c r="N2" s="7"/>
      <c r="O2" s="7"/>
    </row>
    <row r="3" spans="2:20" s="19" customFormat="1" ht="15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2:20" x14ac:dyDescent="0.2">
      <c r="C4" s="337" t="s">
        <v>182</v>
      </c>
      <c r="D4" s="338"/>
      <c r="E4" s="339"/>
      <c r="F4" s="337" t="s">
        <v>183</v>
      </c>
      <c r="G4" s="338"/>
      <c r="H4" s="339"/>
      <c r="J4" s="337" t="s">
        <v>184</v>
      </c>
      <c r="K4" s="338"/>
      <c r="L4" s="339"/>
      <c r="M4" s="337" t="s">
        <v>185</v>
      </c>
      <c r="N4" s="338"/>
      <c r="O4" s="339"/>
      <c r="P4" s="348"/>
    </row>
    <row r="5" spans="2:20" ht="25.5" x14ac:dyDescent="0.2">
      <c r="B5" s="324"/>
      <c r="C5" s="229" t="s">
        <v>186</v>
      </c>
      <c r="D5" s="277"/>
      <c r="E5" s="277"/>
      <c r="F5" s="229" t="s">
        <v>187</v>
      </c>
      <c r="G5" s="277"/>
      <c r="H5" s="277"/>
      <c r="I5" s="324"/>
      <c r="J5" s="229" t="s">
        <v>188</v>
      </c>
      <c r="K5" s="277"/>
      <c r="L5" s="277"/>
      <c r="M5" s="229" t="s">
        <v>189</v>
      </c>
      <c r="N5" s="277"/>
      <c r="O5" s="277"/>
    </row>
    <row r="6" spans="2:20" x14ac:dyDescent="0.2">
      <c r="B6" s="323" t="s">
        <v>3</v>
      </c>
      <c r="C6" s="322" t="s">
        <v>134</v>
      </c>
      <c r="D6" s="321" t="s">
        <v>67</v>
      </c>
      <c r="E6" s="317" t="s">
        <v>31</v>
      </c>
      <c r="F6" s="322" t="s">
        <v>134</v>
      </c>
      <c r="G6" s="321" t="s">
        <v>67</v>
      </c>
      <c r="H6" s="317" t="s">
        <v>31</v>
      </c>
      <c r="I6" s="323" t="s">
        <v>3</v>
      </c>
      <c r="J6" s="322" t="s">
        <v>134</v>
      </c>
      <c r="K6" s="321" t="s">
        <v>67</v>
      </c>
      <c r="L6" s="317" t="s">
        <v>31</v>
      </c>
      <c r="M6" s="322" t="s">
        <v>134</v>
      </c>
      <c r="N6" s="321" t="s">
        <v>67</v>
      </c>
      <c r="O6" s="317" t="s">
        <v>31</v>
      </c>
    </row>
    <row r="7" spans="2:20" x14ac:dyDescent="0.2">
      <c r="B7" s="320"/>
      <c r="C7" s="319" t="s">
        <v>68</v>
      </c>
      <c r="D7" s="318" t="s">
        <v>68</v>
      </c>
      <c r="E7" s="317"/>
      <c r="F7" s="319" t="s">
        <v>68</v>
      </c>
      <c r="G7" s="318" t="s">
        <v>68</v>
      </c>
      <c r="H7" s="317"/>
      <c r="I7" s="320"/>
      <c r="J7" s="319" t="s">
        <v>68</v>
      </c>
      <c r="K7" s="318" t="s">
        <v>68</v>
      </c>
      <c r="L7" s="317"/>
      <c r="M7" s="319" t="s">
        <v>68</v>
      </c>
      <c r="N7" s="318" t="s">
        <v>68</v>
      </c>
      <c r="O7" s="317"/>
    </row>
    <row r="8" spans="2:20" x14ac:dyDescent="0.2">
      <c r="B8" s="316"/>
      <c r="C8" s="315" t="s">
        <v>110</v>
      </c>
      <c r="D8" s="314" t="s">
        <v>110</v>
      </c>
      <c r="E8" s="313" t="s">
        <v>110</v>
      </c>
      <c r="F8" s="315" t="s">
        <v>110</v>
      </c>
      <c r="G8" s="314" t="s">
        <v>110</v>
      </c>
      <c r="H8" s="313" t="s">
        <v>110</v>
      </c>
      <c r="I8" s="316"/>
      <c r="J8" s="315" t="s">
        <v>110</v>
      </c>
      <c r="K8" s="314" t="s">
        <v>110</v>
      </c>
      <c r="L8" s="313" t="s">
        <v>110</v>
      </c>
      <c r="M8" s="315" t="s">
        <v>110</v>
      </c>
      <c r="N8" s="314" t="s">
        <v>110</v>
      </c>
      <c r="O8" s="313" t="s">
        <v>110</v>
      </c>
    </row>
    <row r="9" spans="2:20" x14ac:dyDescent="0.2">
      <c r="B9" s="324"/>
      <c r="C9" s="340" t="s">
        <v>22</v>
      </c>
      <c r="D9" s="355" t="s">
        <v>23</v>
      </c>
      <c r="E9" s="346" t="s">
        <v>194</v>
      </c>
      <c r="F9" s="340" t="s">
        <v>22</v>
      </c>
      <c r="G9" s="355" t="s">
        <v>23</v>
      </c>
      <c r="H9" s="346" t="s">
        <v>194</v>
      </c>
      <c r="I9" s="356"/>
      <c r="J9" s="340" t="s">
        <v>22</v>
      </c>
      <c r="K9" s="355" t="s">
        <v>23</v>
      </c>
      <c r="L9" s="346" t="s">
        <v>194</v>
      </c>
      <c r="M9" s="340" t="s">
        <v>22</v>
      </c>
      <c r="N9" s="355" t="s">
        <v>23</v>
      </c>
      <c r="O9" s="346" t="s">
        <v>194</v>
      </c>
    </row>
    <row r="10" spans="2:20" x14ac:dyDescent="0.2">
      <c r="B10" s="360"/>
      <c r="C10" s="341"/>
      <c r="D10" s="17"/>
      <c r="E10" s="87"/>
      <c r="F10" s="341"/>
      <c r="G10" s="17"/>
      <c r="H10" s="347"/>
      <c r="I10" s="9"/>
      <c r="J10" s="341"/>
      <c r="K10" s="17"/>
      <c r="L10" s="87"/>
      <c r="M10" s="341"/>
      <c r="N10" s="17"/>
      <c r="O10" s="347"/>
    </row>
    <row r="11" spans="2:20" hidden="1" x14ac:dyDescent="0.2">
      <c r="B11" s="360"/>
      <c r="C11" s="341"/>
      <c r="D11" s="17"/>
      <c r="E11" s="87"/>
      <c r="F11" s="341"/>
      <c r="G11" s="17"/>
      <c r="H11" s="347"/>
      <c r="I11" s="9"/>
      <c r="J11" s="341"/>
      <c r="K11" s="17"/>
      <c r="L11" s="87"/>
      <c r="M11" s="341"/>
      <c r="N11" s="17"/>
      <c r="O11" s="347"/>
    </row>
    <row r="12" spans="2:20" hidden="1" x14ac:dyDescent="0.2">
      <c r="B12" s="361"/>
      <c r="C12" s="157"/>
      <c r="D12" s="12"/>
      <c r="E12" s="11"/>
      <c r="F12" s="157"/>
      <c r="G12" s="12"/>
      <c r="H12" s="64"/>
      <c r="I12" s="152"/>
      <c r="J12" s="157"/>
      <c r="K12" s="12"/>
      <c r="L12" s="11"/>
      <c r="M12" s="157"/>
      <c r="N12" s="12"/>
      <c r="O12" s="64"/>
      <c r="R12" s="311"/>
      <c r="S12" s="311"/>
    </row>
    <row r="13" spans="2:20" s="9" customFormat="1" hidden="1" x14ac:dyDescent="0.2">
      <c r="B13" s="361"/>
      <c r="C13" s="157"/>
      <c r="D13" s="12"/>
      <c r="E13" s="11"/>
      <c r="F13" s="157"/>
      <c r="G13" s="12"/>
      <c r="H13" s="64"/>
      <c r="I13" s="152"/>
      <c r="J13" s="157"/>
      <c r="K13" s="12"/>
      <c r="L13" s="11"/>
      <c r="M13" s="157"/>
      <c r="N13" s="12"/>
      <c r="O13" s="64"/>
      <c r="T13" s="312"/>
    </row>
    <row r="14" spans="2:20" x14ac:dyDescent="0.2">
      <c r="B14" s="361">
        <v>2018</v>
      </c>
      <c r="C14" s="157">
        <f>ROUND(INDEX('Tables 3 to 6'!P:P,MATCH($B14,'Tables 3 to 6'!O:O,0))/(8.76)+INDEX('Tables 3 to 6'!Q:Q,MATCH($B14,'Tables 3 to 6'!O:O,0)),2)</f>
        <v>24.72</v>
      </c>
      <c r="D14" s="12">
        <v>28</v>
      </c>
      <c r="E14" s="11">
        <f t="shared" ref="E14:E23" si="0">C14-D14</f>
        <v>-3.2800000000000011</v>
      </c>
      <c r="F14" s="157">
        <f>ROUND(INDEX('Tables 3 to 6'!P:P,MATCH($B14,'Tables 3 to 6'!O:O,0))/(8.76)+INDEX('Tables 3 to 6'!Q:Q,MATCH($B14,'Tables 3 to 6'!O:O,0)),2)</f>
        <v>24.72</v>
      </c>
      <c r="G14" s="12">
        <v>28</v>
      </c>
      <c r="H14" s="64">
        <f t="shared" ref="H14:H23" si="1">F14-G14</f>
        <v>-3.2800000000000011</v>
      </c>
      <c r="I14" s="152">
        <f>B14</f>
        <v>2018</v>
      </c>
      <c r="J14" s="157">
        <f>ROUND(INDEX('Tables 3 to 6'!P:P,MATCH($B14,'Tables 3 to 6'!O:O,0))/(8.76)+INDEX('Tables 3 to 6'!Q:Q,MATCH($B14,'Tables 3 to 6'!O:O,0)),2)</f>
        <v>24.72</v>
      </c>
      <c r="K14" s="12">
        <v>28</v>
      </c>
      <c r="L14" s="11">
        <f t="shared" ref="L14:L23" si="2">J14-K14</f>
        <v>-3.2800000000000011</v>
      </c>
      <c r="M14" s="157">
        <f>ROUND(INDEX('Tables 3 to 6'!P:P,MATCH($B14,'Tables 3 to 6'!O:O,0))/(8.76)+INDEX('Tables 3 to 6'!Q:Q,MATCH($B14,'Tables 3 to 6'!O:O,0)),2)</f>
        <v>24.72</v>
      </c>
      <c r="N14" s="12">
        <v>28</v>
      </c>
      <c r="O14" s="64">
        <f t="shared" ref="O14:O23" si="3">M14-N14</f>
        <v>-3.2800000000000011</v>
      </c>
      <c r="T14" s="311"/>
    </row>
    <row r="15" spans="2:20" x14ac:dyDescent="0.2">
      <c r="B15" s="361">
        <f t="shared" ref="B15:B23" si="4">B14+1</f>
        <v>2019</v>
      </c>
      <c r="C15" s="157">
        <f>ROUND(INDEX('Tables 3 to 6'!P:P,MATCH($B15,'Tables 3 to 6'!O:O,0))/(8.76)+INDEX('Tables 3 to 6'!Q:Q,MATCH($B15,'Tables 3 to 6'!O:O,0)),2)</f>
        <v>34.11</v>
      </c>
      <c r="D15" s="12">
        <v>28.84</v>
      </c>
      <c r="E15" s="11">
        <f t="shared" si="0"/>
        <v>5.27</v>
      </c>
      <c r="F15" s="157">
        <f>ROUND(INDEX('Tables 3 to 6'!P:P,MATCH($B15,'Tables 3 to 6'!O:O,0))/(8.76)+INDEX('Tables 3 to 6'!Q:Q,MATCH($B15,'Tables 3 to 6'!O:O,0)),2)</f>
        <v>34.11</v>
      </c>
      <c r="G15" s="12">
        <v>28.84</v>
      </c>
      <c r="H15" s="64">
        <f t="shared" si="1"/>
        <v>5.27</v>
      </c>
      <c r="I15" s="152">
        <f t="shared" ref="I15:I23" si="5">B15</f>
        <v>2019</v>
      </c>
      <c r="J15" s="157">
        <f>ROUND(INDEX('Tables 3 to 6'!P:P,MATCH($B15,'Tables 3 to 6'!O:O,0))/(8.76)+INDEX('Tables 3 to 6'!Q:Q,MATCH($B15,'Tables 3 to 6'!O:O,0)),2)</f>
        <v>34.11</v>
      </c>
      <c r="K15" s="12">
        <v>28.84</v>
      </c>
      <c r="L15" s="11">
        <f t="shared" si="2"/>
        <v>5.27</v>
      </c>
      <c r="M15" s="157">
        <f>ROUND(INDEX('Tables 3 to 6'!P:P,MATCH($B15,'Tables 3 to 6'!O:O,0))/(8.76)+INDEX('Tables 3 to 6'!Q:Q,MATCH($B15,'Tables 3 to 6'!O:O,0)),2)</f>
        <v>34.11</v>
      </c>
      <c r="N15" s="12">
        <v>28.84</v>
      </c>
      <c r="O15" s="64">
        <f t="shared" si="3"/>
        <v>5.27</v>
      </c>
      <c r="T15" s="311"/>
    </row>
    <row r="16" spans="2:20" x14ac:dyDescent="0.2">
      <c r="B16" s="361">
        <f t="shared" si="4"/>
        <v>2020</v>
      </c>
      <c r="C16" s="157">
        <f>ROUND(INDEX('Tables 3 to 6'!P:P,MATCH($B16,'Tables 3 to 6'!O:O,0))/(8.76)+INDEX('Tables 3 to 6'!Q:Q,MATCH($B16,'Tables 3 to 6'!O:O,0)),2)</f>
        <v>34.54</v>
      </c>
      <c r="D16" s="12">
        <v>30.01</v>
      </c>
      <c r="E16" s="11">
        <f t="shared" si="0"/>
        <v>4.5299999999999976</v>
      </c>
      <c r="F16" s="157">
        <f>ROUND(INDEX('Tables 3 to 6'!P:P,MATCH($B16,'Tables 3 to 6'!O:O,0))/(8.76)+INDEX('Tables 3 to 6'!Q:Q,MATCH($B16,'Tables 3 to 6'!O:O,0)),2)</f>
        <v>34.54</v>
      </c>
      <c r="G16" s="12">
        <v>30.01</v>
      </c>
      <c r="H16" s="64">
        <f t="shared" si="1"/>
        <v>4.5299999999999976</v>
      </c>
      <c r="I16" s="152">
        <f t="shared" si="5"/>
        <v>2020</v>
      </c>
      <c r="J16" s="157">
        <f>ROUND(INDEX('Tables 3 to 6'!P:P,MATCH($B16,'Tables 3 to 6'!O:O,0))/(8.76)+INDEX('Tables 3 to 6'!Q:Q,MATCH($B16,'Tables 3 to 6'!O:O,0)),2)</f>
        <v>34.54</v>
      </c>
      <c r="K16" s="12">
        <v>30.01</v>
      </c>
      <c r="L16" s="11">
        <f t="shared" si="2"/>
        <v>4.5299999999999976</v>
      </c>
      <c r="M16" s="157">
        <f>ROUND(INDEX('Tables 3 to 6'!P:P,MATCH($B16,'Tables 3 to 6'!O:O,0))/(8.76)+INDEX('Tables 3 to 6'!Q:Q,MATCH($B16,'Tables 3 to 6'!O:O,0)),2)</f>
        <v>34.54</v>
      </c>
      <c r="N16" s="12">
        <v>30.01</v>
      </c>
      <c r="O16" s="64">
        <f t="shared" si="3"/>
        <v>4.5299999999999976</v>
      </c>
      <c r="T16" s="311"/>
    </row>
    <row r="17" spans="2:20" x14ac:dyDescent="0.2">
      <c r="B17" s="361">
        <f t="shared" si="4"/>
        <v>2021</v>
      </c>
      <c r="C17" s="157">
        <f>ROUND(INDEX('Tables 3 to 6'!P:P,MATCH($B17,'Tables 3 to 6'!O:O,0))/(8.76)+INDEX('Tables 3 to 6'!Q:Q,MATCH($B17,'Tables 3 to 6'!O:O,0)),2)</f>
        <v>35.130000000000003</v>
      </c>
      <c r="D17" s="12">
        <v>34</v>
      </c>
      <c r="E17" s="11">
        <f t="shared" si="0"/>
        <v>1.1300000000000026</v>
      </c>
      <c r="F17" s="157">
        <f>ROUND(INDEX('Tables 3 to 6'!P:P,MATCH($B17,'Tables 3 to 6'!O:O,0))/(8.76)+INDEX('Tables 3 to 6'!Q:Q,MATCH($B17,'Tables 3 to 6'!O:O,0)),2)</f>
        <v>35.130000000000003</v>
      </c>
      <c r="G17" s="12">
        <v>34</v>
      </c>
      <c r="H17" s="64">
        <f t="shared" si="1"/>
        <v>1.1300000000000026</v>
      </c>
      <c r="I17" s="152">
        <f t="shared" si="5"/>
        <v>2021</v>
      </c>
      <c r="J17" s="157">
        <f>ROUND(INDEX('Tables 3 to 6'!P:P,MATCH($B17,'Tables 3 to 6'!O:O,0))/(8.76)+INDEX('Tables 3 to 6'!Q:Q,MATCH($B17,'Tables 3 to 6'!O:O,0)),2)</f>
        <v>35.130000000000003</v>
      </c>
      <c r="K17" s="12">
        <v>34</v>
      </c>
      <c r="L17" s="11">
        <f t="shared" si="2"/>
        <v>1.1300000000000026</v>
      </c>
      <c r="M17" s="157">
        <f>ROUND(INDEX('Tables 3 to 6'!P:P,MATCH($B17,'Tables 3 to 6'!O:O,0))/(8.76)+INDEX('Tables 3 to 6'!Q:Q,MATCH($B17,'Tables 3 to 6'!O:O,0)),2)</f>
        <v>35.130000000000003</v>
      </c>
      <c r="N17" s="12">
        <v>34</v>
      </c>
      <c r="O17" s="64">
        <f t="shared" si="3"/>
        <v>1.1300000000000026</v>
      </c>
      <c r="T17" s="311"/>
    </row>
    <row r="18" spans="2:20" x14ac:dyDescent="0.2">
      <c r="B18" s="361">
        <f t="shared" si="4"/>
        <v>2022</v>
      </c>
      <c r="C18" s="157">
        <f>ROUND(INDEX('Tables 3 to 6'!P:P,MATCH($B18,'Tables 3 to 6'!O:O,0))/(8.76)+INDEX('Tables 3 to 6'!Q:Q,MATCH($B18,'Tables 3 to 6'!O:O,0)),2)</f>
        <v>35.71</v>
      </c>
      <c r="D18" s="12">
        <v>35.24</v>
      </c>
      <c r="E18" s="11">
        <f t="shared" si="0"/>
        <v>0.46999999999999886</v>
      </c>
      <c r="F18" s="157">
        <f>ROUND(INDEX('Tables 3 to 6'!P:P,MATCH($B18,'Tables 3 to 6'!O:O,0))/(8.76)+INDEX('Tables 3 to 6'!Q:Q,MATCH($B18,'Tables 3 to 6'!O:O,0)),2)</f>
        <v>35.71</v>
      </c>
      <c r="G18" s="12">
        <v>35.24</v>
      </c>
      <c r="H18" s="64">
        <f t="shared" si="1"/>
        <v>0.46999999999999886</v>
      </c>
      <c r="I18" s="152">
        <f t="shared" si="5"/>
        <v>2022</v>
      </c>
      <c r="J18" s="157">
        <f>ROUND(INDEX('Tables 3 to 6'!P:P,MATCH($B18,'Tables 3 to 6'!O:O,0))/(8.76)+INDEX('Tables 3 to 6'!Q:Q,MATCH($B18,'Tables 3 to 6'!O:O,0)),2)</f>
        <v>35.71</v>
      </c>
      <c r="K18" s="12">
        <v>35.24</v>
      </c>
      <c r="L18" s="11">
        <f t="shared" si="2"/>
        <v>0.46999999999999886</v>
      </c>
      <c r="M18" s="157">
        <f>ROUND(INDEX('Tables 3 to 6'!P:P,MATCH($B18,'Tables 3 to 6'!O:O,0))/(8.76)+INDEX('Tables 3 to 6'!Q:Q,MATCH($B18,'Tables 3 to 6'!O:O,0)),2)</f>
        <v>35.71</v>
      </c>
      <c r="N18" s="12">
        <v>35.24</v>
      </c>
      <c r="O18" s="64">
        <f t="shared" si="3"/>
        <v>0.46999999999999886</v>
      </c>
      <c r="T18" s="311"/>
    </row>
    <row r="19" spans="2:20" x14ac:dyDescent="0.2">
      <c r="B19" s="361">
        <f t="shared" si="4"/>
        <v>2023</v>
      </c>
      <c r="C19" s="157">
        <f>ROUND(INDEX('Tables 3 to 6'!P:P,MATCH($B19,'Tables 3 to 6'!O:O,0))/(8.76)+INDEX('Tables 3 to 6'!Q:Q,MATCH($B19,'Tables 3 to 6'!O:O,0)),2)</f>
        <v>37.130000000000003</v>
      </c>
      <c r="D19" s="12">
        <v>38.72</v>
      </c>
      <c r="E19" s="11">
        <f t="shared" si="0"/>
        <v>-1.5899999999999963</v>
      </c>
      <c r="F19" s="157">
        <f>ROUND(INDEX('Tables 3 to 6'!P:P,MATCH($B19,'Tables 3 to 6'!O:O,0))/(8.76)+INDEX('Tables 3 to 6'!Q:Q,MATCH($B19,'Tables 3 to 6'!O:O,0)),2)</f>
        <v>37.130000000000003</v>
      </c>
      <c r="G19" s="12">
        <v>38.72</v>
      </c>
      <c r="H19" s="64">
        <f t="shared" si="1"/>
        <v>-1.5899999999999963</v>
      </c>
      <c r="I19" s="152">
        <f t="shared" si="5"/>
        <v>2023</v>
      </c>
      <c r="J19" s="157">
        <f>ROUND(INDEX('Tables 3 to 6'!P:P,MATCH($B19,'Tables 3 to 6'!O:O,0))/(8.76)+INDEX('Tables 3 to 6'!Q:Q,MATCH($B19,'Tables 3 to 6'!O:O,0)),2)</f>
        <v>37.130000000000003</v>
      </c>
      <c r="K19" s="12">
        <v>38.72</v>
      </c>
      <c r="L19" s="11">
        <f t="shared" si="2"/>
        <v>-1.5899999999999963</v>
      </c>
      <c r="M19" s="157">
        <f>ROUND(INDEX('Tables 3 to 6'!P:P,MATCH($B19,'Tables 3 to 6'!O:O,0))/(8.76)+INDEX('Tables 3 to 6'!Q:Q,MATCH($B19,'Tables 3 to 6'!O:O,0)),2)</f>
        <v>37.130000000000003</v>
      </c>
      <c r="N19" s="12">
        <v>38.72</v>
      </c>
      <c r="O19" s="64">
        <f t="shared" si="3"/>
        <v>-1.5899999999999963</v>
      </c>
      <c r="T19" s="311"/>
    </row>
    <row r="20" spans="2:20" x14ac:dyDescent="0.2">
      <c r="B20" s="361">
        <f t="shared" si="4"/>
        <v>2024</v>
      </c>
      <c r="C20" s="157">
        <f>ROUND(INDEX('Tables 3 to 6'!P:P,MATCH($B20,'Tables 3 to 6'!O:O,0))/(8.76)+INDEX('Tables 3 to 6'!Q:Q,MATCH($B20,'Tables 3 to 6'!O:O,0)),2)</f>
        <v>42.28</v>
      </c>
      <c r="D20" s="12">
        <v>42.25</v>
      </c>
      <c r="E20" s="11">
        <f t="shared" si="0"/>
        <v>3.0000000000001137E-2</v>
      </c>
      <c r="F20" s="157">
        <f>ROUND(INDEX('Tables 3 to 6'!P:P,MATCH($B20,'Tables 3 to 6'!O:O,0))/(8.76)+INDEX('Tables 3 to 6'!Q:Q,MATCH($B20,'Tables 3 to 6'!O:O,0)),2)</f>
        <v>42.28</v>
      </c>
      <c r="G20" s="12">
        <v>42.25</v>
      </c>
      <c r="H20" s="64">
        <f t="shared" si="1"/>
        <v>3.0000000000001137E-2</v>
      </c>
      <c r="I20" s="152">
        <f t="shared" si="5"/>
        <v>2024</v>
      </c>
      <c r="J20" s="157">
        <f>ROUND(INDEX('Tables 3 to 6'!P:P,MATCH($B20,'Tables 3 to 6'!O:O,0))/(8.76)+INDEX('Tables 3 to 6'!Q:Q,MATCH($B20,'Tables 3 to 6'!O:O,0)),2)</f>
        <v>42.28</v>
      </c>
      <c r="K20" s="12">
        <v>42.25</v>
      </c>
      <c r="L20" s="11">
        <f t="shared" si="2"/>
        <v>3.0000000000001137E-2</v>
      </c>
      <c r="M20" s="157">
        <f>ROUND(INDEX('Tables 3 to 6'!P:P,MATCH($B20,'Tables 3 to 6'!O:O,0))/(8.76)+INDEX('Tables 3 to 6'!Q:Q,MATCH($B20,'Tables 3 to 6'!O:O,0)),2)</f>
        <v>42.28</v>
      </c>
      <c r="N20" s="12">
        <v>42.25</v>
      </c>
      <c r="O20" s="64">
        <f t="shared" si="3"/>
        <v>3.0000000000001137E-2</v>
      </c>
      <c r="T20" s="311"/>
    </row>
    <row r="21" spans="2:20" x14ac:dyDescent="0.2">
      <c r="B21" s="361">
        <f t="shared" si="4"/>
        <v>2025</v>
      </c>
      <c r="C21" s="157">
        <f>ROUND(INDEX('Tables 3 to 6'!P:P,MATCH($B21,'Tables 3 to 6'!O:O,0))/(8.76)+INDEX('Tables 3 to 6'!Q:Q,MATCH($B21,'Tables 3 to 6'!O:O,0)),2)</f>
        <v>46.56</v>
      </c>
      <c r="D21" s="12">
        <v>43.63</v>
      </c>
      <c r="E21" s="11">
        <f t="shared" si="0"/>
        <v>2.9299999999999997</v>
      </c>
      <c r="F21" s="157">
        <f>ROUND(INDEX('Tables 3 to 6'!P:P,MATCH($B21,'Tables 3 to 6'!O:O,0))/(8.76)+INDEX('Tables 3 to 6'!Q:Q,MATCH($B21,'Tables 3 to 6'!O:O,0)),2)</f>
        <v>46.56</v>
      </c>
      <c r="G21" s="12">
        <v>43.63</v>
      </c>
      <c r="H21" s="64">
        <f t="shared" si="1"/>
        <v>2.9299999999999997</v>
      </c>
      <c r="I21" s="152">
        <f t="shared" si="5"/>
        <v>2025</v>
      </c>
      <c r="J21" s="157">
        <f>ROUND(INDEX('Tables 3 to 6'!P:P,MATCH($B21,'Tables 3 to 6'!O:O,0))/(8.76)+INDEX('Tables 3 to 6'!Q:Q,MATCH($B21,'Tables 3 to 6'!O:O,0)),2)</f>
        <v>46.56</v>
      </c>
      <c r="K21" s="12">
        <v>43.63</v>
      </c>
      <c r="L21" s="11">
        <f t="shared" si="2"/>
        <v>2.9299999999999997</v>
      </c>
      <c r="M21" s="157">
        <f>ROUND(INDEX('Tables 3 to 6'!P:P,MATCH($B21,'Tables 3 to 6'!O:O,0))/(8.76)+INDEX('Tables 3 to 6'!Q:Q,MATCH($B21,'Tables 3 to 6'!O:O,0)),2)</f>
        <v>46.56</v>
      </c>
      <c r="N21" s="12">
        <v>43.63</v>
      </c>
      <c r="O21" s="64">
        <f t="shared" si="3"/>
        <v>2.9299999999999997</v>
      </c>
      <c r="T21" s="311"/>
    </row>
    <row r="22" spans="2:20" x14ac:dyDescent="0.2">
      <c r="B22" s="361">
        <f t="shared" si="4"/>
        <v>2026</v>
      </c>
      <c r="C22" s="157">
        <f>ROUND(INDEX('Tables 3 to 6'!P:P,MATCH($B22,'Tables 3 to 6'!O:O,0))/(8.76)+INDEX('Tables 3 to 6'!Q:Q,MATCH($B22,'Tables 3 to 6'!O:O,0)),2)</f>
        <v>46.96</v>
      </c>
      <c r="D22" s="12">
        <v>44.5</v>
      </c>
      <c r="E22" s="11">
        <f t="shared" si="0"/>
        <v>2.4600000000000009</v>
      </c>
      <c r="F22" s="157">
        <f>ROUND(INDEX('Tables 3 to 6'!P:P,MATCH($B22,'Tables 3 to 6'!O:O,0))/(8.76)+INDEX('Tables 3 to 6'!Q:Q,MATCH($B22,'Tables 3 to 6'!O:O,0)),2)</f>
        <v>46.96</v>
      </c>
      <c r="G22" s="12">
        <v>44.5</v>
      </c>
      <c r="H22" s="64">
        <f t="shared" si="1"/>
        <v>2.4600000000000009</v>
      </c>
      <c r="I22" s="152">
        <f t="shared" si="5"/>
        <v>2026</v>
      </c>
      <c r="J22" s="157">
        <f>ROUND(INDEX('Tables 3 to 6'!P:P,MATCH($B22,'Tables 3 to 6'!O:O,0))/(8.76)+INDEX('Tables 3 to 6'!Q:Q,MATCH($B22,'Tables 3 to 6'!O:O,0)),2)</f>
        <v>46.96</v>
      </c>
      <c r="K22" s="12">
        <v>44.5</v>
      </c>
      <c r="L22" s="11">
        <f t="shared" si="2"/>
        <v>2.4600000000000009</v>
      </c>
      <c r="M22" s="157">
        <f>ROUND(INDEX('Tables 3 to 6'!P:P,MATCH($B22,'Tables 3 to 6'!O:O,0))/(8.76)+INDEX('Tables 3 to 6'!Q:Q,MATCH($B22,'Tables 3 to 6'!O:O,0)),2)</f>
        <v>46.96</v>
      </c>
      <c r="N22" s="12">
        <v>44.5</v>
      </c>
      <c r="O22" s="64">
        <f t="shared" si="3"/>
        <v>2.4600000000000009</v>
      </c>
      <c r="T22" s="311"/>
    </row>
    <row r="23" spans="2:20" ht="13.5" customHeight="1" x14ac:dyDescent="0.2">
      <c r="B23" s="362">
        <f t="shared" si="4"/>
        <v>2027</v>
      </c>
      <c r="C23" s="298">
        <f>ROUND(INDEX('Tables 3 to 6'!P:P,MATCH($B23,'Tables 3 to 6'!O:O,0))/(8.76)+INDEX('Tables 3 to 6'!Q:Q,MATCH($B23,'Tables 3 to 6'!O:O,0)),2)</f>
        <v>48.35</v>
      </c>
      <c r="D23" s="357">
        <f>ROUND(D22*(1+'Table 8'!$G$110),2)</f>
        <v>45.48</v>
      </c>
      <c r="E23" s="81">
        <f t="shared" si="0"/>
        <v>2.8700000000000045</v>
      </c>
      <c r="F23" s="298">
        <f>ROUND(INDEX('Tables 3 to 6'!P:P,MATCH($B23,'Tables 3 to 6'!O:O,0))/(8.76)+INDEX('Tables 3 to 6'!Q:Q,MATCH($B23,'Tables 3 to 6'!O:O,0)),2)</f>
        <v>48.35</v>
      </c>
      <c r="G23" s="357">
        <f>ROUND(G22*(1+'Table 8'!$G$110),2)</f>
        <v>45.48</v>
      </c>
      <c r="H23" s="358">
        <f t="shared" si="1"/>
        <v>2.8700000000000045</v>
      </c>
      <c r="I23" s="359">
        <f t="shared" si="5"/>
        <v>2027</v>
      </c>
      <c r="J23" s="298">
        <f>ROUND(INDEX('Tables 3 to 6'!P:P,MATCH($B23,'Tables 3 to 6'!O:O,0))/(8.76)+INDEX('Tables 3 to 6'!Q:Q,MATCH($B23,'Tables 3 to 6'!O:O,0)),2)</f>
        <v>48.35</v>
      </c>
      <c r="K23" s="357">
        <f>ROUND(K22*(1+'Table 8'!$G$110),2)</f>
        <v>45.48</v>
      </c>
      <c r="L23" s="81">
        <f t="shared" si="2"/>
        <v>2.8700000000000045</v>
      </c>
      <c r="M23" s="298">
        <f>ROUND(INDEX('Tables 3 to 6'!P:P,MATCH($B23,'Tables 3 to 6'!O:O,0))/(8.76)+INDEX('Tables 3 to 6'!Q:Q,MATCH($B23,'Tables 3 to 6'!O:O,0)),2)</f>
        <v>48.35</v>
      </c>
      <c r="N23" s="357">
        <f>ROUND(N22*(1+'Table 8'!$G$110),2)</f>
        <v>45.48</v>
      </c>
      <c r="O23" s="358">
        <f t="shared" si="3"/>
        <v>2.8700000000000045</v>
      </c>
    </row>
    <row r="24" spans="2:20" hidden="1" x14ac:dyDescent="0.2">
      <c r="B24" s="152"/>
      <c r="C24" s="12"/>
      <c r="D24" s="12"/>
      <c r="E24" s="12"/>
      <c r="F24" s="12"/>
      <c r="G24" s="12"/>
      <c r="H24" s="12"/>
      <c r="I24" s="152"/>
      <c r="J24" s="12"/>
      <c r="K24" s="12"/>
      <c r="L24" s="12"/>
      <c r="M24" s="12"/>
      <c r="N24" s="12"/>
      <c r="O24" s="12"/>
    </row>
    <row r="25" spans="2:20" ht="0.75" customHeight="1" x14ac:dyDescent="0.2">
      <c r="B25" s="152"/>
      <c r="C25" s="12"/>
      <c r="D25" s="12"/>
      <c r="E25" s="12"/>
      <c r="F25" s="12"/>
      <c r="G25" s="12"/>
      <c r="H25" s="12"/>
      <c r="I25" s="152"/>
      <c r="J25" s="12"/>
      <c r="K25" s="12"/>
      <c r="L25" s="12"/>
      <c r="M25" s="12"/>
      <c r="N25" s="12"/>
      <c r="O25" s="12"/>
    </row>
    <row r="26" spans="2:20" x14ac:dyDescent="0.2">
      <c r="C26" s="309"/>
      <c r="F26" s="309"/>
      <c r="J26" s="309"/>
      <c r="M26" s="309"/>
    </row>
    <row r="27" spans="2:20" x14ac:dyDescent="0.2">
      <c r="B27" s="310" t="s">
        <v>207</v>
      </c>
      <c r="C27" s="309"/>
      <c r="F27" s="309"/>
      <c r="I27" s="310" t="s">
        <v>207</v>
      </c>
      <c r="J27" s="309"/>
      <c r="M27" s="309"/>
      <c r="P27" s="308"/>
      <c r="Q27" s="163" t="s">
        <v>204</v>
      </c>
    </row>
    <row r="28" spans="2:20" x14ac:dyDescent="0.2">
      <c r="B28" s="69" t="s">
        <v>43</v>
      </c>
      <c r="C28" s="11">
        <f>-PMT($Q$28,COUNT(C14:C18),NPV($Q$28,C14:C18))</f>
        <v>32.5426618265911</v>
      </c>
      <c r="D28" s="11">
        <f t="shared" ref="D28:O28" si="6">-PMT($Q$28,COUNT(D14:D18),NPV($Q$28,D14:D18))</f>
        <v>30.969984822855267</v>
      </c>
      <c r="E28" s="11">
        <f t="shared" si="6"/>
        <v>1.5726770037358315</v>
      </c>
      <c r="F28" s="11">
        <f t="shared" si="6"/>
        <v>32.5426618265911</v>
      </c>
      <c r="G28" s="11">
        <f t="shared" si="6"/>
        <v>30.969984822855267</v>
      </c>
      <c r="H28" s="11">
        <f t="shared" si="6"/>
        <v>1.5726770037358315</v>
      </c>
      <c r="I28" s="69" t="str">
        <f>B28</f>
        <v>$/MWH</v>
      </c>
      <c r="J28" s="11">
        <f t="shared" si="6"/>
        <v>32.5426618265911</v>
      </c>
      <c r="K28" s="11">
        <f t="shared" si="6"/>
        <v>30.969984822855267</v>
      </c>
      <c r="L28" s="11">
        <f t="shared" si="6"/>
        <v>1.5726770037358315</v>
      </c>
      <c r="M28" s="11">
        <f t="shared" si="6"/>
        <v>32.5426618265911</v>
      </c>
      <c r="N28" s="11">
        <f t="shared" si="6"/>
        <v>30.969984822855267</v>
      </c>
      <c r="O28" s="11">
        <f t="shared" si="6"/>
        <v>1.5726770037358315</v>
      </c>
      <c r="P28" s="307"/>
      <c r="Q28" s="206">
        <v>6.5699999999999995E-2</v>
      </c>
    </row>
    <row r="29" spans="2:20" hidden="1" x14ac:dyDescent="0.2">
      <c r="C29" s="305"/>
      <c r="D29" s="305"/>
      <c r="E29" s="305"/>
      <c r="F29" s="305"/>
      <c r="G29" s="305"/>
      <c r="H29" s="305"/>
      <c r="J29" s="305"/>
      <c r="K29" s="305"/>
      <c r="L29" s="305"/>
      <c r="M29" s="305"/>
      <c r="N29" s="305"/>
      <c r="O29" s="305"/>
      <c r="P29" s="305"/>
      <c r="Q29" s="305"/>
    </row>
    <row r="30" spans="2:20" hidden="1" x14ac:dyDescent="0.2">
      <c r="C30" s="305"/>
      <c r="D30" s="305"/>
      <c r="E30" s="305"/>
      <c r="F30" s="305"/>
      <c r="G30" s="305"/>
      <c r="H30" s="305"/>
      <c r="J30" s="305"/>
      <c r="K30" s="305"/>
      <c r="L30" s="305"/>
      <c r="M30" s="305"/>
      <c r="N30" s="305"/>
      <c r="O30" s="305"/>
      <c r="P30" s="305"/>
      <c r="Q30" s="305"/>
    </row>
    <row r="31" spans="2:20" x14ac:dyDescent="0.2">
      <c r="B31" s="310" t="s">
        <v>192</v>
      </c>
      <c r="C31" s="309"/>
      <c r="F31" s="308"/>
      <c r="G31" s="163"/>
      <c r="I31" s="310" t="str">
        <f>B31</f>
        <v>10-Year Nominal Levelized (2017 - 2026)</v>
      </c>
    </row>
    <row r="32" spans="2:20" x14ac:dyDescent="0.2">
      <c r="B32" s="69" t="s">
        <v>43</v>
      </c>
      <c r="C32" s="12">
        <f>-PMT($Q$28,COUNT(C14:C23),NPV($Q$28,C14:C23))</f>
        <v>37.328395467629143</v>
      </c>
      <c r="D32" s="12">
        <f>-PMT($Q$28,COUNT(D14:D23),NPV($Q$28,D14:D23))</f>
        <v>35.915409840028794</v>
      </c>
      <c r="E32" s="11">
        <f>C32-D32</f>
        <v>1.4129856276003494</v>
      </c>
      <c r="F32" s="12">
        <f>-PMT($Q$28,COUNT(F14:F23),NPV($Q$28,F14:F23))</f>
        <v>37.328395467629143</v>
      </c>
      <c r="G32" s="12">
        <f>-PMT($Q$28,COUNT(G14:G23),NPV($Q$28,G14:G23))</f>
        <v>35.915409840028794</v>
      </c>
      <c r="H32" s="11">
        <f>F32-G32</f>
        <v>1.4129856276003494</v>
      </c>
      <c r="I32" s="69" t="str">
        <f>B32</f>
        <v>$/MWH</v>
      </c>
      <c r="J32" s="12">
        <f>-PMT($Q$28,COUNT(J14:J23),NPV($Q$28,J14:J23))</f>
        <v>37.328395467629143</v>
      </c>
      <c r="K32" s="12">
        <f>-PMT($Q$28,COUNT(K14:K23),NPV($Q$28,K14:K23))</f>
        <v>35.915409840028794</v>
      </c>
      <c r="L32" s="11">
        <f>J32-K32</f>
        <v>1.4129856276003494</v>
      </c>
      <c r="M32" s="12">
        <f>-PMT($Q$28,COUNT(M14:M23),NPV($Q$28,M14:M23))</f>
        <v>37.328395467629143</v>
      </c>
      <c r="N32" s="12">
        <f>-PMT($Q$28,COUNT(N14:N23),NPV($Q$28,N14:N23))</f>
        <v>35.915409840028794</v>
      </c>
      <c r="O32" s="11">
        <f>M32-N32</f>
        <v>1.4129856276003494</v>
      </c>
    </row>
    <row r="33" spans="2:15" x14ac:dyDescent="0.2">
      <c r="B33" s="69"/>
      <c r="C33" s="12"/>
      <c r="D33" s="12"/>
      <c r="E33" s="363"/>
      <c r="F33" s="12"/>
      <c r="G33" s="12"/>
      <c r="H33" s="11"/>
      <c r="I33" s="69"/>
      <c r="J33" s="12"/>
      <c r="K33" s="12"/>
      <c r="L33" s="11"/>
      <c r="M33" s="12"/>
      <c r="N33" s="12"/>
      <c r="O33" s="11"/>
    </row>
    <row r="34" spans="2:15" x14ac:dyDescent="0.2">
      <c r="B34" s="6" t="s">
        <v>21</v>
      </c>
      <c r="E34" s="364"/>
      <c r="I34" s="6" t="str">
        <f>B34</f>
        <v>Columns</v>
      </c>
    </row>
    <row r="35" spans="2:15" x14ac:dyDescent="0.2">
      <c r="B35" s="69" t="s">
        <v>22</v>
      </c>
      <c r="C35" s="6" t="str">
        <f>"  "&amp;'Tables 3 to 6'!$O$1&amp;"  Column "&amp;'Tables 3 to 6'!$S$8</f>
        <v xml:space="preserve">  Table 5  Column (d)</v>
      </c>
      <c r="I35" s="69" t="str">
        <f>B35</f>
        <v>(a)</v>
      </c>
      <c r="J35" s="6" t="str">
        <f>C35</f>
        <v xml:space="preserve">  Table 5  Column (d)</v>
      </c>
    </row>
    <row r="36" spans="2:15" x14ac:dyDescent="0.2">
      <c r="B36" s="69" t="s">
        <v>23</v>
      </c>
      <c r="C36" s="6" t="s">
        <v>193</v>
      </c>
      <c r="I36" s="69" t="str">
        <f t="shared" ref="I36:J38" si="7">B36</f>
        <v>(b)</v>
      </c>
      <c r="J36" s="6" t="str">
        <f t="shared" si="7"/>
        <v xml:space="preserve">  Current Commission approved rates that became effective February 15, 2016</v>
      </c>
    </row>
    <row r="37" spans="2:15" x14ac:dyDescent="0.2">
      <c r="B37" s="20" t="s">
        <v>181</v>
      </c>
      <c r="C37" s="306" t="s">
        <v>206</v>
      </c>
      <c r="D37" s="305"/>
      <c r="E37" s="305"/>
      <c r="F37" s="305"/>
      <c r="G37" s="305"/>
      <c r="H37" s="305"/>
      <c r="I37" s="69" t="str">
        <f t="shared" si="7"/>
        <v>(x)</v>
      </c>
      <c r="J37" s="6" t="str">
        <f t="shared" si="7"/>
        <v xml:space="preserve">  Extrapolated at inflation</v>
      </c>
      <c r="L37" s="304"/>
      <c r="M37" s="304"/>
      <c r="N37" s="304"/>
    </row>
    <row r="38" spans="2:15" hidden="1" x14ac:dyDescent="0.2">
      <c r="B38" s="69" t="s">
        <v>101</v>
      </c>
      <c r="C38" s="163" t="s">
        <v>174</v>
      </c>
      <c r="I38" s="69" t="str">
        <f t="shared" si="7"/>
        <v>Note:</v>
      </c>
      <c r="J38" s="6" t="str">
        <f t="shared" si="7"/>
        <v>(1)  Discount Rate - 2015 IRP Discount Rate</v>
      </c>
    </row>
    <row r="39" spans="2:15" x14ac:dyDescent="0.2">
      <c r="C39" s="163"/>
      <c r="F39" s="163"/>
      <c r="J39" s="163"/>
      <c r="M39" s="163"/>
    </row>
    <row r="44" spans="2:15" x14ac:dyDescent="0.2">
      <c r="F44" s="342"/>
      <c r="J44" s="342"/>
      <c r="K44" s="342"/>
      <c r="L44" s="342"/>
      <c r="M44" s="342"/>
    </row>
  </sheetData>
  <printOptions horizontalCentered="1"/>
  <pageMargins left="0.25" right="0.25" top="0.75" bottom="0.75" header="0.3" footer="0.3"/>
  <pageSetup scale="74" orientation="landscape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21"/>
  <sheetViews>
    <sheetView topLeftCell="A79" zoomScaleNormal="100" workbookViewId="0">
      <selection activeCell="G110" sqref="G110"/>
    </sheetView>
  </sheetViews>
  <sheetFormatPr defaultColWidth="9.33203125" defaultRowHeight="12.75" x14ac:dyDescent="0.2"/>
  <cols>
    <col min="1" max="1" width="1.33203125" style="181" customWidth="1"/>
    <col min="2" max="2" width="13.6640625" style="181" customWidth="1"/>
    <col min="3" max="3" width="9.83203125" style="181" customWidth="1"/>
    <col min="4" max="4" width="12.1640625" style="181" customWidth="1"/>
    <col min="5" max="5" width="9.1640625" style="181" customWidth="1"/>
    <col min="6" max="6" width="11.33203125" style="181" customWidth="1"/>
    <col min="7" max="7" width="10.1640625" style="181" customWidth="1"/>
    <col min="8" max="8" width="11.5" style="181" customWidth="1"/>
    <col min="9" max="9" width="9" style="181" customWidth="1"/>
    <col min="10" max="10" width="10.33203125" style="181" customWidth="1"/>
    <col min="11" max="11" width="10.5" style="181" customWidth="1"/>
    <col min="12" max="13" width="9.33203125" style="181"/>
    <col min="14" max="15" width="0" style="181" hidden="1" customWidth="1"/>
    <col min="16" max="16384" width="9.33203125" style="181"/>
  </cols>
  <sheetData>
    <row r="1" spans="1:12" ht="15.75" x14ac:dyDescent="0.25">
      <c r="B1" s="91" t="s">
        <v>84</v>
      </c>
      <c r="C1" s="210"/>
      <c r="D1" s="210"/>
      <c r="E1" s="210"/>
      <c r="F1" s="210"/>
      <c r="G1" s="210"/>
      <c r="H1" s="210"/>
      <c r="I1" s="210"/>
      <c r="J1" s="210"/>
      <c r="K1" s="91"/>
    </row>
    <row r="2" spans="1:12" ht="15.75" x14ac:dyDescent="0.25">
      <c r="B2" s="91" t="s">
        <v>85</v>
      </c>
      <c r="C2" s="210"/>
      <c r="D2" s="210"/>
      <c r="E2" s="210"/>
      <c r="F2" s="210"/>
      <c r="G2" s="210"/>
      <c r="H2" s="210"/>
      <c r="I2" s="210"/>
      <c r="J2" s="210"/>
      <c r="K2" s="210"/>
    </row>
    <row r="3" spans="1:12" ht="15.75" x14ac:dyDescent="0.25">
      <c r="B3" s="91"/>
      <c r="C3" s="210"/>
      <c r="D3" s="210"/>
      <c r="E3" s="210"/>
      <c r="F3" s="210"/>
      <c r="G3" s="210"/>
      <c r="H3" s="210"/>
      <c r="I3" s="210"/>
      <c r="J3" s="210"/>
      <c r="K3" s="211" t="s">
        <v>121</v>
      </c>
    </row>
    <row r="4" spans="1:12" x14ac:dyDescent="0.2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1:12" ht="51.75" customHeight="1" x14ac:dyDescent="0.2">
      <c r="A5" s="214"/>
      <c r="B5" s="92" t="s">
        <v>3</v>
      </c>
      <c r="C5" s="93" t="s">
        <v>45</v>
      </c>
      <c r="D5" s="93" t="s">
        <v>46</v>
      </c>
      <c r="E5" s="93" t="s">
        <v>47</v>
      </c>
      <c r="F5" s="93" t="s">
        <v>48</v>
      </c>
      <c r="G5" s="93" t="s">
        <v>49</v>
      </c>
      <c r="H5" s="93" t="s">
        <v>50</v>
      </c>
      <c r="I5" s="212"/>
      <c r="J5" s="212"/>
      <c r="K5" s="212"/>
      <c r="L5" s="213"/>
    </row>
    <row r="6" spans="1:12" ht="24.75" customHeight="1" x14ac:dyDescent="0.2">
      <c r="B6" s="94"/>
      <c r="C6" s="95" t="s">
        <v>41</v>
      </c>
      <c r="D6" s="96" t="s">
        <v>42</v>
      </c>
      <c r="E6" s="96" t="s">
        <v>42</v>
      </c>
      <c r="F6" s="96" t="s">
        <v>43</v>
      </c>
      <c r="G6" s="96" t="s">
        <v>42</v>
      </c>
      <c r="H6" s="96" t="s">
        <v>42</v>
      </c>
      <c r="I6" s="212"/>
      <c r="J6" s="212"/>
      <c r="K6" s="212"/>
      <c r="L6" s="213"/>
    </row>
    <row r="7" spans="1:12" x14ac:dyDescent="0.2">
      <c r="C7" s="97" t="s">
        <v>22</v>
      </c>
      <c r="D7" s="97" t="s">
        <v>23</v>
      </c>
      <c r="E7" s="97" t="s">
        <v>24</v>
      </c>
      <c r="F7" s="97" t="s">
        <v>25</v>
      </c>
      <c r="G7" s="97" t="s">
        <v>26</v>
      </c>
      <c r="H7" s="97" t="s">
        <v>32</v>
      </c>
      <c r="I7" s="212"/>
      <c r="J7" s="212"/>
      <c r="K7" s="212"/>
    </row>
    <row r="8" spans="1:12" ht="6" customHeight="1" x14ac:dyDescent="0.2">
      <c r="I8" s="212"/>
      <c r="J8" s="212"/>
      <c r="K8" s="212"/>
    </row>
    <row r="9" spans="1:12" ht="15.75" x14ac:dyDescent="0.25">
      <c r="B9" s="98" t="str">
        <f>C29</f>
        <v>SCCT Frame "F"x1 - West Side Options (1500')</v>
      </c>
      <c r="C9" s="213"/>
      <c r="E9" s="213"/>
      <c r="F9" s="213"/>
      <c r="G9" s="213"/>
      <c r="H9" s="213"/>
      <c r="I9" s="212"/>
      <c r="J9" s="212"/>
      <c r="K9" s="212"/>
      <c r="L9" s="213"/>
    </row>
    <row r="10" spans="1:12" x14ac:dyDescent="0.2">
      <c r="B10" s="215">
        <v>2016</v>
      </c>
      <c r="C10" s="216">
        <f>C31</f>
        <v>616.13773555279954</v>
      </c>
      <c r="D10" s="217">
        <f>ROUND(C10*C36,2)</f>
        <v>45.43</v>
      </c>
      <c r="E10" s="217">
        <f>C34</f>
        <v>48.46141565353976</v>
      </c>
      <c r="F10" s="217">
        <f>C35</f>
        <v>6.6186425054024145</v>
      </c>
      <c r="G10" s="218">
        <f t="shared" ref="G10:G22" si="0">ROUND(F10*(8.76*$C$37)+E10,2)</f>
        <v>67.59</v>
      </c>
      <c r="H10" s="218">
        <f t="shared" ref="H10:H20" si="1">ROUND(D10+G10,2)</f>
        <v>113.02</v>
      </c>
      <c r="I10" s="212"/>
      <c r="J10" s="212"/>
      <c r="K10" s="212"/>
    </row>
    <row r="11" spans="1:12" x14ac:dyDescent="0.2">
      <c r="B11" s="215">
        <f t="shared" ref="B11:B22" si="2">B10+1</f>
        <v>2017</v>
      </c>
      <c r="C11" s="219"/>
      <c r="D11" s="217">
        <f>ROUND(D10*(1+$D106),2)</f>
        <v>46.29</v>
      </c>
      <c r="E11" s="217">
        <f>ROUND(E10*(1+$D106),2)</f>
        <v>49.38</v>
      </c>
      <c r="F11" s="217">
        <f>ROUND(F10*(1+$D106),2)</f>
        <v>6.74</v>
      </c>
      <c r="G11" s="218">
        <f t="shared" si="0"/>
        <v>68.86</v>
      </c>
      <c r="H11" s="218">
        <f t="shared" si="1"/>
        <v>115.15</v>
      </c>
      <c r="I11" s="212"/>
      <c r="J11" s="212"/>
      <c r="K11" s="212"/>
    </row>
    <row r="12" spans="1:12" x14ac:dyDescent="0.2">
      <c r="B12" s="215">
        <f t="shared" si="2"/>
        <v>2018</v>
      </c>
      <c r="C12" s="219"/>
      <c r="D12" s="218">
        <f t="shared" ref="D12:F15" si="3">ROUND(D11*(1+$D107),2)</f>
        <v>47.12</v>
      </c>
      <c r="E12" s="218">
        <f t="shared" si="3"/>
        <v>50.27</v>
      </c>
      <c r="F12" s="218">
        <f t="shared" si="3"/>
        <v>6.86</v>
      </c>
      <c r="G12" s="218">
        <f t="shared" si="0"/>
        <v>70.099999999999994</v>
      </c>
      <c r="H12" s="218">
        <f t="shared" si="1"/>
        <v>117.22</v>
      </c>
      <c r="I12" s="220"/>
      <c r="J12" s="220"/>
      <c r="K12" s="221"/>
    </row>
    <row r="13" spans="1:12" x14ac:dyDescent="0.2">
      <c r="B13" s="215">
        <f t="shared" si="2"/>
        <v>2019</v>
      </c>
      <c r="C13" s="219"/>
      <c r="D13" s="218">
        <f t="shared" si="3"/>
        <v>48.2</v>
      </c>
      <c r="E13" s="218">
        <f t="shared" si="3"/>
        <v>51.43</v>
      </c>
      <c r="F13" s="218">
        <f t="shared" si="3"/>
        <v>7.02</v>
      </c>
      <c r="G13" s="218">
        <f t="shared" si="0"/>
        <v>71.72</v>
      </c>
      <c r="H13" s="218">
        <f t="shared" si="1"/>
        <v>119.92</v>
      </c>
      <c r="I13" s="220"/>
      <c r="J13" s="220"/>
      <c r="K13" s="221"/>
    </row>
    <row r="14" spans="1:12" x14ac:dyDescent="0.2">
      <c r="B14" s="215">
        <f t="shared" si="2"/>
        <v>2020</v>
      </c>
      <c r="C14" s="219"/>
      <c r="D14" s="218">
        <f t="shared" si="3"/>
        <v>49.45</v>
      </c>
      <c r="E14" s="218">
        <f t="shared" si="3"/>
        <v>52.77</v>
      </c>
      <c r="F14" s="218">
        <f t="shared" si="3"/>
        <v>7.2</v>
      </c>
      <c r="G14" s="218">
        <f t="shared" si="0"/>
        <v>73.58</v>
      </c>
      <c r="H14" s="218">
        <f t="shared" si="1"/>
        <v>123.03</v>
      </c>
      <c r="I14" s="220"/>
      <c r="J14" s="220"/>
      <c r="K14" s="221"/>
    </row>
    <row r="15" spans="1:12" x14ac:dyDescent="0.2">
      <c r="B15" s="215">
        <f t="shared" si="2"/>
        <v>2021</v>
      </c>
      <c r="C15" s="219"/>
      <c r="D15" s="218">
        <f t="shared" si="3"/>
        <v>50.64</v>
      </c>
      <c r="E15" s="218">
        <f t="shared" si="3"/>
        <v>54.04</v>
      </c>
      <c r="F15" s="218">
        <f t="shared" si="3"/>
        <v>7.37</v>
      </c>
      <c r="G15" s="218">
        <f t="shared" si="0"/>
        <v>75.349999999999994</v>
      </c>
      <c r="H15" s="218">
        <f t="shared" si="1"/>
        <v>125.99</v>
      </c>
      <c r="I15" s="220"/>
      <c r="J15" s="220"/>
      <c r="K15" s="221"/>
    </row>
    <row r="16" spans="1:12" x14ac:dyDescent="0.2">
      <c r="B16" s="215">
        <f t="shared" si="2"/>
        <v>2022</v>
      </c>
      <c r="C16" s="219"/>
      <c r="D16" s="218">
        <f>ROUND(D15*(1+$G105),2)</f>
        <v>51.8</v>
      </c>
      <c r="E16" s="218">
        <f>ROUND(E15*(1+$G105),2)</f>
        <v>55.28</v>
      </c>
      <c r="F16" s="218">
        <f>ROUND(F15*(1+$G105),2)</f>
        <v>7.54</v>
      </c>
      <c r="G16" s="218">
        <f t="shared" si="0"/>
        <v>77.08</v>
      </c>
      <c r="H16" s="218">
        <f t="shared" si="1"/>
        <v>128.88</v>
      </c>
      <c r="I16" s="220"/>
      <c r="J16" s="220"/>
      <c r="K16" s="221"/>
    </row>
    <row r="17" spans="2:12" x14ac:dyDescent="0.2">
      <c r="B17" s="215">
        <f t="shared" si="2"/>
        <v>2023</v>
      </c>
      <c r="C17" s="219"/>
      <c r="D17" s="222">
        <f t="shared" ref="D17:F22" si="4">ROUND(D16*(1+$G106),2)</f>
        <v>52.99</v>
      </c>
      <c r="E17" s="222">
        <f t="shared" si="4"/>
        <v>56.55</v>
      </c>
      <c r="F17" s="222">
        <f t="shared" si="4"/>
        <v>7.71</v>
      </c>
      <c r="G17" s="218">
        <f t="shared" si="0"/>
        <v>78.84</v>
      </c>
      <c r="H17" s="218">
        <f t="shared" si="1"/>
        <v>131.83000000000001</v>
      </c>
      <c r="I17" s="220"/>
      <c r="J17" s="220"/>
      <c r="K17" s="221"/>
    </row>
    <row r="18" spans="2:12" x14ac:dyDescent="0.2">
      <c r="B18" s="215">
        <f t="shared" si="2"/>
        <v>2024</v>
      </c>
      <c r="C18" s="219"/>
      <c r="D18" s="222">
        <f t="shared" si="4"/>
        <v>54.21</v>
      </c>
      <c r="E18" s="222">
        <f t="shared" si="4"/>
        <v>57.85</v>
      </c>
      <c r="F18" s="222">
        <f t="shared" si="4"/>
        <v>7.89</v>
      </c>
      <c r="G18" s="218">
        <f t="shared" si="0"/>
        <v>80.66</v>
      </c>
      <c r="H18" s="218">
        <f t="shared" si="1"/>
        <v>134.87</v>
      </c>
      <c r="I18" s="220"/>
      <c r="J18" s="220"/>
      <c r="K18" s="221"/>
    </row>
    <row r="19" spans="2:12" x14ac:dyDescent="0.2">
      <c r="B19" s="215">
        <f t="shared" si="2"/>
        <v>2025</v>
      </c>
      <c r="C19" s="219"/>
      <c r="D19" s="222">
        <f t="shared" si="4"/>
        <v>55.46</v>
      </c>
      <c r="E19" s="222">
        <f t="shared" si="4"/>
        <v>59.18</v>
      </c>
      <c r="F19" s="222">
        <f t="shared" si="4"/>
        <v>8.07</v>
      </c>
      <c r="G19" s="218">
        <f t="shared" si="0"/>
        <v>82.51</v>
      </c>
      <c r="H19" s="218">
        <f t="shared" si="1"/>
        <v>137.97</v>
      </c>
      <c r="I19" s="220"/>
      <c r="J19" s="220"/>
      <c r="K19" s="221"/>
    </row>
    <row r="20" spans="2:12" x14ac:dyDescent="0.2">
      <c r="B20" s="215">
        <f t="shared" si="2"/>
        <v>2026</v>
      </c>
      <c r="C20" s="219"/>
      <c r="D20" s="222">
        <f t="shared" si="4"/>
        <v>56.68</v>
      </c>
      <c r="E20" s="222">
        <f t="shared" si="4"/>
        <v>60.48</v>
      </c>
      <c r="F20" s="222">
        <f t="shared" si="4"/>
        <v>8.25</v>
      </c>
      <c r="G20" s="218">
        <f t="shared" si="0"/>
        <v>84.33</v>
      </c>
      <c r="H20" s="218">
        <f t="shared" si="1"/>
        <v>141.01</v>
      </c>
      <c r="I20" s="220"/>
      <c r="J20" s="220"/>
      <c r="K20" s="221"/>
    </row>
    <row r="21" spans="2:12" x14ac:dyDescent="0.2">
      <c r="B21" s="215">
        <f t="shared" si="2"/>
        <v>2027</v>
      </c>
      <c r="C21" s="219"/>
      <c r="D21" s="222">
        <f t="shared" si="4"/>
        <v>57.93</v>
      </c>
      <c r="E21" s="222">
        <f t="shared" si="4"/>
        <v>61.81</v>
      </c>
      <c r="F21" s="222">
        <f t="shared" si="4"/>
        <v>8.43</v>
      </c>
      <c r="G21" s="218">
        <f t="shared" si="0"/>
        <v>86.18</v>
      </c>
      <c r="H21" s="218">
        <f t="shared" ref="H21" si="5">ROUND(D21+G21,2)</f>
        <v>144.11000000000001</v>
      </c>
      <c r="I21" s="220"/>
      <c r="J21" s="220"/>
      <c r="K21" s="221"/>
    </row>
    <row r="22" spans="2:12" x14ac:dyDescent="0.2">
      <c r="B22" s="215">
        <f t="shared" si="2"/>
        <v>2028</v>
      </c>
      <c r="C22" s="219"/>
      <c r="D22" s="222">
        <f t="shared" si="4"/>
        <v>59.2</v>
      </c>
      <c r="E22" s="222">
        <f t="shared" si="4"/>
        <v>63.17</v>
      </c>
      <c r="F22" s="222">
        <f t="shared" si="4"/>
        <v>8.6199999999999992</v>
      </c>
      <c r="G22" s="218">
        <f t="shared" si="0"/>
        <v>88.09</v>
      </c>
      <c r="H22" s="218">
        <f t="shared" ref="H22" si="6">ROUND(D22+G22,2)</f>
        <v>147.29</v>
      </c>
      <c r="I22" s="220"/>
      <c r="J22" s="220"/>
      <c r="K22" s="221"/>
    </row>
    <row r="23" spans="2:12" ht="10.5" customHeight="1" x14ac:dyDescent="0.2">
      <c r="B23" s="223"/>
      <c r="C23" s="224"/>
      <c r="D23" s="225"/>
      <c r="E23" s="222"/>
      <c r="F23" s="222"/>
      <c r="G23" s="222"/>
      <c r="H23" s="222"/>
      <c r="I23" s="220"/>
      <c r="J23" s="220"/>
      <c r="K23" s="226"/>
    </row>
    <row r="24" spans="2:12" x14ac:dyDescent="0.2">
      <c r="B24" s="180" t="str">
        <f>B62</f>
        <v>Source: (a)(c)(d)</v>
      </c>
      <c r="C24" s="180"/>
      <c r="D24" s="180" t="str">
        <f>D62</f>
        <v>Plant Costs  - 2017 IRP - Table 6.1 &amp; 6.2</v>
      </c>
      <c r="E24" s="180"/>
      <c r="F24" s="180"/>
      <c r="G24" s="180"/>
      <c r="H24" s="180"/>
      <c r="I24" s="180"/>
      <c r="J24" s="180"/>
      <c r="K24" s="180"/>
      <c r="L24" s="180"/>
    </row>
    <row r="25" spans="2:12" x14ac:dyDescent="0.2">
      <c r="B25" s="180"/>
      <c r="C25" s="187" t="str">
        <f>D7</f>
        <v>(b)</v>
      </c>
      <c r="D25" s="188" t="str">
        <f>"= "&amp;C7&amp;" x "&amp;TEXT(C36,"0.000%")&amp;D36</f>
        <v>= (a) x 7.373%  Payment Factor</v>
      </c>
      <c r="E25" s="180"/>
      <c r="F25" s="180"/>
      <c r="G25" s="180"/>
      <c r="H25" s="180"/>
      <c r="I25" s="180"/>
      <c r="J25" s="180"/>
      <c r="K25" s="180"/>
      <c r="L25" s="180"/>
    </row>
    <row r="26" spans="2:12" x14ac:dyDescent="0.2">
      <c r="B26" s="180"/>
      <c r="C26" s="187" t="str">
        <f>G7</f>
        <v>(e)</v>
      </c>
      <c r="D26" s="188" t="str">
        <f>"= "&amp;$F$7&amp;" x  (8.76 x "&amp;TEXT(C37,"?%")&amp;" ) + "&amp;$E$7</f>
        <v>= (d) x  (8.76 x 33% ) + (c)</v>
      </c>
      <c r="E26" s="180"/>
      <c r="F26" s="180"/>
      <c r="G26" s="180"/>
      <c r="H26" s="180"/>
      <c r="I26" s="180"/>
      <c r="J26" s="180"/>
      <c r="K26" s="180"/>
      <c r="L26" s="180"/>
    </row>
    <row r="27" spans="2:12" x14ac:dyDescent="0.2">
      <c r="B27" s="180"/>
      <c r="C27" s="187" t="str">
        <f>H7</f>
        <v>(f)</v>
      </c>
      <c r="D27" s="188" t="str">
        <f>"= "&amp;D7&amp;" + "&amp;G7</f>
        <v>= (b) + (e)</v>
      </c>
      <c r="E27" s="180"/>
      <c r="F27" s="180"/>
      <c r="G27" s="180"/>
      <c r="H27" s="180"/>
      <c r="I27" s="180"/>
      <c r="J27" s="180"/>
      <c r="K27" s="180"/>
      <c r="L27" s="180"/>
    </row>
    <row r="28" spans="2:12" ht="6" customHeight="1" thickBot="1" x14ac:dyDescent="0.25">
      <c r="B28" s="180"/>
      <c r="C28" s="187"/>
      <c r="D28" s="188"/>
      <c r="E28" s="180"/>
      <c r="F28" s="180"/>
      <c r="G28" s="180"/>
      <c r="H28" s="180"/>
      <c r="I28" s="180"/>
      <c r="J28" s="180"/>
      <c r="K28" s="180"/>
      <c r="L28" s="180"/>
    </row>
    <row r="29" spans="2:12" ht="13.5" thickBot="1" x14ac:dyDescent="0.25">
      <c r="B29" s="180"/>
      <c r="C29" s="336" t="s">
        <v>152</v>
      </c>
      <c r="D29" s="100"/>
      <c r="E29" s="101"/>
      <c r="F29" s="100"/>
      <c r="G29" s="100"/>
      <c r="H29" s="100"/>
      <c r="I29" s="100"/>
      <c r="J29" s="102"/>
      <c r="K29" s="103"/>
    </row>
    <row r="30" spans="2:12" x14ac:dyDescent="0.2">
      <c r="B30" s="180"/>
      <c r="C30" s="180">
        <v>227.654578125</v>
      </c>
      <c r="D30" s="181" t="s">
        <v>86</v>
      </c>
      <c r="E30" s="180"/>
      <c r="J30" s="180"/>
      <c r="K30" s="180"/>
    </row>
    <row r="31" spans="2:12" x14ac:dyDescent="0.2">
      <c r="B31" s="180" t="s">
        <v>203</v>
      </c>
      <c r="C31" s="189">
        <v>616.13773555279954</v>
      </c>
      <c r="D31" s="181" t="s">
        <v>87</v>
      </c>
      <c r="E31" s="183"/>
      <c r="F31" s="59"/>
      <c r="G31" s="60"/>
      <c r="H31" s="180"/>
      <c r="I31" s="180"/>
      <c r="J31" s="180"/>
      <c r="K31" s="180"/>
    </row>
    <row r="32" spans="2:12" x14ac:dyDescent="0.2">
      <c r="B32" s="180"/>
      <c r="C32" s="184">
        <v>14.060233397539761</v>
      </c>
      <c r="D32" s="163" t="s">
        <v>131</v>
      </c>
      <c r="E32" s="183"/>
      <c r="F32" s="59"/>
      <c r="G32" s="60"/>
      <c r="H32" s="180"/>
      <c r="I32" s="180"/>
      <c r="J32" s="180"/>
      <c r="K32" s="180"/>
    </row>
    <row r="33" spans="2:12" x14ac:dyDescent="0.2">
      <c r="B33" s="180"/>
      <c r="C33" s="111">
        <v>34.401182255999998</v>
      </c>
      <c r="D33" s="163" t="s">
        <v>118</v>
      </c>
      <c r="E33" s="183"/>
      <c r="F33" s="59"/>
      <c r="G33" s="60"/>
      <c r="H33" s="180"/>
      <c r="I33" s="180"/>
      <c r="J33" s="180"/>
      <c r="K33" s="180"/>
    </row>
    <row r="34" spans="2:12" x14ac:dyDescent="0.2">
      <c r="B34" s="180"/>
      <c r="C34" s="184">
        <f>C32+C33</f>
        <v>48.46141565353976</v>
      </c>
      <c r="D34" s="163" t="s">
        <v>130</v>
      </c>
      <c r="E34" s="183"/>
      <c r="F34" s="59"/>
      <c r="G34" s="60"/>
      <c r="H34" s="180"/>
      <c r="I34" s="180"/>
      <c r="J34" s="180"/>
      <c r="K34" s="180"/>
    </row>
    <row r="35" spans="2:12" x14ac:dyDescent="0.2">
      <c r="B35" s="180"/>
      <c r="C35" s="184">
        <v>6.6186425054024145</v>
      </c>
      <c r="D35" s="163" t="s">
        <v>178</v>
      </c>
      <c r="E35" s="183"/>
      <c r="F35" s="59"/>
      <c r="G35" s="60"/>
      <c r="H35" s="180"/>
      <c r="I35" s="180"/>
      <c r="J35" s="180"/>
      <c r="K35" s="180"/>
    </row>
    <row r="36" spans="2:12" x14ac:dyDescent="0.2">
      <c r="B36" s="180"/>
      <c r="C36" s="185">
        <v>7.3726311796429175E-2</v>
      </c>
      <c r="D36" s="181" t="s">
        <v>88</v>
      </c>
      <c r="E36" s="180"/>
      <c r="F36" s="180"/>
      <c r="G36" s="180"/>
      <c r="H36" s="180"/>
      <c r="I36" s="180"/>
      <c r="J36" s="180"/>
      <c r="K36" s="180"/>
    </row>
    <row r="37" spans="2:12" x14ac:dyDescent="0.2">
      <c r="B37" s="180"/>
      <c r="C37" s="186">
        <v>0.33</v>
      </c>
      <c r="D37" s="181" t="s">
        <v>89</v>
      </c>
      <c r="E37" s="180"/>
      <c r="F37" s="180"/>
      <c r="G37" s="180"/>
      <c r="H37" s="180"/>
      <c r="I37" s="180"/>
      <c r="J37" s="180"/>
      <c r="K37" s="180"/>
    </row>
    <row r="38" spans="2:12" ht="13.5" customHeight="1" x14ac:dyDescent="0.2">
      <c r="B38" s="180"/>
      <c r="C38" s="192">
        <f>MIN(1,ROUND(C37/0.57,3))</f>
        <v>0.57899999999999996</v>
      </c>
      <c r="D38" s="248" t="str">
        <f>"  Capacity Factor - On-peak     "&amp;TEXT(C37,"0.0%")&amp;" / 57% (percent of hours on-peak) "</f>
        <v xml:space="preserve">  Capacity Factor - On-peak     33.0% / 57% (percent of hours on-peak) </v>
      </c>
      <c r="E38" s="227"/>
      <c r="F38" s="228"/>
      <c r="G38" s="180"/>
      <c r="H38" s="180"/>
      <c r="I38" s="180"/>
      <c r="J38" s="180"/>
      <c r="K38" s="180"/>
    </row>
    <row r="39" spans="2:12" ht="15.75" x14ac:dyDescent="0.25">
      <c r="B39" s="91" t="str">
        <f>$B$1</f>
        <v>Table 8</v>
      </c>
      <c r="C39" s="210"/>
      <c r="D39" s="210"/>
      <c r="E39" s="210"/>
      <c r="F39" s="210"/>
      <c r="G39" s="210"/>
      <c r="H39" s="210"/>
      <c r="I39" s="210"/>
      <c r="J39" s="210"/>
      <c r="K39" s="91"/>
    </row>
    <row r="40" spans="2:12" ht="15.75" x14ac:dyDescent="0.25">
      <c r="B40" s="91" t="str">
        <f>B2</f>
        <v>Total Cost of Displaceable Resources</v>
      </c>
      <c r="C40" s="91"/>
      <c r="D40" s="210"/>
      <c r="E40" s="210"/>
      <c r="F40" s="210"/>
      <c r="G40" s="210"/>
      <c r="H40" s="210"/>
      <c r="I40" s="210"/>
      <c r="J40" s="210"/>
      <c r="K40" s="210"/>
    </row>
    <row r="41" spans="2:12" ht="15.75" x14ac:dyDescent="0.25">
      <c r="B41" s="91"/>
      <c r="C41" s="210"/>
      <c r="D41" s="210"/>
      <c r="E41" s="210"/>
      <c r="F41" s="210"/>
      <c r="G41" s="210"/>
      <c r="H41" s="210"/>
      <c r="I41" s="210"/>
      <c r="J41" s="210"/>
      <c r="K41" s="211" t="s">
        <v>122</v>
      </c>
    </row>
    <row r="42" spans="2:12" ht="7.5" customHeight="1" x14ac:dyDescent="0.2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3"/>
    </row>
    <row r="43" spans="2:12" ht="51.75" customHeight="1" x14ac:dyDescent="0.2">
      <c r="B43" s="92" t="s">
        <v>3</v>
      </c>
      <c r="C43" s="93" t="s">
        <v>45</v>
      </c>
      <c r="D43" s="93" t="s">
        <v>46</v>
      </c>
      <c r="E43" s="93" t="s">
        <v>47</v>
      </c>
      <c r="F43" s="93" t="s">
        <v>48</v>
      </c>
      <c r="G43" s="93" t="s">
        <v>49</v>
      </c>
      <c r="H43" s="93" t="s">
        <v>50</v>
      </c>
      <c r="I43" s="229" t="s">
        <v>33</v>
      </c>
      <c r="J43" s="229" t="s">
        <v>123</v>
      </c>
      <c r="K43" s="230" t="s">
        <v>124</v>
      </c>
      <c r="L43" s="213"/>
    </row>
    <row r="44" spans="2:12" ht="18.75" customHeight="1" x14ac:dyDescent="0.2">
      <c r="B44" s="94"/>
      <c r="C44" s="95" t="s">
        <v>41</v>
      </c>
      <c r="D44" s="96" t="s">
        <v>42</v>
      </c>
      <c r="E44" s="96" t="s">
        <v>42</v>
      </c>
      <c r="F44" s="96" t="s">
        <v>43</v>
      </c>
      <c r="G44" s="96" t="s">
        <v>42</v>
      </c>
      <c r="H44" s="96" t="s">
        <v>42</v>
      </c>
      <c r="I44" s="231" t="s">
        <v>44</v>
      </c>
      <c r="J44" s="232" t="s">
        <v>125</v>
      </c>
      <c r="K44" s="232" t="s">
        <v>125</v>
      </c>
      <c r="L44" s="213"/>
    </row>
    <row r="45" spans="2:12" x14ac:dyDescent="0.2">
      <c r="C45" s="97" t="s">
        <v>22</v>
      </c>
      <c r="D45" s="97" t="s">
        <v>23</v>
      </c>
      <c r="E45" s="97" t="s">
        <v>24</v>
      </c>
      <c r="F45" s="97" t="s">
        <v>25</v>
      </c>
      <c r="G45" s="97" t="s">
        <v>26</v>
      </c>
      <c r="H45" s="97" t="s">
        <v>32</v>
      </c>
      <c r="I45" s="85" t="s">
        <v>38</v>
      </c>
      <c r="J45" s="85" t="s">
        <v>39</v>
      </c>
      <c r="K45" s="85" t="s">
        <v>40</v>
      </c>
    </row>
    <row r="46" spans="2:12" ht="6" customHeight="1" x14ac:dyDescent="0.2">
      <c r="I46" s="212"/>
      <c r="J46" s="212"/>
      <c r="K46" s="212"/>
    </row>
    <row r="47" spans="2:12" ht="15.75" x14ac:dyDescent="0.25">
      <c r="B47" s="98" t="str">
        <f>C70</f>
        <v>CCCT (Dry "G/H",1x1)  - West Side Options (1500')</v>
      </c>
      <c r="C47" s="213"/>
      <c r="E47" s="213"/>
      <c r="F47" s="213"/>
      <c r="G47" s="213"/>
      <c r="H47" s="213"/>
      <c r="I47" s="212"/>
      <c r="J47" s="212"/>
      <c r="K47" s="212"/>
      <c r="L47" s="213"/>
    </row>
    <row r="48" spans="2:12" x14ac:dyDescent="0.2">
      <c r="B48" s="215">
        <v>2016</v>
      </c>
      <c r="C48" s="216">
        <f>H76</f>
        <v>1363</v>
      </c>
      <c r="D48" s="217">
        <f>C48*$C$98</f>
        <v>98.903204761846837</v>
      </c>
      <c r="E48" s="233">
        <f>I76</f>
        <v>43.7</v>
      </c>
      <c r="F48" s="233">
        <f>J81</f>
        <v>2.02</v>
      </c>
      <c r="G48" s="222">
        <f t="shared" ref="G48:G59" si="7">ROUND(F48*(8.76*$G$81)+E48,2)</f>
        <v>56.14</v>
      </c>
      <c r="H48" s="222">
        <f t="shared" ref="H48:H58" si="8">ROUND(D48+G48,2)</f>
        <v>155.04</v>
      </c>
      <c r="I48" s="212"/>
      <c r="J48" s="212"/>
      <c r="K48" s="212"/>
    </row>
    <row r="49" spans="2:15" x14ac:dyDescent="0.2">
      <c r="B49" s="215">
        <f t="shared" ref="B49:B59" si="9">B48+1</f>
        <v>2017</v>
      </c>
      <c r="C49" s="219"/>
      <c r="D49" s="217">
        <f>ROUND(D48*(1+$D$106),2)</f>
        <v>100.78</v>
      </c>
      <c r="E49" s="217">
        <f>ROUND(E48*(1+$D$106),2)</f>
        <v>44.53</v>
      </c>
      <c r="F49" s="217">
        <f>ROUND(F48*(1+$D$106),2)</f>
        <v>2.06</v>
      </c>
      <c r="G49" s="218">
        <f t="shared" si="7"/>
        <v>57.22</v>
      </c>
      <c r="H49" s="222">
        <f t="shared" si="8"/>
        <v>158</v>
      </c>
      <c r="I49" s="212"/>
      <c r="J49" s="212"/>
      <c r="K49" s="212"/>
    </row>
    <row r="50" spans="2:15" s="213" customFormat="1" x14ac:dyDescent="0.2">
      <c r="B50" s="223">
        <f t="shared" si="9"/>
        <v>2018</v>
      </c>
      <c r="C50" s="224"/>
      <c r="D50" s="218">
        <f>ROUND(D49*(1+$D$107),2)</f>
        <v>102.59</v>
      </c>
      <c r="E50" s="218">
        <f>ROUND(E49*(1+$D$107),2)</f>
        <v>45.33</v>
      </c>
      <c r="F50" s="218">
        <f>ROUND(F49*(1+$D$107),2)</f>
        <v>2.1</v>
      </c>
      <c r="G50" s="222">
        <f t="shared" si="7"/>
        <v>58.26</v>
      </c>
      <c r="H50" s="218">
        <f t="shared" si="8"/>
        <v>160.85</v>
      </c>
      <c r="I50" s="212"/>
      <c r="J50" s="212"/>
      <c r="K50" s="212"/>
    </row>
    <row r="51" spans="2:15" s="213" customFormat="1" x14ac:dyDescent="0.2">
      <c r="B51" s="223">
        <f t="shared" si="9"/>
        <v>2019</v>
      </c>
      <c r="C51" s="224"/>
      <c r="D51" s="218">
        <f>ROUND(D50*(1+$D$108),2)</f>
        <v>104.95</v>
      </c>
      <c r="E51" s="218">
        <f>ROUND(E50*(1+$D$108),2)</f>
        <v>46.37</v>
      </c>
      <c r="F51" s="218">
        <f>ROUND(F50*(1+$D$108),2)</f>
        <v>2.15</v>
      </c>
      <c r="G51" s="222">
        <f t="shared" si="7"/>
        <v>59.61</v>
      </c>
      <c r="H51" s="222">
        <f t="shared" si="8"/>
        <v>164.56</v>
      </c>
      <c r="I51" s="234">
        <f>VLOOKUP(B51,'Table 9'!$B$10:$C$21,2,FALSE)</f>
        <v>2.39</v>
      </c>
      <c r="J51" s="234">
        <f t="shared" ref="J51:J59" si="10">ROUND($K$81*I51/1000,2)</f>
        <v>15.32</v>
      </c>
      <c r="K51" s="234">
        <f t="shared" ref="K51" si="11">ROUND(H51*1000/8760/$G$81+J51,2)</f>
        <v>42.04</v>
      </c>
    </row>
    <row r="52" spans="2:15" s="213" customFormat="1" x14ac:dyDescent="0.2">
      <c r="B52" s="223">
        <f t="shared" si="9"/>
        <v>2020</v>
      </c>
      <c r="C52" s="224"/>
      <c r="D52" s="218">
        <f>ROUND(D51*(1+$D$109),2)</f>
        <v>107.68</v>
      </c>
      <c r="E52" s="218">
        <f>ROUND(E51*(1+$D$109),2)</f>
        <v>47.58</v>
      </c>
      <c r="F52" s="218">
        <f>ROUND(F51*(1+$D$109),2)</f>
        <v>2.21</v>
      </c>
      <c r="G52" s="222">
        <f t="shared" si="7"/>
        <v>61.19</v>
      </c>
      <c r="H52" s="222">
        <f t="shared" si="8"/>
        <v>168.87</v>
      </c>
      <c r="I52" s="234">
        <f>VLOOKUP(B52,'Table 9'!$B$10:$C$21,2,FALSE)</f>
        <v>2.38</v>
      </c>
      <c r="J52" s="234">
        <f t="shared" si="10"/>
        <v>15.26</v>
      </c>
      <c r="K52" s="234">
        <f t="shared" ref="K52" si="12">ROUND(H52*1000/8760/$G$81+J52,2)</f>
        <v>42.68</v>
      </c>
    </row>
    <row r="53" spans="2:15" s="213" customFormat="1" x14ac:dyDescent="0.2">
      <c r="B53" s="223">
        <f t="shared" si="9"/>
        <v>2021</v>
      </c>
      <c r="C53" s="224"/>
      <c r="D53" s="218">
        <f>ROUND(D52*(1+$D$110),2)</f>
        <v>110.26</v>
      </c>
      <c r="E53" s="218">
        <f>ROUND(E52*(1+$D$110),2)</f>
        <v>48.72</v>
      </c>
      <c r="F53" s="218">
        <f>ROUND(F52*(1+$D$110),2)</f>
        <v>2.2599999999999998</v>
      </c>
      <c r="G53" s="222">
        <f t="shared" si="7"/>
        <v>62.64</v>
      </c>
      <c r="H53" s="222">
        <f t="shared" si="8"/>
        <v>172.9</v>
      </c>
      <c r="I53" s="234">
        <f>VLOOKUP(B53,'Table 9'!$B$10:$C$21,2,FALSE)</f>
        <v>2.4</v>
      </c>
      <c r="J53" s="234">
        <f t="shared" si="10"/>
        <v>15.38</v>
      </c>
      <c r="K53" s="234">
        <f t="shared" ref="K53" si="13">ROUND(H53*1000/8760/$G$81+J53,2)</f>
        <v>43.46</v>
      </c>
    </row>
    <row r="54" spans="2:15" x14ac:dyDescent="0.2">
      <c r="B54" s="215">
        <f t="shared" si="9"/>
        <v>2022</v>
      </c>
      <c r="C54" s="219"/>
      <c r="D54" s="217">
        <f>ROUND(D53*(1+$G$105),2)</f>
        <v>112.8</v>
      </c>
      <c r="E54" s="217">
        <f>ROUND(E53*(1+$G$105),2)</f>
        <v>49.84</v>
      </c>
      <c r="F54" s="217">
        <f>ROUND(F53*(1+$G$105),2)</f>
        <v>2.31</v>
      </c>
      <c r="G54" s="222">
        <f t="shared" si="7"/>
        <v>64.069999999999993</v>
      </c>
      <c r="H54" s="222">
        <f t="shared" si="8"/>
        <v>176.87</v>
      </c>
      <c r="I54" s="234">
        <f>VLOOKUP(B54,'Table 9'!$B$10:$C$21,2,FALSE)</f>
        <v>2.42</v>
      </c>
      <c r="J54" s="234">
        <f t="shared" si="10"/>
        <v>15.51</v>
      </c>
      <c r="K54" s="234">
        <f t="shared" ref="K54:K59" si="14">ROUND(H54*1000/8760/$G$81+J54,2)</f>
        <v>44.23</v>
      </c>
    </row>
    <row r="55" spans="2:15" x14ac:dyDescent="0.2">
      <c r="B55" s="215">
        <f t="shared" si="9"/>
        <v>2023</v>
      </c>
      <c r="C55" s="219"/>
      <c r="D55" s="222">
        <f>ROUND(D54*(1+$G$106),2)</f>
        <v>115.39</v>
      </c>
      <c r="E55" s="222">
        <f>ROUND(E54*(1+$G$106),2)</f>
        <v>50.99</v>
      </c>
      <c r="F55" s="222">
        <f>ROUND(F54*(1+$G$106),2)</f>
        <v>2.36</v>
      </c>
      <c r="G55" s="222">
        <f t="shared" si="7"/>
        <v>65.52</v>
      </c>
      <c r="H55" s="222">
        <f t="shared" si="8"/>
        <v>180.91</v>
      </c>
      <c r="I55" s="234">
        <f>VLOOKUP(B55,'Table 9'!$B$10:$C$21,2,FALSE)</f>
        <v>2.57</v>
      </c>
      <c r="J55" s="234">
        <f t="shared" si="10"/>
        <v>16.47</v>
      </c>
      <c r="K55" s="234">
        <f t="shared" si="14"/>
        <v>45.85</v>
      </c>
    </row>
    <row r="56" spans="2:15" x14ac:dyDescent="0.2">
      <c r="B56" s="215">
        <f t="shared" si="9"/>
        <v>2024</v>
      </c>
      <c r="C56" s="219"/>
      <c r="D56" s="222">
        <f>ROUND(D55*(1+$G$107),2)</f>
        <v>118.04</v>
      </c>
      <c r="E56" s="222">
        <f>ROUND(E55*(1+$G$107),2)</f>
        <v>52.16</v>
      </c>
      <c r="F56" s="222">
        <f>ROUND(F55*(1+$G$107),2)</f>
        <v>2.41</v>
      </c>
      <c r="G56" s="222">
        <f t="shared" si="7"/>
        <v>67</v>
      </c>
      <c r="H56" s="222">
        <f t="shared" si="8"/>
        <v>185.04</v>
      </c>
      <c r="I56" s="234">
        <f>VLOOKUP(B56,'Table 9'!$B$10:$C$21,2,FALSE)</f>
        <v>3.3</v>
      </c>
      <c r="J56" s="234">
        <f t="shared" si="10"/>
        <v>21.15</v>
      </c>
      <c r="K56" s="234">
        <f t="shared" si="14"/>
        <v>51.2</v>
      </c>
    </row>
    <row r="57" spans="2:15" x14ac:dyDescent="0.2">
      <c r="B57" s="215">
        <f t="shared" si="9"/>
        <v>2025</v>
      </c>
      <c r="C57" s="219"/>
      <c r="D57" s="222">
        <f>ROUND(D56*(1+$G$108),2)</f>
        <v>120.75</v>
      </c>
      <c r="E57" s="222">
        <f>ROUND(E56*(1+$G$108),2)</f>
        <v>53.36</v>
      </c>
      <c r="F57" s="222">
        <f>ROUND(F56*(1+$G$108),2)</f>
        <v>2.4700000000000002</v>
      </c>
      <c r="G57" s="222">
        <f t="shared" si="7"/>
        <v>68.569999999999993</v>
      </c>
      <c r="H57" s="222">
        <f t="shared" si="8"/>
        <v>189.32</v>
      </c>
      <c r="I57" s="234">
        <f>VLOOKUP(B57,'Table 9'!$B$10:$C$21,2,FALSE)</f>
        <v>3.89</v>
      </c>
      <c r="J57" s="234">
        <f t="shared" si="10"/>
        <v>24.93</v>
      </c>
      <c r="K57" s="234">
        <f t="shared" si="14"/>
        <v>55.67</v>
      </c>
    </row>
    <row r="58" spans="2:15" x14ac:dyDescent="0.2">
      <c r="B58" s="215">
        <f t="shared" si="9"/>
        <v>2026</v>
      </c>
      <c r="C58" s="219"/>
      <c r="D58" s="222">
        <f>ROUND(D57*(1+$G$109),2)</f>
        <v>123.41</v>
      </c>
      <c r="E58" s="222">
        <f>ROUND(E57*(1+$G$109),2)</f>
        <v>54.53</v>
      </c>
      <c r="F58" s="222">
        <f>ROUND(F57*(1+$G$109),2)</f>
        <v>2.52</v>
      </c>
      <c r="G58" s="222">
        <f t="shared" si="7"/>
        <v>70.05</v>
      </c>
      <c r="H58" s="222">
        <f t="shared" si="8"/>
        <v>193.46</v>
      </c>
      <c r="I58" s="234">
        <f>VLOOKUP(B58,'Table 9'!$B$10:$C$21,2,FALSE)</f>
        <v>3.88</v>
      </c>
      <c r="J58" s="234">
        <f t="shared" si="10"/>
        <v>24.87</v>
      </c>
      <c r="K58" s="234">
        <f t="shared" si="14"/>
        <v>56.28</v>
      </c>
    </row>
    <row r="59" spans="2:15" x14ac:dyDescent="0.2">
      <c r="B59" s="215">
        <f t="shared" si="9"/>
        <v>2027</v>
      </c>
      <c r="C59" s="219"/>
      <c r="D59" s="222">
        <f>ROUND(D58*(1+$G$110),2)</f>
        <v>126.13</v>
      </c>
      <c r="E59" s="222">
        <f>ROUND(E58*(1+$G$110),2)</f>
        <v>55.73</v>
      </c>
      <c r="F59" s="222">
        <f>ROUND(F58*(1+$G$110),2)</f>
        <v>2.58</v>
      </c>
      <c r="G59" s="222">
        <f t="shared" si="7"/>
        <v>71.62</v>
      </c>
      <c r="H59" s="222">
        <f t="shared" ref="H59" si="15">ROUND(D59+G59,2)</f>
        <v>197.75</v>
      </c>
      <c r="I59" s="234">
        <f>VLOOKUP(B59,'Table 9'!$B$10:$C$21,2,FALSE)</f>
        <v>4.0199999999999996</v>
      </c>
      <c r="J59" s="234">
        <f t="shared" si="10"/>
        <v>25.77</v>
      </c>
      <c r="K59" s="234">
        <f t="shared" si="14"/>
        <v>57.88</v>
      </c>
    </row>
    <row r="60" spans="2:15" x14ac:dyDescent="0.2">
      <c r="B60" s="215"/>
      <c r="C60" s="219"/>
      <c r="D60" s="222"/>
      <c r="E60" s="222"/>
      <c r="F60" s="222"/>
      <c r="G60" s="222"/>
      <c r="H60" s="222"/>
      <c r="I60" s="234"/>
      <c r="J60" s="234"/>
      <c r="K60" s="234"/>
    </row>
    <row r="61" spans="2:15" x14ac:dyDescent="0.2">
      <c r="M61" s="215"/>
      <c r="O61" s="235"/>
    </row>
    <row r="62" spans="2:15" x14ac:dyDescent="0.2">
      <c r="B62" s="163" t="s">
        <v>65</v>
      </c>
      <c r="C62" s="163"/>
      <c r="D62" s="180" t="s">
        <v>199</v>
      </c>
      <c r="E62" s="163"/>
      <c r="F62" s="163"/>
      <c r="G62" s="163"/>
      <c r="H62" s="163"/>
      <c r="I62" s="163"/>
    </row>
    <row r="63" spans="2:15" x14ac:dyDescent="0.2">
      <c r="C63" s="236" t="str">
        <f>D45</f>
        <v>(b)</v>
      </c>
      <c r="D63" s="222" t="str">
        <f>"= "&amp;C45&amp;" x "&amp;TEXT(C98,"0.000%")&amp;E98</f>
        <v>= (a) x 7.256%  Payment Factor</v>
      </c>
    </row>
    <row r="64" spans="2:15" x14ac:dyDescent="0.2">
      <c r="C64" s="236" t="str">
        <f>G45</f>
        <v>(e)</v>
      </c>
      <c r="D64" s="222" t="str">
        <f>"= "&amp;$F$45&amp;" x  (8.76 x "&amp;TEXT(G81,"0.0%")&amp;") + "&amp;$E$45</f>
        <v>= (d) x  (8.76 x 70.3%) + (c)</v>
      </c>
    </row>
    <row r="65" spans="3:11" x14ac:dyDescent="0.2">
      <c r="C65" s="236" t="str">
        <f>H45</f>
        <v>(f)</v>
      </c>
      <c r="D65" s="222" t="str">
        <f>"= "&amp;D45&amp;" + "&amp;G45</f>
        <v>= (b) + (e)</v>
      </c>
    </row>
    <row r="66" spans="3:11" x14ac:dyDescent="0.2">
      <c r="C66" s="236" t="str">
        <f>I45</f>
        <v>(g)</v>
      </c>
      <c r="D66" s="237" t="str">
        <f>'Table 9'!B1&amp;" - Column  "&amp;'Table 9'!C8</f>
        <v>Table 9 - Column  (a)</v>
      </c>
    </row>
    <row r="67" spans="3:11" x14ac:dyDescent="0.2">
      <c r="C67" s="236" t="str">
        <f>J45</f>
        <v>(h)</v>
      </c>
      <c r="D67" s="222" t="str">
        <f>"= "&amp;TEXT(K81,"?,0")&amp;" MMBtu/MWH x "&amp;I45</f>
        <v>= 6,410 MMBtu/MWH x (g)</v>
      </c>
    </row>
    <row r="68" spans="3:11" x14ac:dyDescent="0.2">
      <c r="C68" s="236" t="str">
        <f>K45</f>
        <v>(i)</v>
      </c>
      <c r="D68" s="238" t="str">
        <f>"= "&amp;H45&amp;" / (8.76 x "&amp;TEXT(G81,"0.0%")&amp;" + "&amp;J45</f>
        <v>= (f) / (8.76 x 70.3% + (h)</v>
      </c>
    </row>
    <row r="69" spans="3:11" ht="13.5" thickBot="1" x14ac:dyDescent="0.25"/>
    <row r="70" spans="3:11" ht="13.5" thickBot="1" x14ac:dyDescent="0.25">
      <c r="C70" s="99" t="s">
        <v>200</v>
      </c>
      <c r="D70" s="239"/>
      <c r="E70" s="239"/>
      <c r="F70" s="239"/>
      <c r="G70" s="239"/>
      <c r="H70" s="239"/>
      <c r="I70" s="239"/>
      <c r="J70" s="240"/>
      <c r="K70" s="241"/>
    </row>
    <row r="71" spans="3:11" ht="5.25" customHeight="1" x14ac:dyDescent="0.2"/>
    <row r="72" spans="3:11" ht="5.25" customHeight="1" x14ac:dyDescent="0.2"/>
    <row r="73" spans="3:11" x14ac:dyDescent="0.2">
      <c r="C73" s="106" t="s">
        <v>79</v>
      </c>
      <c r="D73" s="107"/>
      <c r="E73" s="106"/>
      <c r="F73" s="108" t="s">
        <v>76</v>
      </c>
      <c r="G73" s="108" t="s">
        <v>78</v>
      </c>
      <c r="H73" s="108" t="s">
        <v>73</v>
      </c>
      <c r="I73" s="108" t="s">
        <v>74</v>
      </c>
    </row>
    <row r="74" spans="3:11" x14ac:dyDescent="0.2">
      <c r="C74" s="181" t="s">
        <v>201</v>
      </c>
      <c r="F74" s="209">
        <f>C91</f>
        <v>385.35346874999999</v>
      </c>
      <c r="G74" s="191">
        <f>F74/F76</f>
        <v>0.88311475045887722</v>
      </c>
      <c r="H74" s="189">
        <f>C92</f>
        <v>1484.338135058779</v>
      </c>
      <c r="I74" s="184">
        <f>C95</f>
        <v>44.501635407885907</v>
      </c>
    </row>
    <row r="75" spans="3:11" x14ac:dyDescent="0.2">
      <c r="C75" s="181" t="s">
        <v>202</v>
      </c>
      <c r="F75" s="109">
        <f>D91</f>
        <v>51.003718749999997</v>
      </c>
      <c r="G75" s="58">
        <f>1-G74</f>
        <v>0.11688524954112278</v>
      </c>
      <c r="H75" s="110">
        <f>D92</f>
        <v>443.00439708045104</v>
      </c>
      <c r="I75" s="111">
        <f>D95</f>
        <v>37.670659567999998</v>
      </c>
    </row>
    <row r="76" spans="3:11" x14ac:dyDescent="0.2">
      <c r="C76" s="181" t="s">
        <v>80</v>
      </c>
      <c r="F76" s="209">
        <f>F74+F75</f>
        <v>436.35718750000001</v>
      </c>
      <c r="G76" s="191">
        <f>G74+G75</f>
        <v>1</v>
      </c>
      <c r="H76" s="189">
        <f>ROUND(((F74*H74)+(F75*H75))/F76,0)</f>
        <v>1363</v>
      </c>
      <c r="I76" s="184">
        <f>ROUND(((F74*I74)+(F75*I75))/F76,2)</f>
        <v>43.7</v>
      </c>
    </row>
    <row r="77" spans="3:11" x14ac:dyDescent="0.2">
      <c r="F77" s="209"/>
      <c r="G77" s="191"/>
      <c r="H77" s="189"/>
      <c r="I77" s="184"/>
    </row>
    <row r="78" spans="3:11" x14ac:dyDescent="0.2">
      <c r="C78" s="106" t="s">
        <v>79</v>
      </c>
      <c r="D78" s="107"/>
      <c r="E78" s="106"/>
      <c r="F78" s="108" t="s">
        <v>76</v>
      </c>
      <c r="G78" s="108" t="s">
        <v>81</v>
      </c>
      <c r="H78" s="108" t="s">
        <v>66</v>
      </c>
      <c r="I78" s="108" t="s">
        <v>78</v>
      </c>
      <c r="J78" s="108" t="s">
        <v>91</v>
      </c>
      <c r="K78" s="108" t="s">
        <v>75</v>
      </c>
    </row>
    <row r="79" spans="3:11" x14ac:dyDescent="0.2">
      <c r="C79" s="242" t="str">
        <f>C74</f>
        <v>CCCT (Dry "G/H",1x1)</v>
      </c>
      <c r="D79" s="242"/>
      <c r="E79" s="242"/>
      <c r="F79" s="181">
        <f>C91</f>
        <v>385.35346874999999</v>
      </c>
      <c r="G79" s="191">
        <f>C99</f>
        <v>0.78</v>
      </c>
      <c r="H79" s="181">
        <f>G79*F79</f>
        <v>300.57570562500001</v>
      </c>
      <c r="I79" s="191">
        <f>H79/H81</f>
        <v>0.98004394182130306</v>
      </c>
      <c r="J79" s="184">
        <f>C96</f>
        <v>2.0592662948867351</v>
      </c>
      <c r="K79" s="243">
        <f>C97</f>
        <v>6362</v>
      </c>
    </row>
    <row r="80" spans="3:11" x14ac:dyDescent="0.2">
      <c r="C80" s="242" t="str">
        <f>C75</f>
        <v>CCCT Duct Firing (Dry "G/H",1x1)</v>
      </c>
      <c r="D80" s="242"/>
      <c r="E80" s="242"/>
      <c r="F80" s="112">
        <f>D91</f>
        <v>51.003718749999997</v>
      </c>
      <c r="G80" s="58">
        <f>D99</f>
        <v>0.12</v>
      </c>
      <c r="H80" s="112">
        <f>G80*F80</f>
        <v>6.1204462499999996</v>
      </c>
      <c r="I80" s="58">
        <f>1-I79</f>
        <v>1.9956058178696945E-2</v>
      </c>
      <c r="J80" s="244">
        <f>D96</f>
        <v>0.15</v>
      </c>
      <c r="K80" s="205">
        <f>D97</f>
        <v>9012</v>
      </c>
    </row>
    <row r="81" spans="2:15" x14ac:dyDescent="0.2">
      <c r="C81" s="181" t="s">
        <v>82</v>
      </c>
      <c r="F81" s="181">
        <f>F79+F80</f>
        <v>436.35718750000001</v>
      </c>
      <c r="G81" s="245">
        <f>ROUND(H81/F81,3)</f>
        <v>0.70299999999999996</v>
      </c>
      <c r="H81" s="181">
        <f>SUM(H79:H80)</f>
        <v>306.696151875</v>
      </c>
      <c r="I81" s="191">
        <f>I79+I80</f>
        <v>1</v>
      </c>
      <c r="J81" s="184">
        <f>ROUND(($I79*J79)+($I80*J80),2)</f>
        <v>2.02</v>
      </c>
      <c r="K81" s="209">
        <f>ROUND(($I79*K79)+($I80*K80),-1)</f>
        <v>6410</v>
      </c>
    </row>
    <row r="82" spans="2:15" x14ac:dyDescent="0.2">
      <c r="G82" s="245"/>
      <c r="I82" s="191"/>
      <c r="J82" s="184"/>
      <c r="K82" s="113" t="s">
        <v>92</v>
      </c>
    </row>
    <row r="83" spans="2:15" ht="15.75" x14ac:dyDescent="0.25">
      <c r="B83" s="91" t="str">
        <f>$B$39</f>
        <v>Table 8</v>
      </c>
      <c r="C83" s="210"/>
      <c r="D83" s="210"/>
      <c r="E83" s="210"/>
      <c r="F83" s="210"/>
      <c r="G83" s="210"/>
      <c r="H83" s="210"/>
      <c r="I83" s="210"/>
      <c r="J83" s="210"/>
      <c r="K83" s="91"/>
      <c r="M83" s="215"/>
      <c r="N83" s="235"/>
      <c r="O83" s="235"/>
    </row>
    <row r="84" spans="2:15" ht="15.75" x14ac:dyDescent="0.25">
      <c r="B84" s="91" t="str">
        <f>B2</f>
        <v>Total Cost of Displaceable Resources</v>
      </c>
      <c r="C84" s="104"/>
      <c r="D84" s="210"/>
      <c r="E84" s="210"/>
      <c r="F84" s="210"/>
      <c r="G84" s="210"/>
      <c r="H84" s="210"/>
      <c r="I84" s="210"/>
      <c r="J84" s="210"/>
      <c r="K84" s="210"/>
      <c r="M84" s="215"/>
      <c r="N84" s="235"/>
      <c r="O84" s="235"/>
    </row>
    <row r="85" spans="2:15" ht="15.75" x14ac:dyDescent="0.25">
      <c r="B85" s="91"/>
      <c r="C85" s="210"/>
      <c r="D85" s="210"/>
      <c r="E85" s="210"/>
      <c r="F85" s="210"/>
      <c r="G85" s="210"/>
      <c r="H85" s="210"/>
      <c r="I85" s="210"/>
      <c r="J85" s="210"/>
      <c r="K85" s="211" t="s">
        <v>126</v>
      </c>
      <c r="M85" s="215"/>
      <c r="N85" s="235"/>
      <c r="O85" s="235"/>
    </row>
    <row r="86" spans="2:15" ht="5.25" customHeight="1" x14ac:dyDescent="0.2"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3"/>
      <c r="M86" s="215"/>
      <c r="N86" s="235"/>
      <c r="O86" s="235"/>
    </row>
    <row r="87" spans="2:15" ht="14.25" x14ac:dyDescent="0.2">
      <c r="B87" s="104" t="s">
        <v>90</v>
      </c>
      <c r="C87" s="105"/>
      <c r="D87" s="105"/>
      <c r="E87" s="105"/>
      <c r="F87" s="105"/>
      <c r="G87" s="105"/>
      <c r="H87" s="105"/>
      <c r="I87" s="105"/>
      <c r="J87" s="105"/>
      <c r="K87" s="105"/>
      <c r="M87" s="215"/>
      <c r="N87" s="235"/>
      <c r="O87" s="235"/>
    </row>
    <row r="90" spans="2:15" x14ac:dyDescent="0.2">
      <c r="C90" s="131" t="s">
        <v>93</v>
      </c>
      <c r="D90" s="131" t="s">
        <v>94</v>
      </c>
      <c r="E90" s="114" t="str">
        <f>D62</f>
        <v>Plant Costs  - 2017 IRP - Table 6.1 &amp; 6.2</v>
      </c>
      <c r="F90" s="246"/>
      <c r="G90" s="246"/>
      <c r="H90" s="246"/>
      <c r="I90" s="246"/>
      <c r="J90" s="246"/>
      <c r="K90" s="247"/>
    </row>
    <row r="91" spans="2:15" x14ac:dyDescent="0.2">
      <c r="C91" s="163">
        <v>385.35346874999999</v>
      </c>
      <c r="D91" s="163">
        <v>51.003718749999997</v>
      </c>
      <c r="E91" s="163" t="s">
        <v>86</v>
      </c>
      <c r="F91" s="163"/>
      <c r="G91" s="163"/>
      <c r="H91" s="182"/>
      <c r="I91" s="163"/>
      <c r="J91" s="163"/>
      <c r="K91" s="163"/>
    </row>
    <row r="92" spans="2:15" x14ac:dyDescent="0.2">
      <c r="B92" s="181" t="s">
        <v>203</v>
      </c>
      <c r="C92" s="189">
        <v>1484.338135058779</v>
      </c>
      <c r="D92" s="189">
        <v>443.00439708045104</v>
      </c>
      <c r="E92" s="163" t="s">
        <v>117</v>
      </c>
      <c r="F92" s="163"/>
      <c r="G92" s="163"/>
      <c r="H92" s="163"/>
      <c r="I92" s="163"/>
      <c r="J92" s="163"/>
      <c r="K92" s="163"/>
    </row>
    <row r="93" spans="2:15" x14ac:dyDescent="0.2">
      <c r="B93" s="181" t="s">
        <v>203</v>
      </c>
      <c r="C93" s="184">
        <v>21.713180439885903</v>
      </c>
      <c r="D93" s="184">
        <v>5.39</v>
      </c>
      <c r="E93" s="163" t="s">
        <v>131</v>
      </c>
      <c r="F93" s="163"/>
      <c r="G93" s="163"/>
      <c r="H93" s="163"/>
      <c r="I93" s="163"/>
      <c r="J93" s="163"/>
      <c r="K93" s="163"/>
    </row>
    <row r="94" spans="2:15" x14ac:dyDescent="0.2">
      <c r="B94" s="181" t="s">
        <v>203</v>
      </c>
      <c r="C94" s="111">
        <v>22.788454968000003</v>
      </c>
      <c r="D94" s="111">
        <v>32.280659567999997</v>
      </c>
      <c r="E94" s="163" t="s">
        <v>118</v>
      </c>
      <c r="F94" s="163"/>
      <c r="G94" s="163"/>
      <c r="H94" s="163"/>
      <c r="I94" s="163"/>
      <c r="J94" s="163"/>
      <c r="K94" s="163"/>
    </row>
    <row r="95" spans="2:15" x14ac:dyDescent="0.2">
      <c r="B95" s="181" t="s">
        <v>203</v>
      </c>
      <c r="C95" s="184">
        <f>C93+C94</f>
        <v>44.501635407885907</v>
      </c>
      <c r="D95" s="184">
        <f>D93+D94</f>
        <v>37.670659567999998</v>
      </c>
      <c r="E95" s="163" t="s">
        <v>116</v>
      </c>
      <c r="F95" s="163"/>
      <c r="G95" s="163"/>
      <c r="H95" s="163"/>
      <c r="I95" s="163"/>
      <c r="J95" s="163"/>
      <c r="K95" s="163"/>
    </row>
    <row r="96" spans="2:15" x14ac:dyDescent="0.2">
      <c r="B96" s="181" t="s">
        <v>203</v>
      </c>
      <c r="C96" s="287">
        <v>2.0592662948867351</v>
      </c>
      <c r="D96" s="287">
        <v>0.15</v>
      </c>
      <c r="E96" s="163" t="s">
        <v>132</v>
      </c>
      <c r="F96" s="163"/>
      <c r="G96" s="163"/>
      <c r="H96" s="163"/>
      <c r="I96" s="163"/>
      <c r="J96" s="163"/>
      <c r="K96" s="163"/>
    </row>
    <row r="97" spans="3:15" x14ac:dyDescent="0.2">
      <c r="C97" s="288">
        <v>6362</v>
      </c>
      <c r="D97" s="288">
        <v>9012</v>
      </c>
      <c r="E97" s="163" t="s">
        <v>119</v>
      </c>
      <c r="F97" s="163"/>
      <c r="G97" s="163"/>
      <c r="H97" s="163"/>
      <c r="I97" s="163"/>
      <c r="J97" s="163"/>
      <c r="K97" s="163"/>
    </row>
    <row r="98" spans="3:15" x14ac:dyDescent="0.2">
      <c r="C98" s="266">
        <v>7.2562879502455491E-2</v>
      </c>
      <c r="D98" s="266">
        <v>7.2562879502455491E-2</v>
      </c>
      <c r="E98" s="163" t="s">
        <v>88</v>
      </c>
      <c r="F98" s="163"/>
      <c r="G98" s="163"/>
      <c r="H98" s="163"/>
      <c r="I98" s="163"/>
      <c r="J98" s="163"/>
      <c r="K98" s="163"/>
    </row>
    <row r="99" spans="3:15" x14ac:dyDescent="0.2">
      <c r="C99" s="190">
        <v>0.78</v>
      </c>
      <c r="D99" s="190">
        <v>0.12</v>
      </c>
      <c r="E99" s="163" t="s">
        <v>89</v>
      </c>
      <c r="F99" s="163"/>
      <c r="G99" s="163"/>
      <c r="H99" s="163"/>
      <c r="I99" s="163"/>
      <c r="J99" s="163"/>
      <c r="K99" s="163"/>
    </row>
    <row r="100" spans="3:15" x14ac:dyDescent="0.2">
      <c r="C100" s="163"/>
      <c r="D100" s="191">
        <f>ROUND(H81/F81,3)</f>
        <v>0.70299999999999996</v>
      </c>
      <c r="E100" s="163" t="s">
        <v>114</v>
      </c>
      <c r="F100" s="163"/>
      <c r="G100" s="163"/>
      <c r="H100" s="163"/>
      <c r="I100" s="163"/>
      <c r="J100" s="163"/>
      <c r="K100" s="163"/>
    </row>
    <row r="101" spans="3:15" x14ac:dyDescent="0.2">
      <c r="C101" s="163"/>
      <c r="D101" s="192">
        <f>MIN(1,ROUND(D100/0.57,3))</f>
        <v>1</v>
      </c>
      <c r="E101" s="248" t="str">
        <f>"  Capacity Factor - On-peak     "&amp;TEXT(D100,"0.0%")&amp;" / 57% (percent of hours on-peak) "</f>
        <v xml:space="preserve">  Capacity Factor - On-peak     70.3% / 57% (percent of hours on-peak) </v>
      </c>
      <c r="F101" s="163"/>
      <c r="G101" s="163"/>
      <c r="H101" s="163"/>
      <c r="I101" s="163"/>
      <c r="J101" s="163"/>
      <c r="K101" s="163"/>
    </row>
    <row r="102" spans="3:15" hidden="1" x14ac:dyDescent="0.2">
      <c r="C102" s="186"/>
      <c r="D102" s="186"/>
    </row>
    <row r="103" spans="3:15" ht="13.5" thickBot="1" x14ac:dyDescent="0.25"/>
    <row r="104" spans="3:15" ht="13.5" thickBot="1" x14ac:dyDescent="0.25">
      <c r="C104" s="249" t="s">
        <v>205</v>
      </c>
      <c r="D104" s="239"/>
      <c r="E104" s="239"/>
      <c r="F104" s="239"/>
      <c r="G104" s="239"/>
      <c r="H104" s="239"/>
      <c r="I104" s="239"/>
      <c r="J104" s="240"/>
      <c r="K104" s="241"/>
      <c r="N104" s="181" t="s">
        <v>127</v>
      </c>
    </row>
    <row r="105" spans="3:15" x14ac:dyDescent="0.2">
      <c r="C105" s="250">
        <v>2016</v>
      </c>
      <c r="D105" s="191">
        <v>1.2999999999999999E-2</v>
      </c>
      <c r="E105" s="163"/>
      <c r="F105" s="250">
        <v>2022</v>
      </c>
      <c r="G105" s="191">
        <v>2.3E-2</v>
      </c>
      <c r="H105" s="163"/>
      <c r="I105" s="250"/>
      <c r="J105" s="191"/>
      <c r="K105" s="163"/>
      <c r="N105" s="250">
        <v>2009</v>
      </c>
      <c r="O105" s="191">
        <v>4.0000000000000001E-3</v>
      </c>
    </row>
    <row r="106" spans="3:15" x14ac:dyDescent="0.2">
      <c r="C106" s="250">
        <f>C105+1</f>
        <v>2017</v>
      </c>
      <c r="D106" s="191">
        <v>1.9E-2</v>
      </c>
      <c r="E106" s="163"/>
      <c r="F106" s="250">
        <f>F105+1</f>
        <v>2023</v>
      </c>
      <c r="G106" s="191">
        <v>2.3E-2</v>
      </c>
      <c r="H106" s="163"/>
      <c r="I106" s="250"/>
      <c r="J106" s="191"/>
      <c r="K106" s="163"/>
      <c r="N106" s="250">
        <f t="shared" ref="N106:N121" si="16">N105+1</f>
        <v>2010</v>
      </c>
      <c r="O106" s="191">
        <v>1.2999999999999999E-2</v>
      </c>
    </row>
    <row r="107" spans="3:15" x14ac:dyDescent="0.2">
      <c r="C107" s="250">
        <f t="shared" ref="C107:C110" si="17">C106+1</f>
        <v>2018</v>
      </c>
      <c r="D107" s="191">
        <v>1.7999999999999999E-2</v>
      </c>
      <c r="E107" s="163"/>
      <c r="F107" s="250">
        <f t="shared" ref="F107:F111" si="18">F106+1</f>
        <v>2024</v>
      </c>
      <c r="G107" s="191">
        <v>2.3E-2</v>
      </c>
      <c r="H107" s="163"/>
      <c r="I107" s="250"/>
      <c r="J107" s="191"/>
      <c r="K107" s="163"/>
      <c r="N107" s="250">
        <f t="shared" si="16"/>
        <v>2011</v>
      </c>
      <c r="O107" s="191">
        <v>1.7000000000000001E-2</v>
      </c>
    </row>
    <row r="108" spans="3:15" x14ac:dyDescent="0.2">
      <c r="C108" s="250">
        <f t="shared" si="17"/>
        <v>2019</v>
      </c>
      <c r="D108" s="191">
        <v>2.3E-2</v>
      </c>
      <c r="E108" s="163"/>
      <c r="F108" s="250">
        <f t="shared" si="18"/>
        <v>2025</v>
      </c>
      <c r="G108" s="191">
        <v>2.3E-2</v>
      </c>
      <c r="H108" s="163"/>
      <c r="I108" s="250"/>
      <c r="J108" s="191"/>
      <c r="K108" s="163"/>
      <c r="N108" s="250">
        <f t="shared" si="16"/>
        <v>2012</v>
      </c>
      <c r="O108" s="191">
        <v>0.02</v>
      </c>
    </row>
    <row r="109" spans="3:15" x14ac:dyDescent="0.2">
      <c r="C109" s="250">
        <f t="shared" si="17"/>
        <v>2020</v>
      </c>
      <c r="D109" s="191">
        <v>2.5999999999999999E-2</v>
      </c>
      <c r="E109" s="163"/>
      <c r="F109" s="250">
        <f t="shared" si="18"/>
        <v>2026</v>
      </c>
      <c r="G109" s="191">
        <v>2.1999999999999999E-2</v>
      </c>
      <c r="H109" s="163"/>
      <c r="I109" s="250"/>
      <c r="J109" s="191"/>
      <c r="K109" s="163"/>
      <c r="N109" s="250">
        <f t="shared" si="16"/>
        <v>2013</v>
      </c>
      <c r="O109" s="191">
        <v>0.02</v>
      </c>
    </row>
    <row r="110" spans="3:15" x14ac:dyDescent="0.2">
      <c r="C110" s="250">
        <f t="shared" si="17"/>
        <v>2021</v>
      </c>
      <c r="D110" s="191">
        <v>2.4E-2</v>
      </c>
      <c r="E110" s="163"/>
      <c r="F110" s="250">
        <f t="shared" si="18"/>
        <v>2027</v>
      </c>
      <c r="G110" s="191">
        <v>2.1999999999999999E-2</v>
      </c>
      <c r="H110" s="163"/>
      <c r="I110" s="250"/>
      <c r="J110" s="191"/>
      <c r="K110" s="163"/>
      <c r="N110" s="250">
        <f t="shared" si="16"/>
        <v>2014</v>
      </c>
      <c r="O110" s="191">
        <v>1.9E-2</v>
      </c>
    </row>
    <row r="111" spans="3:15" s="213" customFormat="1" x14ac:dyDescent="0.2">
      <c r="E111" s="251"/>
      <c r="F111" s="250">
        <f t="shared" si="18"/>
        <v>2028</v>
      </c>
      <c r="G111" s="191">
        <v>2.1999999999999999E-2</v>
      </c>
      <c r="H111" s="251"/>
      <c r="I111" s="250"/>
      <c r="J111" s="191"/>
      <c r="K111" s="251"/>
      <c r="N111" s="250">
        <f t="shared" si="16"/>
        <v>2015</v>
      </c>
      <c r="O111" s="191">
        <v>1.9E-2</v>
      </c>
    </row>
    <row r="112" spans="3:15" s="213" customFormat="1" x14ac:dyDescent="0.2">
      <c r="E112" s="251"/>
      <c r="F112" s="250"/>
      <c r="G112" s="191"/>
      <c r="H112" s="251"/>
      <c r="I112" s="250"/>
      <c r="J112" s="191"/>
      <c r="K112" s="251"/>
      <c r="N112" s="250">
        <f t="shared" si="16"/>
        <v>2016</v>
      </c>
      <c r="O112" s="191">
        <v>1.9E-2</v>
      </c>
    </row>
    <row r="113" spans="3:15" s="213" customFormat="1" x14ac:dyDescent="0.2">
      <c r="E113" s="251"/>
      <c r="F113" s="250"/>
      <c r="G113" s="191"/>
      <c r="H113" s="251"/>
      <c r="I113" s="250"/>
      <c r="J113" s="191"/>
      <c r="K113" s="251"/>
      <c r="N113" s="250">
        <f t="shared" si="16"/>
        <v>2017</v>
      </c>
      <c r="O113" s="191">
        <v>1.9E-2</v>
      </c>
    </row>
    <row r="114" spans="3:15" s="213" customFormat="1" x14ac:dyDescent="0.2">
      <c r="C114" s="252"/>
      <c r="D114" s="253"/>
      <c r="N114" s="250">
        <f t="shared" si="16"/>
        <v>2018</v>
      </c>
      <c r="O114" s="191">
        <v>1.9E-2</v>
      </c>
    </row>
    <row r="115" spans="3:15" s="213" customFormat="1" x14ac:dyDescent="0.2">
      <c r="C115" s="252"/>
      <c r="D115" s="253"/>
      <c r="N115" s="250">
        <f t="shared" si="16"/>
        <v>2019</v>
      </c>
      <c r="O115" s="191">
        <v>1.7999999999999999E-2</v>
      </c>
    </row>
    <row r="116" spans="3:15" x14ac:dyDescent="0.2">
      <c r="C116" s="252"/>
      <c r="D116" s="253"/>
      <c r="N116" s="250">
        <f t="shared" si="16"/>
        <v>2020</v>
      </c>
      <c r="O116" s="191">
        <v>1.7000000000000001E-2</v>
      </c>
    </row>
    <row r="117" spans="3:15" x14ac:dyDescent="0.2">
      <c r="C117" s="252"/>
      <c r="D117" s="253"/>
      <c r="N117" s="250">
        <f t="shared" si="16"/>
        <v>2021</v>
      </c>
      <c r="O117" s="191">
        <v>1.6E-2</v>
      </c>
    </row>
    <row r="118" spans="3:15" x14ac:dyDescent="0.2">
      <c r="C118" s="252"/>
      <c r="D118" s="253"/>
      <c r="N118" s="250">
        <f t="shared" si="16"/>
        <v>2022</v>
      </c>
      <c r="O118" s="191">
        <v>1.6E-2</v>
      </c>
    </row>
    <row r="119" spans="3:15" x14ac:dyDescent="0.2">
      <c r="C119" s="252"/>
      <c r="D119" s="253"/>
      <c r="N119" s="250">
        <f t="shared" si="16"/>
        <v>2023</v>
      </c>
      <c r="O119" s="191">
        <v>1.6E-2</v>
      </c>
    </row>
    <row r="120" spans="3:15" x14ac:dyDescent="0.2">
      <c r="C120" s="252"/>
      <c r="D120" s="253"/>
      <c r="N120" s="250">
        <f t="shared" si="16"/>
        <v>2024</v>
      </c>
      <c r="O120" s="191">
        <v>1.7000000000000001E-2</v>
      </c>
    </row>
    <row r="121" spans="3:15" x14ac:dyDescent="0.2">
      <c r="C121" s="252"/>
      <c r="D121" s="253"/>
      <c r="N121" s="250">
        <f t="shared" si="16"/>
        <v>2025</v>
      </c>
      <c r="O121" s="191">
        <v>1.7000000000000001E-2</v>
      </c>
    </row>
  </sheetData>
  <phoneticPr fontId="7" type="noConversion"/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  <rowBreaks count="2" manualBreakCount="2">
    <brk id="38" max="16383" man="1"/>
    <brk id="82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E26"/>
  <sheetViews>
    <sheetView zoomScaleNormal="100" workbookViewId="0">
      <selection activeCell="C11" sqref="C11"/>
    </sheetView>
  </sheetViews>
  <sheetFormatPr defaultColWidth="9.33203125" defaultRowHeight="12.75" x14ac:dyDescent="0.2"/>
  <cols>
    <col min="1" max="1" width="2.33203125" style="135" customWidth="1"/>
    <col min="2" max="3" width="31.5" style="135" customWidth="1"/>
    <col min="4" max="4" width="9.33203125" style="135"/>
    <col min="5" max="5" width="9.33203125" style="275"/>
    <col min="6" max="16384" width="9.33203125" style="135"/>
  </cols>
  <sheetData>
    <row r="1" spans="2:5" s="133" customFormat="1" ht="15.75" x14ac:dyDescent="0.25">
      <c r="B1" s="91" t="s">
        <v>95</v>
      </c>
      <c r="C1" s="104"/>
      <c r="E1" s="273"/>
    </row>
    <row r="2" spans="2:5" s="133" customFormat="1" ht="15.75" x14ac:dyDescent="0.25">
      <c r="B2" s="91" t="s">
        <v>109</v>
      </c>
      <c r="C2" s="104"/>
      <c r="E2" s="273"/>
    </row>
    <row r="3" spans="2:5" s="133" customFormat="1" ht="15.75" x14ac:dyDescent="0.25">
      <c r="B3" s="91" t="s">
        <v>44</v>
      </c>
      <c r="C3" s="134"/>
      <c r="E3" s="273"/>
    </row>
    <row r="4" spans="2:5" s="133" customFormat="1" ht="15.75" x14ac:dyDescent="0.25">
      <c r="B4" s="91"/>
      <c r="C4" s="134"/>
      <c r="E4" s="273"/>
    </row>
    <row r="5" spans="2:5" s="90" customFormat="1" x14ac:dyDescent="0.2">
      <c r="B5" s="92"/>
      <c r="C5" s="92" t="s">
        <v>96</v>
      </c>
      <c r="E5" s="271"/>
    </row>
    <row r="6" spans="2:5" s="90" customFormat="1" x14ac:dyDescent="0.2">
      <c r="B6" s="115" t="s">
        <v>3</v>
      </c>
      <c r="C6" s="115" t="s">
        <v>172</v>
      </c>
      <c r="E6" s="271"/>
    </row>
    <row r="7" spans="2:5" s="90" customFormat="1" x14ac:dyDescent="0.2">
      <c r="B7" s="116"/>
      <c r="C7" s="117" t="s">
        <v>33</v>
      </c>
      <c r="E7" s="271"/>
    </row>
    <row r="8" spans="2:5" s="90" customFormat="1" x14ac:dyDescent="0.2">
      <c r="C8" s="118" t="s">
        <v>22</v>
      </c>
      <c r="E8" s="271"/>
    </row>
    <row r="9" spans="2:5" s="90" customFormat="1" x14ac:dyDescent="0.2">
      <c r="C9" s="119"/>
      <c r="E9" s="271"/>
    </row>
    <row r="10" spans="2:5" s="90" customFormat="1" x14ac:dyDescent="0.2">
      <c r="B10" s="289">
        <v>2018</v>
      </c>
      <c r="C10" s="121">
        <f>ROUND(VLOOKUP($B10,'Fuel Price Source'!$G$7:$H$20,2,FALSE),2)</f>
        <v>2.5</v>
      </c>
      <c r="D10" s="272"/>
      <c r="E10" s="274"/>
    </row>
    <row r="11" spans="2:5" s="90" customFormat="1" x14ac:dyDescent="0.2">
      <c r="B11" s="120">
        <f t="shared" ref="B11:B19" si="0">B10+1</f>
        <v>2019</v>
      </c>
      <c r="C11" s="121">
        <f>ROUND(VLOOKUP($B11,'Fuel Price Source'!$G$7:$H$20,2,FALSE),2)</f>
        <v>2.39</v>
      </c>
      <c r="D11" s="272"/>
      <c r="E11" s="274"/>
    </row>
    <row r="12" spans="2:5" s="90" customFormat="1" x14ac:dyDescent="0.2">
      <c r="B12" s="120">
        <f t="shared" si="0"/>
        <v>2020</v>
      </c>
      <c r="C12" s="121">
        <f>ROUND(VLOOKUP($B12,'Fuel Price Source'!$G$7:$H$20,2,FALSE),2)</f>
        <v>2.38</v>
      </c>
      <c r="D12" s="272"/>
      <c r="E12" s="274"/>
    </row>
    <row r="13" spans="2:5" s="90" customFormat="1" x14ac:dyDescent="0.2">
      <c r="B13" s="120">
        <v>2021</v>
      </c>
      <c r="C13" s="121">
        <f>ROUND(VLOOKUP($B13,'Fuel Price Source'!$G$7:$H$20,2,FALSE),2)</f>
        <v>2.4</v>
      </c>
      <c r="D13" s="272"/>
      <c r="E13" s="274"/>
    </row>
    <row r="14" spans="2:5" s="90" customFormat="1" x14ac:dyDescent="0.2">
      <c r="B14" s="120">
        <f t="shared" si="0"/>
        <v>2022</v>
      </c>
      <c r="C14" s="121">
        <f>ROUND(VLOOKUP($B14,'Fuel Price Source'!$G$7:$H$20,2,FALSE),2)</f>
        <v>2.42</v>
      </c>
      <c r="D14" s="272"/>
      <c r="E14" s="274"/>
    </row>
    <row r="15" spans="2:5" s="90" customFormat="1" x14ac:dyDescent="0.2">
      <c r="B15" s="120">
        <f t="shared" si="0"/>
        <v>2023</v>
      </c>
      <c r="C15" s="121">
        <f>ROUND(VLOOKUP($B15,'Fuel Price Source'!$G$7:$H$20,2,FALSE),2)</f>
        <v>2.57</v>
      </c>
      <c r="D15" s="272"/>
      <c r="E15" s="274"/>
    </row>
    <row r="16" spans="2:5" s="90" customFormat="1" x14ac:dyDescent="0.2">
      <c r="B16" s="120">
        <f t="shared" si="0"/>
        <v>2024</v>
      </c>
      <c r="C16" s="121">
        <f>ROUND(VLOOKUP($B16,'Fuel Price Source'!$G$7:$H$20,2,FALSE),2)</f>
        <v>3.3</v>
      </c>
      <c r="D16" s="272"/>
      <c r="E16" s="274"/>
    </row>
    <row r="17" spans="2:5" s="90" customFormat="1" x14ac:dyDescent="0.2">
      <c r="B17" s="120">
        <f t="shared" si="0"/>
        <v>2025</v>
      </c>
      <c r="C17" s="121">
        <f>ROUND(VLOOKUP($B17,'Fuel Price Source'!$G$7:$H$20,2,FALSE),2)</f>
        <v>3.89</v>
      </c>
      <c r="D17" s="272"/>
      <c r="E17" s="274"/>
    </row>
    <row r="18" spans="2:5" s="90" customFormat="1" x14ac:dyDescent="0.2">
      <c r="B18" s="120">
        <f t="shared" si="0"/>
        <v>2026</v>
      </c>
      <c r="C18" s="121">
        <f>ROUND(VLOOKUP($B18,'Fuel Price Source'!$G$7:$H$20,2,FALSE),2)</f>
        <v>3.88</v>
      </c>
      <c r="D18" s="272"/>
      <c r="E18" s="274"/>
    </row>
    <row r="19" spans="2:5" s="90" customFormat="1" x14ac:dyDescent="0.2">
      <c r="B19" s="120">
        <f t="shared" si="0"/>
        <v>2027</v>
      </c>
      <c r="C19" s="121">
        <f>ROUND(VLOOKUP($B19,'Fuel Price Source'!$G$7:$H$20,2,FALSE),2)</f>
        <v>4.0199999999999996</v>
      </c>
      <c r="D19" s="272"/>
      <c r="E19" s="274"/>
    </row>
    <row r="20" spans="2:5" s="90" customFormat="1" x14ac:dyDescent="0.2">
      <c r="E20" s="271"/>
    </row>
    <row r="21" spans="2:5" x14ac:dyDescent="0.2">
      <c r="B21" s="122" t="s">
        <v>97</v>
      </c>
    </row>
    <row r="22" spans="2:5" x14ac:dyDescent="0.2">
      <c r="B22" s="135" t="str">
        <f>"Offical Market Price Forecast dated "&amp;TEXT('Fuel Price Source'!C4,"mmmm yyyyy")</f>
        <v>Offical Market Price Forecast dated September 2017</v>
      </c>
      <c r="E22" s="276"/>
    </row>
    <row r="25" spans="2:5" x14ac:dyDescent="0.2">
      <c r="B25" s="136"/>
    </row>
    <row r="26" spans="2:5" x14ac:dyDescent="0.2">
      <c r="B26" s="136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E99" sqref="E99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33"/>
  <sheetViews>
    <sheetView showGridLines="0" zoomScale="80" zoomScaleNormal="80" workbookViewId="0">
      <selection activeCell="B11" sqref="B11"/>
    </sheetView>
  </sheetViews>
  <sheetFormatPr defaultColWidth="9.33203125" defaultRowHeight="15" x14ac:dyDescent="0.2"/>
  <cols>
    <col min="1" max="1" width="34.1640625" style="257" customWidth="1"/>
    <col min="2" max="3" width="18.6640625" style="257" customWidth="1"/>
    <col min="4" max="4" width="9.33203125" style="257"/>
    <col min="5" max="5" width="3.33203125" style="257" customWidth="1"/>
    <col min="6" max="6" width="15.33203125" style="257" customWidth="1"/>
    <col min="7" max="7" width="6.83203125" style="257" customWidth="1"/>
    <col min="8" max="8" width="13.33203125" style="257" customWidth="1"/>
    <col min="9" max="11" width="9.33203125" style="257"/>
    <col min="12" max="12" width="11" style="257" customWidth="1"/>
    <col min="13" max="13" width="16.83203125" style="257" customWidth="1"/>
    <col min="14" max="14" width="12.5" style="257" customWidth="1"/>
    <col min="15" max="15" width="13.6640625" style="257" customWidth="1"/>
    <col min="16" max="16384" width="9.33203125" style="257"/>
  </cols>
  <sheetData>
    <row r="1" spans="1:15" ht="15.75" x14ac:dyDescent="0.25">
      <c r="A1" s="290"/>
      <c r="B1" s="290"/>
      <c r="C1" s="290"/>
      <c r="F1" s="290"/>
    </row>
    <row r="2" spans="1:15" ht="15.75" x14ac:dyDescent="0.25">
      <c r="A2" s="290" t="s">
        <v>160</v>
      </c>
      <c r="B2" s="290"/>
      <c r="C2" s="290"/>
      <c r="F2" s="290"/>
    </row>
    <row r="3" spans="1:15" ht="15.75" x14ac:dyDescent="0.25">
      <c r="A3" s="290" t="s">
        <v>111</v>
      </c>
      <c r="B3" s="290"/>
      <c r="C3" s="290"/>
      <c r="F3" s="290"/>
    </row>
    <row r="4" spans="1:15" x14ac:dyDescent="0.2">
      <c r="B4" s="291" t="s">
        <v>69</v>
      </c>
      <c r="F4" s="291"/>
    </row>
    <row r="5" spans="1:15" ht="15.75" x14ac:dyDescent="0.25">
      <c r="A5" s="296"/>
      <c r="C5" s="259"/>
    </row>
    <row r="6" spans="1:15" x14ac:dyDescent="0.2">
      <c r="A6" s="260"/>
      <c r="B6" s="260"/>
      <c r="C6" s="260"/>
      <c r="F6" s="260" t="s">
        <v>28</v>
      </c>
    </row>
    <row r="7" spans="1:15" x14ac:dyDescent="0.2">
      <c r="A7" s="260" t="s">
        <v>161</v>
      </c>
      <c r="B7" s="260" t="s">
        <v>28</v>
      </c>
      <c r="C7" s="260" t="s">
        <v>128</v>
      </c>
      <c r="F7" s="260" t="s">
        <v>28</v>
      </c>
      <c r="H7" s="260" t="s">
        <v>28</v>
      </c>
      <c r="J7" s="258"/>
      <c r="K7" s="258"/>
      <c r="L7" s="258"/>
      <c r="M7" s="258"/>
    </row>
    <row r="8" spans="1:15" ht="17.25" customHeight="1" x14ac:dyDescent="0.2">
      <c r="A8" s="292" t="s">
        <v>162</v>
      </c>
      <c r="B8" s="292" t="s">
        <v>70</v>
      </c>
      <c r="C8" s="292" t="s">
        <v>163</v>
      </c>
      <c r="F8" s="292" t="s">
        <v>70</v>
      </c>
      <c r="H8" s="292" t="s">
        <v>70</v>
      </c>
      <c r="J8" s="259"/>
      <c r="K8" s="259"/>
      <c r="L8" s="259"/>
      <c r="M8" s="259"/>
    </row>
    <row r="9" spans="1:15" x14ac:dyDescent="0.2">
      <c r="A9" s="261" t="s">
        <v>129</v>
      </c>
      <c r="B9" s="261" t="s">
        <v>164</v>
      </c>
      <c r="C9" s="261" t="s">
        <v>43</v>
      </c>
      <c r="F9" s="261" t="s">
        <v>77</v>
      </c>
      <c r="G9" s="259"/>
      <c r="H9" s="261" t="s">
        <v>198</v>
      </c>
      <c r="J9" s="259"/>
      <c r="K9" s="259"/>
      <c r="L9" s="259"/>
      <c r="M9" s="259"/>
    </row>
    <row r="10" spans="1:15" x14ac:dyDescent="0.2">
      <c r="A10" s="349"/>
      <c r="B10" s="293"/>
      <c r="C10" s="350"/>
      <c r="F10" s="293"/>
    </row>
    <row r="11" spans="1:15" x14ac:dyDescent="0.2">
      <c r="A11" s="281">
        <v>2018</v>
      </c>
      <c r="B11" s="293">
        <f t="shared" ref="B11:B20" si="0">ROUND(F11/12,2)</f>
        <v>2.44</v>
      </c>
      <c r="C11" s="351">
        <f>ROUND(INDEX('Tables 3 to 6'!$Y:$Y,MATCH($A11,'Tables 3 to 6'!$V:$V,0),1),2)</f>
        <v>21.37</v>
      </c>
      <c r="F11" s="293">
        <f>VLOOKUP(A11,'Tables 3 to 6'!$O$12:$P$29,2,FALSE)</f>
        <v>29.304999999999996</v>
      </c>
      <c r="G11" s="256"/>
      <c r="H11" s="351">
        <f>F11*1000/8760</f>
        <v>3.3453196347031957</v>
      </c>
      <c r="J11" s="262"/>
      <c r="K11" s="262"/>
      <c r="L11" s="262"/>
      <c r="M11" s="262"/>
      <c r="N11" s="293"/>
      <c r="O11" s="293"/>
    </row>
    <row r="12" spans="1:15" x14ac:dyDescent="0.2">
      <c r="A12" s="349">
        <f t="shared" ref="A12:A19" si="1">A11+1</f>
        <v>2019</v>
      </c>
      <c r="B12" s="293">
        <f t="shared" si="0"/>
        <v>13.71</v>
      </c>
      <c r="C12" s="351">
        <f>ROUND(INDEX('Tables 3 to 6'!$Y:$Y,MATCH($A12,'Tables 3 to 6'!$V:$V,0),1),2)</f>
        <v>15.33</v>
      </c>
      <c r="F12" s="293">
        <f>VLOOKUP(A12,'Tables 3 to 6'!$O$12:$P$29,2,FALSE)</f>
        <v>164.56</v>
      </c>
      <c r="G12" s="256"/>
      <c r="H12" s="351">
        <f t="shared" ref="H12:H20" si="2">F12*1000/8760</f>
        <v>18.785388127853881</v>
      </c>
      <c r="J12" s="262"/>
      <c r="K12" s="262"/>
      <c r="L12" s="262"/>
      <c r="M12" s="262"/>
      <c r="N12" s="293"/>
      <c r="O12" s="293"/>
    </row>
    <row r="13" spans="1:15" x14ac:dyDescent="0.2">
      <c r="A13" s="349">
        <f t="shared" si="1"/>
        <v>2020</v>
      </c>
      <c r="B13" s="293">
        <f t="shared" si="0"/>
        <v>14.07</v>
      </c>
      <c r="C13" s="351">
        <f>ROUND(INDEX('Tables 3 to 6'!$Y:$Y,MATCH($A13,'Tables 3 to 6'!$V:$V,0),1),2)</f>
        <v>15.26</v>
      </c>
      <c r="F13" s="293">
        <f>VLOOKUP(A13,'Tables 3 to 6'!$O$12:$P$29,2,FALSE)</f>
        <v>168.87</v>
      </c>
      <c r="G13" s="256"/>
      <c r="H13" s="351">
        <f t="shared" si="2"/>
        <v>19.277397260273972</v>
      </c>
      <c r="J13" s="262"/>
      <c r="K13" s="262"/>
      <c r="L13" s="262"/>
      <c r="M13" s="262"/>
      <c r="N13" s="293"/>
      <c r="O13" s="293"/>
    </row>
    <row r="14" spans="1:15" x14ac:dyDescent="0.2">
      <c r="A14" s="349">
        <f t="shared" si="1"/>
        <v>2021</v>
      </c>
      <c r="B14" s="293">
        <f t="shared" si="0"/>
        <v>14.41</v>
      </c>
      <c r="C14" s="351">
        <f>ROUND(INDEX('Tables 3 to 6'!$Y:$Y,MATCH($A14,'Tables 3 to 6'!$V:$V,0),1),2)</f>
        <v>15.39</v>
      </c>
      <c r="F14" s="293">
        <f>VLOOKUP(A14,'Tables 3 to 6'!$O$12:$P$29,2,FALSE)</f>
        <v>172.9</v>
      </c>
      <c r="G14" s="256"/>
      <c r="H14" s="351">
        <f t="shared" si="2"/>
        <v>19.737442922374431</v>
      </c>
      <c r="J14" s="262"/>
      <c r="K14" s="262"/>
      <c r="L14" s="262"/>
      <c r="M14" s="262"/>
      <c r="N14" s="293"/>
      <c r="O14" s="293"/>
    </row>
    <row r="15" spans="1:15" x14ac:dyDescent="0.2">
      <c r="A15" s="349">
        <f t="shared" si="1"/>
        <v>2022</v>
      </c>
      <c r="B15" s="293">
        <f t="shared" si="0"/>
        <v>14.74</v>
      </c>
      <c r="C15" s="351">
        <f>ROUND(INDEX('Tables 3 to 6'!$Y:$Y,MATCH($A15,'Tables 3 to 6'!$V:$V,0),1),2)</f>
        <v>15.52</v>
      </c>
      <c r="F15" s="293">
        <f>VLOOKUP(A15,'Tables 3 to 6'!$O$12:$P$29,2,FALSE)</f>
        <v>176.87</v>
      </c>
      <c r="H15" s="351">
        <f t="shared" si="2"/>
        <v>20.190639269406393</v>
      </c>
      <c r="J15" s="262"/>
      <c r="K15" s="262"/>
      <c r="L15" s="262"/>
      <c r="M15" s="262"/>
      <c r="N15" s="293"/>
      <c r="O15" s="293"/>
    </row>
    <row r="16" spans="1:15" x14ac:dyDescent="0.2">
      <c r="A16" s="349">
        <f t="shared" si="1"/>
        <v>2023</v>
      </c>
      <c r="B16" s="293">
        <f t="shared" si="0"/>
        <v>15.08</v>
      </c>
      <c r="C16" s="351">
        <f>ROUND(INDEX('Tables 3 to 6'!$Y:$Y,MATCH($A16,'Tables 3 to 6'!$V:$V,0),1),2)</f>
        <v>16.48</v>
      </c>
      <c r="F16" s="293">
        <f>VLOOKUP(A16,'Tables 3 to 6'!$O$12:$P$29,2,FALSE)</f>
        <v>180.91</v>
      </c>
      <c r="H16" s="351">
        <f t="shared" si="2"/>
        <v>20.651826484018265</v>
      </c>
      <c r="J16" s="262"/>
      <c r="K16" s="262"/>
      <c r="L16" s="262"/>
      <c r="M16" s="262"/>
      <c r="N16" s="293"/>
      <c r="O16" s="293"/>
    </row>
    <row r="17" spans="1:15" x14ac:dyDescent="0.2">
      <c r="A17" s="349">
        <f t="shared" si="1"/>
        <v>2024</v>
      </c>
      <c r="B17" s="293">
        <f t="shared" si="0"/>
        <v>15.42</v>
      </c>
      <c r="C17" s="351">
        <f>ROUND(INDEX('Tables 3 to 6'!$Y:$Y,MATCH($A17,'Tables 3 to 6'!$V:$V,0),1),2)</f>
        <v>21.16</v>
      </c>
      <c r="F17" s="293">
        <f>VLOOKUP(A17,'Tables 3 to 6'!$O$12:$P$29,2,FALSE)</f>
        <v>185.04</v>
      </c>
      <c r="H17" s="351">
        <f t="shared" si="2"/>
        <v>21.123287671232877</v>
      </c>
      <c r="J17" s="262"/>
      <c r="K17" s="262"/>
      <c r="L17" s="262"/>
      <c r="M17" s="262"/>
      <c r="N17" s="293"/>
      <c r="O17" s="293"/>
    </row>
    <row r="18" spans="1:15" x14ac:dyDescent="0.2">
      <c r="A18" s="349">
        <f t="shared" si="1"/>
        <v>2025</v>
      </c>
      <c r="B18" s="293">
        <f t="shared" si="0"/>
        <v>15.78</v>
      </c>
      <c r="C18" s="351">
        <f>ROUND(INDEX('Tables 3 to 6'!$Y:$Y,MATCH($A18,'Tables 3 to 6'!$V:$V,0),1),2)</f>
        <v>24.94</v>
      </c>
      <c r="F18" s="293">
        <f>VLOOKUP(A18,'Tables 3 to 6'!$O$12:$P$29,2,FALSE)</f>
        <v>189.32</v>
      </c>
      <c r="H18" s="351">
        <f t="shared" si="2"/>
        <v>21.611872146118721</v>
      </c>
      <c r="J18" s="262"/>
      <c r="K18" s="262"/>
      <c r="L18" s="262"/>
      <c r="M18" s="262"/>
      <c r="N18" s="293"/>
      <c r="O18" s="293"/>
    </row>
    <row r="19" spans="1:15" x14ac:dyDescent="0.2">
      <c r="A19" s="349">
        <f t="shared" si="1"/>
        <v>2026</v>
      </c>
      <c r="B19" s="293">
        <f t="shared" si="0"/>
        <v>16.12</v>
      </c>
      <c r="C19" s="351">
        <f>ROUND(INDEX('Tables 3 to 6'!$Y:$Y,MATCH($A19,'Tables 3 to 6'!$V:$V,0),1),2)</f>
        <v>24.88</v>
      </c>
      <c r="F19" s="293">
        <f>VLOOKUP(A19,'Tables 3 to 6'!$O$12:$P$29,2,FALSE)</f>
        <v>193.46</v>
      </c>
      <c r="H19" s="351">
        <f t="shared" si="2"/>
        <v>22.084474885844749</v>
      </c>
      <c r="J19" s="262"/>
      <c r="K19" s="262"/>
      <c r="L19" s="262"/>
      <c r="M19" s="262"/>
      <c r="N19" s="293"/>
      <c r="O19" s="293"/>
    </row>
    <row r="20" spans="1:15" x14ac:dyDescent="0.2">
      <c r="A20" s="352">
        <f>A19+1</f>
        <v>2027</v>
      </c>
      <c r="B20" s="353">
        <f t="shared" si="0"/>
        <v>16.48</v>
      </c>
      <c r="C20" s="354">
        <f>ROUND(INDEX('Tables 3 to 6'!$Y:$Y,MATCH($A20,'Tables 3 to 6'!$V:$V,0),1),2)</f>
        <v>25.78</v>
      </c>
      <c r="F20" s="293">
        <f>VLOOKUP(A20,'Tables 3 to 6'!$O$12:$P$29,2,FALSE)</f>
        <v>197.75</v>
      </c>
      <c r="H20" s="351">
        <f t="shared" si="2"/>
        <v>22.574200913242009</v>
      </c>
      <c r="J20" s="262"/>
      <c r="K20" s="262"/>
      <c r="L20" s="262"/>
      <c r="M20" s="262"/>
      <c r="N20" s="293"/>
      <c r="O20" s="293"/>
    </row>
    <row r="21" spans="1:15" x14ac:dyDescent="0.2">
      <c r="A21" s="295"/>
      <c r="B21" s="293"/>
      <c r="C21" s="294"/>
      <c r="F21" s="293"/>
    </row>
    <row r="22" spans="1:15" x14ac:dyDescent="0.2">
      <c r="A22" s="295"/>
      <c r="B22" s="293"/>
      <c r="C22" s="294"/>
      <c r="F22" s="293"/>
    </row>
    <row r="23" spans="1:15" x14ac:dyDescent="0.2">
      <c r="A23" s="259" t="s">
        <v>165</v>
      </c>
      <c r="B23" s="293">
        <f>-PMT($B$33,COUNT(B11:B15),NPV($B$33,B11:B15))</f>
        <v>11.543629113991775</v>
      </c>
      <c r="C23" s="294"/>
      <c r="F23" s="293"/>
    </row>
    <row r="24" spans="1:15" x14ac:dyDescent="0.2">
      <c r="A24" s="259" t="s">
        <v>115</v>
      </c>
      <c r="B24" s="264"/>
      <c r="C24" s="293">
        <f>-PMT($B$33,COUNT(C11:C15),NPV($B$33,C11:C15))</f>
        <v>16.727001807088708</v>
      </c>
    </row>
    <row r="25" spans="1:15" x14ac:dyDescent="0.2">
      <c r="J25" s="262"/>
      <c r="K25" s="262"/>
      <c r="L25" s="262"/>
      <c r="M25" s="262"/>
    </row>
    <row r="32" spans="1:15" x14ac:dyDescent="0.2">
      <c r="B32" s="263" t="str">
        <f>'Table 7'!Q27</f>
        <v>Discount Rate - 2017 IRP</v>
      </c>
    </row>
    <row r="33" spans="2:2" x14ac:dyDescent="0.2">
      <c r="B33" s="265">
        <f>'Table 7'!Q28</f>
        <v>6.5699999999999995E-2</v>
      </c>
    </row>
  </sheetData>
  <phoneticPr fontId="7" type="noConversion"/>
  <printOptions horizontalCentered="1"/>
  <pageMargins left="0.3" right="0.3" top="0.72" bottom="0.4" header="0.4" footer="0.2"/>
  <pageSetup scale="74" orientation="portrait" copies="3" r:id="rId1"/>
  <headerFooter alignWithMargins="0">
    <oddFooter>&amp;L&amp;8Net Power Cost  -  &amp;F   ( &amp;A ) &amp;C &amp;R &amp;8&amp;D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28"/>
  <sheetViews>
    <sheetView workbookViewId="0">
      <selection activeCell="C14" sqref="C14"/>
    </sheetView>
  </sheetViews>
  <sheetFormatPr defaultColWidth="9.33203125" defaultRowHeight="12.75" x14ac:dyDescent="0.2"/>
  <cols>
    <col min="1" max="1" width="2.1640625" style="163" customWidth="1"/>
    <col min="2" max="2" width="19.83203125" style="163" customWidth="1"/>
    <col min="3" max="4" width="25.33203125" style="163" customWidth="1"/>
    <col min="5" max="5" width="9.33203125" style="163" customWidth="1"/>
    <col min="6" max="6" width="2.83203125" style="163" customWidth="1"/>
    <col min="7" max="7" width="12.33203125" style="163" customWidth="1"/>
    <col min="8" max="8" width="20.1640625" style="163" bestFit="1" customWidth="1"/>
    <col min="9" max="9" width="9.33203125" style="163"/>
    <col min="10" max="16384" width="9.33203125" style="132"/>
  </cols>
  <sheetData>
    <row r="1" spans="1:9" s="2" customFormat="1" ht="15.75" x14ac:dyDescent="0.25">
      <c r="A1" s="163"/>
      <c r="B1" s="1" t="s">
        <v>108</v>
      </c>
      <c r="C1" s="164"/>
      <c r="D1" s="164"/>
      <c r="E1" s="164"/>
      <c r="F1" s="164"/>
      <c r="G1" s="164"/>
      <c r="H1" s="164"/>
      <c r="I1" s="163"/>
    </row>
    <row r="2" spans="1:9" s="2" customFormat="1" ht="15.75" x14ac:dyDescent="0.25">
      <c r="A2" s="163"/>
      <c r="B2" s="1" t="s">
        <v>102</v>
      </c>
      <c r="C2" s="164"/>
      <c r="D2" s="164"/>
      <c r="E2" s="164"/>
      <c r="F2" s="164"/>
      <c r="G2" s="164"/>
      <c r="H2" s="164"/>
      <c r="I2" s="163"/>
    </row>
    <row r="3" spans="1:9" s="2" customFormat="1" x14ac:dyDescent="0.2">
      <c r="A3" s="163"/>
      <c r="B3" s="164"/>
      <c r="C3" s="164"/>
      <c r="D3" s="164"/>
      <c r="E3" s="164"/>
      <c r="F3" s="164"/>
      <c r="G3" s="164"/>
      <c r="H3" s="164"/>
      <c r="I3" s="163"/>
    </row>
    <row r="4" spans="1:9" s="6" customFormat="1" ht="13.5" thickBot="1" x14ac:dyDescent="0.25">
      <c r="A4" s="163"/>
      <c r="B4" s="125" t="s">
        <v>103</v>
      </c>
      <c r="C4" s="165">
        <v>43007</v>
      </c>
      <c r="D4" s="164"/>
      <c r="E4" s="166"/>
      <c r="F4" s="166"/>
      <c r="G4" s="164"/>
      <c r="H4" s="164"/>
      <c r="I4" s="163"/>
    </row>
    <row r="5" spans="1:9" s="6" customFormat="1" x14ac:dyDescent="0.2">
      <c r="A5" s="163"/>
      <c r="B5" s="125"/>
      <c r="C5" s="126"/>
      <c r="D5" s="163"/>
      <c r="E5" s="166"/>
      <c r="F5" s="166"/>
      <c r="G5" s="193"/>
      <c r="H5" s="194" t="s">
        <v>104</v>
      </c>
      <c r="I5" s="163"/>
    </row>
    <row r="6" spans="1:9" s="6" customFormat="1" x14ac:dyDescent="0.2">
      <c r="A6" s="163"/>
      <c r="B6" s="127" t="s">
        <v>105</v>
      </c>
      <c r="C6" s="163"/>
      <c r="D6" s="163"/>
      <c r="E6" s="163"/>
      <c r="F6" s="163"/>
      <c r="G6" s="195" t="s">
        <v>3</v>
      </c>
      <c r="H6" s="196" t="s">
        <v>106</v>
      </c>
      <c r="I6" s="163"/>
    </row>
    <row r="7" spans="1:9" s="6" customFormat="1" x14ac:dyDescent="0.2">
      <c r="A7" s="163"/>
      <c r="B7" s="128" t="s">
        <v>107</v>
      </c>
      <c r="C7" s="129" t="s">
        <v>172</v>
      </c>
      <c r="D7" s="130" t="s">
        <v>3</v>
      </c>
      <c r="E7" s="131"/>
      <c r="F7" s="163"/>
      <c r="G7" s="197"/>
      <c r="H7" s="198" t="s">
        <v>44</v>
      </c>
      <c r="I7" s="163"/>
    </row>
    <row r="8" spans="1:9" x14ac:dyDescent="0.2">
      <c r="B8" s="169">
        <v>43101</v>
      </c>
      <c r="C8" s="170">
        <v>2.8420258718572584</v>
      </c>
      <c r="D8" s="171">
        <f t="shared" ref="D8:D19" si="0">YEAR(B8)</f>
        <v>2018</v>
      </c>
      <c r="G8" s="199">
        <v>2018</v>
      </c>
      <c r="H8" s="200">
        <f t="shared" ref="H8:H13" si="1">ROUND(SUMIF($D$8:$D$228,$G8,C$8:C$228)/COUNTIF($D$8:$D$228,$G8),2)</f>
        <v>2.5</v>
      </c>
    </row>
    <row r="9" spans="1:9" x14ac:dyDescent="0.2">
      <c r="B9" s="172">
        <v>43132</v>
      </c>
      <c r="C9" s="170">
        <v>2.801778507704785</v>
      </c>
      <c r="D9" s="173">
        <f t="shared" si="0"/>
        <v>2018</v>
      </c>
      <c r="G9" s="199">
        <f t="shared" ref="G9" si="2">G8+1</f>
        <v>2019</v>
      </c>
      <c r="H9" s="200">
        <f t="shared" si="1"/>
        <v>2.39</v>
      </c>
    </row>
    <row r="10" spans="1:9" x14ac:dyDescent="0.2">
      <c r="B10" s="172">
        <v>43160</v>
      </c>
      <c r="C10" s="170">
        <v>2.6598482562854824</v>
      </c>
      <c r="D10" s="173">
        <f t="shared" si="0"/>
        <v>2018</v>
      </c>
      <c r="G10" s="199">
        <f t="shared" ref="G10:G17" si="3">G9+1</f>
        <v>2020</v>
      </c>
      <c r="H10" s="200">
        <f t="shared" si="1"/>
        <v>2.38</v>
      </c>
    </row>
    <row r="11" spans="1:9" x14ac:dyDescent="0.2">
      <c r="B11" s="172">
        <v>43191</v>
      </c>
      <c r="C11" s="170">
        <v>2.3455741281427409</v>
      </c>
      <c r="D11" s="173">
        <f t="shared" si="0"/>
        <v>2018</v>
      </c>
      <c r="G11" s="199">
        <f t="shared" si="3"/>
        <v>2021</v>
      </c>
      <c r="H11" s="200">
        <f t="shared" si="1"/>
        <v>2.4</v>
      </c>
    </row>
    <row r="12" spans="1:9" x14ac:dyDescent="0.2">
      <c r="B12" s="172">
        <v>43221</v>
      </c>
      <c r="C12" s="170">
        <v>2.2783600162205997</v>
      </c>
      <c r="D12" s="173">
        <f t="shared" si="0"/>
        <v>2018</v>
      </c>
      <c r="G12" s="199">
        <f t="shared" si="3"/>
        <v>2022</v>
      </c>
      <c r="H12" s="200">
        <f t="shared" si="1"/>
        <v>2.42</v>
      </c>
    </row>
    <row r="13" spans="1:9" x14ac:dyDescent="0.2">
      <c r="B13" s="172">
        <v>43252</v>
      </c>
      <c r="C13" s="170">
        <v>2.2907282238442819</v>
      </c>
      <c r="D13" s="173">
        <f t="shared" si="0"/>
        <v>2018</v>
      </c>
      <c r="G13" s="199">
        <f t="shared" si="3"/>
        <v>2023</v>
      </c>
      <c r="H13" s="200">
        <f t="shared" si="1"/>
        <v>2.57</v>
      </c>
    </row>
    <row r="14" spans="1:9" x14ac:dyDescent="0.2">
      <c r="B14" s="172">
        <v>43282</v>
      </c>
      <c r="C14" s="170">
        <v>2.3405051905920518</v>
      </c>
      <c r="D14" s="173">
        <f t="shared" si="0"/>
        <v>2018</v>
      </c>
      <c r="G14" s="199">
        <f t="shared" si="3"/>
        <v>2024</v>
      </c>
      <c r="H14" s="200">
        <f t="shared" ref="H14:H16" si="4">ROUND(SUMIF($D$8:$D$228,$G14,C$8:C$228)/COUNTIF($D$8:$D$228,$G14),2)</f>
        <v>3.3</v>
      </c>
    </row>
    <row r="15" spans="1:9" x14ac:dyDescent="0.2">
      <c r="B15" s="172">
        <v>43313</v>
      </c>
      <c r="C15" s="170">
        <v>2.3449658556366582</v>
      </c>
      <c r="D15" s="173">
        <f t="shared" si="0"/>
        <v>2018</v>
      </c>
      <c r="G15" s="199">
        <f t="shared" si="3"/>
        <v>2025</v>
      </c>
      <c r="H15" s="200">
        <f t="shared" si="4"/>
        <v>3.89</v>
      </c>
    </row>
    <row r="16" spans="1:9" x14ac:dyDescent="0.2">
      <c r="B16" s="172">
        <v>43344</v>
      </c>
      <c r="C16" s="170">
        <v>2.3263121654501213</v>
      </c>
      <c r="D16" s="173">
        <f t="shared" si="0"/>
        <v>2018</v>
      </c>
      <c r="G16" s="199">
        <f t="shared" si="3"/>
        <v>2026</v>
      </c>
      <c r="H16" s="200">
        <f t="shared" si="4"/>
        <v>3.88</v>
      </c>
    </row>
    <row r="17" spans="2:8" x14ac:dyDescent="0.2">
      <c r="B17" s="172">
        <v>43374</v>
      </c>
      <c r="C17" s="170">
        <v>2.3609836982968369</v>
      </c>
      <c r="D17" s="173">
        <f t="shared" si="0"/>
        <v>2018</v>
      </c>
      <c r="G17" s="199">
        <f t="shared" si="3"/>
        <v>2027</v>
      </c>
      <c r="H17" s="200">
        <f t="shared" ref="H17" si="5">ROUND(SUMIF($D$8:$D$228,$G17,C$8:C$228)/COUNTIF($D$8:$D$228,$G17),2)</f>
        <v>4.0199999999999996</v>
      </c>
    </row>
    <row r="18" spans="2:8" x14ac:dyDescent="0.2">
      <c r="B18" s="172">
        <v>43405</v>
      </c>
      <c r="C18" s="170">
        <v>2.6205133008921324</v>
      </c>
      <c r="D18" s="173">
        <f t="shared" si="0"/>
        <v>2018</v>
      </c>
      <c r="G18" s="199"/>
      <c r="H18" s="200"/>
    </row>
    <row r="19" spans="2:8" ht="13.5" thickBot="1" x14ac:dyDescent="0.25">
      <c r="B19" s="174">
        <v>43435</v>
      </c>
      <c r="C19" s="175">
        <v>2.7502781021897809</v>
      </c>
      <c r="D19" s="176">
        <f t="shared" si="0"/>
        <v>2018</v>
      </c>
      <c r="G19" s="201"/>
      <c r="H19" s="202"/>
    </row>
    <row r="20" spans="2:8" x14ac:dyDescent="0.2">
      <c r="B20" s="169">
        <v>43466</v>
      </c>
      <c r="C20" s="170">
        <v>2.7895116788321164</v>
      </c>
      <c r="D20" s="171">
        <f t="shared" ref="D20:D43" si="6">YEAR(B20)</f>
        <v>2019</v>
      </c>
      <c r="G20" s="167"/>
      <c r="H20" s="168"/>
    </row>
    <row r="21" spans="2:8" x14ac:dyDescent="0.2">
      <c r="B21" s="172">
        <v>43497</v>
      </c>
      <c r="C21" s="170">
        <v>2.7796779399837792</v>
      </c>
      <c r="D21" s="173">
        <f t="shared" si="6"/>
        <v>2019</v>
      </c>
    </row>
    <row r="22" spans="2:8" x14ac:dyDescent="0.2">
      <c r="B22" s="172">
        <v>43525</v>
      </c>
      <c r="C22" s="170">
        <v>2.695736334144363</v>
      </c>
      <c r="D22" s="173">
        <f t="shared" si="6"/>
        <v>2019</v>
      </c>
    </row>
    <row r="23" spans="2:8" x14ac:dyDescent="0.2">
      <c r="B23" s="172">
        <v>43556</v>
      </c>
      <c r="C23" s="170">
        <v>2.1937087591240876</v>
      </c>
      <c r="D23" s="173">
        <f t="shared" si="6"/>
        <v>2019</v>
      </c>
    </row>
    <row r="24" spans="2:8" x14ac:dyDescent="0.2">
      <c r="B24" s="172">
        <v>43586</v>
      </c>
      <c r="C24" s="170">
        <v>2.125582238442822</v>
      </c>
      <c r="D24" s="173">
        <f t="shared" si="6"/>
        <v>2019</v>
      </c>
    </row>
    <row r="25" spans="2:8" x14ac:dyDescent="0.2">
      <c r="B25" s="172">
        <v>43617</v>
      </c>
      <c r="C25" s="170">
        <v>2.1499131386861312</v>
      </c>
      <c r="D25" s="173">
        <f t="shared" si="6"/>
        <v>2019</v>
      </c>
    </row>
    <row r="26" spans="2:8" x14ac:dyDescent="0.2">
      <c r="B26" s="172">
        <v>43647</v>
      </c>
      <c r="C26" s="170">
        <v>2.1932018653690184</v>
      </c>
      <c r="D26" s="173">
        <f t="shared" si="6"/>
        <v>2019</v>
      </c>
    </row>
    <row r="27" spans="2:8" x14ac:dyDescent="0.2">
      <c r="B27" s="172">
        <v>43678</v>
      </c>
      <c r="C27" s="170">
        <v>2.2043535279805351</v>
      </c>
      <c r="D27" s="173">
        <f t="shared" si="6"/>
        <v>2019</v>
      </c>
    </row>
    <row r="28" spans="2:8" x14ac:dyDescent="0.2">
      <c r="B28" s="172">
        <v>43709</v>
      </c>
      <c r="C28" s="170">
        <v>2.2053673154906726</v>
      </c>
      <c r="D28" s="173">
        <f t="shared" si="6"/>
        <v>2019</v>
      </c>
    </row>
    <row r="29" spans="2:8" x14ac:dyDescent="0.2">
      <c r="B29" s="172">
        <v>43739</v>
      </c>
      <c r="C29" s="170">
        <v>2.2435871046228706</v>
      </c>
      <c r="D29" s="173">
        <f t="shared" si="6"/>
        <v>2019</v>
      </c>
    </row>
    <row r="30" spans="2:8" x14ac:dyDescent="0.2">
      <c r="B30" s="172">
        <v>43770</v>
      </c>
      <c r="C30" s="170">
        <v>2.4501969991889698</v>
      </c>
      <c r="D30" s="173">
        <f t="shared" si="6"/>
        <v>2019</v>
      </c>
    </row>
    <row r="31" spans="2:8" x14ac:dyDescent="0.2">
      <c r="B31" s="174">
        <v>43800</v>
      </c>
      <c r="C31" s="175">
        <v>2.6279139497161395</v>
      </c>
      <c r="D31" s="176">
        <f t="shared" si="6"/>
        <v>2019</v>
      </c>
    </row>
    <row r="32" spans="2:8" x14ac:dyDescent="0.2">
      <c r="B32" s="169">
        <v>43831</v>
      </c>
      <c r="C32" s="170">
        <v>2.7163162206001616</v>
      </c>
      <c r="D32" s="171">
        <f t="shared" si="6"/>
        <v>2020</v>
      </c>
    </row>
    <row r="33" spans="2:4" x14ac:dyDescent="0.2">
      <c r="B33" s="172">
        <v>43862</v>
      </c>
      <c r="C33" s="170">
        <v>2.7026300892133004</v>
      </c>
      <c r="D33" s="173">
        <f t="shared" si="6"/>
        <v>2020</v>
      </c>
    </row>
    <row r="34" spans="2:4" x14ac:dyDescent="0.2">
      <c r="B34" s="172">
        <v>43891</v>
      </c>
      <c r="C34" s="170">
        <v>2.6588344687753445</v>
      </c>
      <c r="D34" s="173">
        <f t="shared" si="6"/>
        <v>2020</v>
      </c>
    </row>
    <row r="35" spans="2:4" x14ac:dyDescent="0.2">
      <c r="B35" s="172">
        <v>43922</v>
      </c>
      <c r="C35" s="170">
        <v>2.1716081914030818</v>
      </c>
      <c r="D35" s="173">
        <f t="shared" si="6"/>
        <v>2020</v>
      </c>
    </row>
    <row r="36" spans="2:4" x14ac:dyDescent="0.2">
      <c r="B36" s="172">
        <v>43952</v>
      </c>
      <c r="C36" s="170">
        <v>2.1328815085158146</v>
      </c>
      <c r="D36" s="173">
        <f t="shared" si="6"/>
        <v>2020</v>
      </c>
    </row>
    <row r="37" spans="2:4" x14ac:dyDescent="0.2">
      <c r="B37" s="172">
        <v>43983</v>
      </c>
      <c r="C37" s="170">
        <v>2.1612675587996755</v>
      </c>
      <c r="D37" s="173">
        <f t="shared" si="6"/>
        <v>2020</v>
      </c>
    </row>
    <row r="38" spans="2:4" x14ac:dyDescent="0.2">
      <c r="B38" s="172">
        <v>44013</v>
      </c>
      <c r="C38" s="170">
        <v>2.202832846715328</v>
      </c>
      <c r="D38" s="173">
        <f t="shared" si="6"/>
        <v>2020</v>
      </c>
    </row>
    <row r="39" spans="2:4" x14ac:dyDescent="0.2">
      <c r="B39" s="172">
        <v>44044</v>
      </c>
      <c r="C39" s="170">
        <v>2.2231085969180855</v>
      </c>
      <c r="D39" s="173">
        <f t="shared" si="6"/>
        <v>2020</v>
      </c>
    </row>
    <row r="40" spans="2:4" x14ac:dyDescent="0.2">
      <c r="B40" s="172">
        <v>44075</v>
      </c>
      <c r="C40" s="170">
        <v>2.2381126520681263</v>
      </c>
      <c r="D40" s="173">
        <f t="shared" si="6"/>
        <v>2020</v>
      </c>
    </row>
    <row r="41" spans="2:4" x14ac:dyDescent="0.2">
      <c r="B41" s="172">
        <v>44105</v>
      </c>
      <c r="C41" s="170">
        <v>2.2614297648012975</v>
      </c>
      <c r="D41" s="173">
        <f t="shared" si="6"/>
        <v>2020</v>
      </c>
    </row>
    <row r="42" spans="2:4" x14ac:dyDescent="0.2">
      <c r="B42" s="172">
        <v>44136</v>
      </c>
      <c r="C42" s="170">
        <v>2.4757444444444441</v>
      </c>
      <c r="D42" s="173">
        <f t="shared" si="6"/>
        <v>2020</v>
      </c>
    </row>
    <row r="43" spans="2:4" x14ac:dyDescent="0.2">
      <c r="B43" s="174">
        <v>44166</v>
      </c>
      <c r="C43" s="175">
        <v>2.6116933495539332</v>
      </c>
      <c r="D43" s="176">
        <f t="shared" si="6"/>
        <v>2020</v>
      </c>
    </row>
    <row r="44" spans="2:4" x14ac:dyDescent="0.2">
      <c r="B44" s="169">
        <v>44197</v>
      </c>
      <c r="C44" s="170">
        <v>2.6955335766423358</v>
      </c>
      <c r="D44" s="171">
        <f t="shared" ref="D44:D67" si="7">YEAR(B44)</f>
        <v>2021</v>
      </c>
    </row>
    <row r="45" spans="2:4" x14ac:dyDescent="0.2">
      <c r="B45" s="172">
        <v>44228</v>
      </c>
      <c r="C45" s="170">
        <v>2.7137817518248171</v>
      </c>
      <c r="D45" s="173">
        <f t="shared" si="7"/>
        <v>2021</v>
      </c>
    </row>
    <row r="46" spans="2:4" x14ac:dyDescent="0.2">
      <c r="B46" s="172">
        <v>44256</v>
      </c>
      <c r="C46" s="170">
        <v>2.6359228710462284</v>
      </c>
      <c r="D46" s="173">
        <f t="shared" si="7"/>
        <v>2021</v>
      </c>
    </row>
    <row r="47" spans="2:4" x14ac:dyDescent="0.2">
      <c r="B47" s="172">
        <v>44287</v>
      </c>
      <c r="C47" s="170">
        <v>2.2084086780210863</v>
      </c>
      <c r="D47" s="173">
        <f t="shared" si="7"/>
        <v>2021</v>
      </c>
    </row>
    <row r="48" spans="2:4" x14ac:dyDescent="0.2">
      <c r="B48" s="172">
        <v>44317</v>
      </c>
      <c r="C48" s="170">
        <v>2.1714054339010542</v>
      </c>
      <c r="D48" s="173">
        <f t="shared" si="7"/>
        <v>2021</v>
      </c>
    </row>
    <row r="49" spans="2:4" x14ac:dyDescent="0.2">
      <c r="B49" s="172">
        <v>44348</v>
      </c>
      <c r="C49" s="170">
        <v>2.1999942416869422</v>
      </c>
      <c r="D49" s="173">
        <f t="shared" si="7"/>
        <v>2021</v>
      </c>
    </row>
    <row r="50" spans="2:4" x14ac:dyDescent="0.2">
      <c r="B50" s="172">
        <v>44378</v>
      </c>
      <c r="C50" s="170">
        <v>2.2373016220600159</v>
      </c>
      <c r="D50" s="173">
        <f t="shared" si="7"/>
        <v>2021</v>
      </c>
    </row>
    <row r="51" spans="2:4" x14ac:dyDescent="0.2">
      <c r="B51" s="172">
        <v>44409</v>
      </c>
      <c r="C51" s="170">
        <v>2.2654849148418492</v>
      </c>
      <c r="D51" s="173">
        <f t="shared" si="7"/>
        <v>2021</v>
      </c>
    </row>
    <row r="52" spans="2:4" x14ac:dyDescent="0.2">
      <c r="B52" s="172">
        <v>44440</v>
      </c>
      <c r="C52" s="170">
        <v>2.284949635036496</v>
      </c>
      <c r="D52" s="173">
        <f t="shared" si="7"/>
        <v>2021</v>
      </c>
    </row>
    <row r="53" spans="2:4" x14ac:dyDescent="0.2">
      <c r="B53" s="172">
        <v>44470</v>
      </c>
      <c r="C53" s="170">
        <v>2.3011702351987018</v>
      </c>
      <c r="D53" s="173">
        <f t="shared" si="7"/>
        <v>2021</v>
      </c>
    </row>
    <row r="54" spans="2:4" x14ac:dyDescent="0.2">
      <c r="B54" s="172">
        <v>44501</v>
      </c>
      <c r="C54" s="170">
        <v>2.464896918085969</v>
      </c>
      <c r="D54" s="173">
        <f t="shared" si="7"/>
        <v>2021</v>
      </c>
    </row>
    <row r="55" spans="2:4" x14ac:dyDescent="0.2">
      <c r="B55" s="174">
        <v>44531</v>
      </c>
      <c r="C55" s="175">
        <v>2.6115919708029192</v>
      </c>
      <c r="D55" s="176">
        <f t="shared" si="7"/>
        <v>2021</v>
      </c>
    </row>
    <row r="56" spans="2:4" x14ac:dyDescent="0.2">
      <c r="B56" s="169">
        <v>44562</v>
      </c>
      <c r="C56" s="170">
        <v>2.7092197080291971</v>
      </c>
      <c r="D56" s="171">
        <f t="shared" si="7"/>
        <v>2022</v>
      </c>
    </row>
    <row r="57" spans="2:4" x14ac:dyDescent="0.2">
      <c r="B57" s="172">
        <v>44593</v>
      </c>
      <c r="C57" s="170">
        <v>2.7115514193025141</v>
      </c>
      <c r="D57" s="173">
        <f t="shared" si="7"/>
        <v>2022</v>
      </c>
    </row>
    <row r="58" spans="2:4" x14ac:dyDescent="0.2">
      <c r="B58" s="172">
        <v>44621</v>
      </c>
      <c r="C58" s="170">
        <v>2.6436276561232761</v>
      </c>
      <c r="D58" s="173">
        <f t="shared" si="7"/>
        <v>2022</v>
      </c>
    </row>
    <row r="59" spans="2:4" x14ac:dyDescent="0.2">
      <c r="B59" s="172">
        <v>44652</v>
      </c>
      <c r="C59" s="170">
        <v>2.2146941605839414</v>
      </c>
      <c r="D59" s="173">
        <f t="shared" si="7"/>
        <v>2022</v>
      </c>
    </row>
    <row r="60" spans="2:4" x14ac:dyDescent="0.2">
      <c r="B60" s="172">
        <v>44682</v>
      </c>
      <c r="C60" s="170">
        <v>2.1883356853203564</v>
      </c>
      <c r="D60" s="173">
        <f t="shared" si="7"/>
        <v>2022</v>
      </c>
    </row>
    <row r="61" spans="2:4" x14ac:dyDescent="0.2">
      <c r="B61" s="172">
        <v>44713</v>
      </c>
      <c r="C61" s="170">
        <v>2.2185465531224655</v>
      </c>
      <c r="D61" s="173">
        <f t="shared" si="7"/>
        <v>2022</v>
      </c>
    </row>
    <row r="62" spans="2:4" x14ac:dyDescent="0.2">
      <c r="B62" s="172">
        <v>44743</v>
      </c>
      <c r="C62" s="170">
        <v>2.2634573398215729</v>
      </c>
      <c r="D62" s="173">
        <f t="shared" si="7"/>
        <v>2022</v>
      </c>
    </row>
    <row r="63" spans="2:4" x14ac:dyDescent="0.2">
      <c r="B63" s="172">
        <v>44774</v>
      </c>
      <c r="C63" s="170">
        <v>2.2938709651257092</v>
      </c>
      <c r="D63" s="173">
        <f t="shared" si="7"/>
        <v>2022</v>
      </c>
    </row>
    <row r="64" spans="2:4" x14ac:dyDescent="0.2">
      <c r="B64" s="172">
        <v>44805</v>
      </c>
      <c r="C64" s="170">
        <v>2.3145522303325223</v>
      </c>
      <c r="D64" s="173">
        <f t="shared" si="7"/>
        <v>2022</v>
      </c>
    </row>
    <row r="65" spans="2:4" x14ac:dyDescent="0.2">
      <c r="B65" s="172">
        <v>44835</v>
      </c>
      <c r="C65" s="170">
        <v>2.3412148418491485</v>
      </c>
      <c r="D65" s="173">
        <f t="shared" si="7"/>
        <v>2022</v>
      </c>
    </row>
    <row r="66" spans="2:4" x14ac:dyDescent="0.2">
      <c r="B66" s="172">
        <v>44866</v>
      </c>
      <c r="C66" s="170">
        <v>2.515079399837794</v>
      </c>
      <c r="D66" s="173">
        <f t="shared" si="7"/>
        <v>2022</v>
      </c>
    </row>
    <row r="67" spans="2:4" x14ac:dyDescent="0.2">
      <c r="B67" s="174">
        <v>44896</v>
      </c>
      <c r="C67" s="175">
        <v>2.6656268450932683</v>
      </c>
      <c r="D67" s="176">
        <f t="shared" si="7"/>
        <v>2022</v>
      </c>
    </row>
    <row r="68" spans="2:4" x14ac:dyDescent="0.2">
      <c r="B68" s="169">
        <v>44927</v>
      </c>
      <c r="C68" s="170">
        <v>2.7327395782643955</v>
      </c>
      <c r="D68" s="171">
        <f t="shared" ref="D68:D79" si="8">YEAR(B68)</f>
        <v>2023</v>
      </c>
    </row>
    <row r="69" spans="2:4" x14ac:dyDescent="0.2">
      <c r="B69" s="172">
        <v>44958</v>
      </c>
      <c r="C69" s="170">
        <v>2.7246292781832921</v>
      </c>
      <c r="D69" s="173">
        <f t="shared" si="8"/>
        <v>2023</v>
      </c>
    </row>
    <row r="70" spans="2:4" x14ac:dyDescent="0.2">
      <c r="B70" s="172">
        <v>44986</v>
      </c>
      <c r="C70" s="170">
        <v>2.6622813463098134</v>
      </c>
      <c r="D70" s="173">
        <f t="shared" si="8"/>
        <v>2023</v>
      </c>
    </row>
    <row r="71" spans="2:4" x14ac:dyDescent="0.2">
      <c r="B71" s="172">
        <v>45017</v>
      </c>
      <c r="C71" s="170">
        <v>2.23152303325223</v>
      </c>
      <c r="D71" s="173">
        <f t="shared" si="8"/>
        <v>2023</v>
      </c>
    </row>
    <row r="72" spans="2:4" x14ac:dyDescent="0.2">
      <c r="B72" s="172">
        <v>45047</v>
      </c>
      <c r="C72" s="170">
        <v>2.2050631792376318</v>
      </c>
      <c r="D72" s="173">
        <f t="shared" si="8"/>
        <v>2023</v>
      </c>
    </row>
    <row r="73" spans="2:4" x14ac:dyDescent="0.2">
      <c r="B73" s="172">
        <v>45078</v>
      </c>
      <c r="C73" s="170">
        <v>2.2342602595296026</v>
      </c>
      <c r="D73" s="173">
        <f t="shared" si="8"/>
        <v>2023</v>
      </c>
    </row>
    <row r="74" spans="2:4" x14ac:dyDescent="0.2">
      <c r="B74" s="172">
        <v>45108</v>
      </c>
      <c r="C74" s="170">
        <v>2.2780558799675585</v>
      </c>
      <c r="D74" s="173">
        <f t="shared" si="8"/>
        <v>2023</v>
      </c>
    </row>
    <row r="75" spans="2:4" x14ac:dyDescent="0.2">
      <c r="B75" s="172">
        <v>45139</v>
      </c>
      <c r="C75" s="170">
        <v>2.3095846715328467</v>
      </c>
      <c r="D75" s="173">
        <f t="shared" si="8"/>
        <v>2023</v>
      </c>
    </row>
    <row r="76" spans="2:4" x14ac:dyDescent="0.2">
      <c r="B76" s="172">
        <v>45170</v>
      </c>
      <c r="C76" s="170">
        <v>2.3303673154906726</v>
      </c>
      <c r="D76" s="173">
        <f t="shared" si="8"/>
        <v>2023</v>
      </c>
    </row>
    <row r="77" spans="2:4" x14ac:dyDescent="0.2">
      <c r="B77" s="172">
        <v>45200</v>
      </c>
      <c r="C77" s="170">
        <v>2.3609836982968369</v>
      </c>
      <c r="D77" s="173">
        <f t="shared" si="8"/>
        <v>2023</v>
      </c>
    </row>
    <row r="78" spans="2:4" x14ac:dyDescent="0.2">
      <c r="B78" s="172">
        <v>45231</v>
      </c>
      <c r="C78" s="170">
        <v>3.2844427412814268</v>
      </c>
      <c r="D78" s="173">
        <f t="shared" si="8"/>
        <v>2023</v>
      </c>
    </row>
    <row r="79" spans="2:4" x14ac:dyDescent="0.2">
      <c r="B79" s="174">
        <v>45261</v>
      </c>
      <c r="C79" s="175">
        <v>3.436105352798053</v>
      </c>
      <c r="D79" s="176">
        <f t="shared" si="8"/>
        <v>2023</v>
      </c>
    </row>
    <row r="80" spans="2:4" x14ac:dyDescent="0.2">
      <c r="B80" s="169">
        <v>45292</v>
      </c>
      <c r="C80" s="170">
        <v>3.4786844282238443</v>
      </c>
      <c r="D80" s="171">
        <f t="shared" ref="D80:D115" si="9">YEAR(B80)</f>
        <v>2024</v>
      </c>
    </row>
    <row r="81" spans="2:4" x14ac:dyDescent="0.2">
      <c r="B81" s="172">
        <v>45323</v>
      </c>
      <c r="C81" s="170">
        <v>3.4811175182481748</v>
      </c>
      <c r="D81" s="173">
        <f t="shared" si="9"/>
        <v>2024</v>
      </c>
    </row>
    <row r="82" spans="2:4" x14ac:dyDescent="0.2">
      <c r="B82" s="172">
        <v>45352</v>
      </c>
      <c r="C82" s="170">
        <v>3.3457768856447685</v>
      </c>
      <c r="D82" s="173">
        <f t="shared" si="9"/>
        <v>2024</v>
      </c>
    </row>
    <row r="83" spans="2:4" x14ac:dyDescent="0.2">
      <c r="B83" s="172">
        <v>45383</v>
      </c>
      <c r="C83" s="170">
        <v>2.9740210056772098</v>
      </c>
      <c r="D83" s="173">
        <f t="shared" si="9"/>
        <v>2024</v>
      </c>
    </row>
    <row r="84" spans="2:4" x14ac:dyDescent="0.2">
      <c r="B84" s="172">
        <v>45413</v>
      </c>
      <c r="C84" s="170">
        <v>2.9413770478507701</v>
      </c>
      <c r="D84" s="173">
        <f t="shared" si="9"/>
        <v>2024</v>
      </c>
    </row>
    <row r="85" spans="2:4" x14ac:dyDescent="0.2">
      <c r="B85" s="172">
        <v>45444</v>
      </c>
      <c r="C85" s="170">
        <v>2.962463828061638</v>
      </c>
      <c r="D85" s="173">
        <f t="shared" si="9"/>
        <v>2024</v>
      </c>
    </row>
    <row r="86" spans="2:4" x14ac:dyDescent="0.2">
      <c r="B86" s="172">
        <v>45474</v>
      </c>
      <c r="C86" s="170">
        <v>2.9908498783454984</v>
      </c>
      <c r="D86" s="173">
        <f t="shared" si="9"/>
        <v>2024</v>
      </c>
    </row>
    <row r="87" spans="2:4" x14ac:dyDescent="0.2">
      <c r="B87" s="172">
        <v>45505</v>
      </c>
      <c r="C87" s="170">
        <v>3.0065635847526355</v>
      </c>
      <c r="D87" s="173">
        <f t="shared" si="9"/>
        <v>2024</v>
      </c>
    </row>
    <row r="88" spans="2:4" x14ac:dyDescent="0.2">
      <c r="B88" s="172">
        <v>45536</v>
      </c>
      <c r="C88" s="170">
        <v>3.0495481751824811</v>
      </c>
      <c r="D88" s="173">
        <f t="shared" si="9"/>
        <v>2024</v>
      </c>
    </row>
    <row r="89" spans="2:4" x14ac:dyDescent="0.2">
      <c r="B89" s="172">
        <v>45566</v>
      </c>
      <c r="C89" s="170">
        <v>3.0713446066504457</v>
      </c>
      <c r="D89" s="173">
        <f t="shared" si="9"/>
        <v>2024</v>
      </c>
    </row>
    <row r="90" spans="2:4" x14ac:dyDescent="0.2">
      <c r="B90" s="172">
        <v>45597</v>
      </c>
      <c r="C90" s="170">
        <v>4.0538060827250604</v>
      </c>
      <c r="D90" s="173">
        <f t="shared" si="9"/>
        <v>2024</v>
      </c>
    </row>
    <row r="91" spans="2:4" x14ac:dyDescent="0.2">
      <c r="B91" s="174">
        <v>45627</v>
      </c>
      <c r="C91" s="175">
        <v>4.2065838605028381</v>
      </c>
      <c r="D91" s="176">
        <f t="shared" si="9"/>
        <v>2024</v>
      </c>
    </row>
    <row r="92" spans="2:4" x14ac:dyDescent="0.2">
      <c r="B92" s="169">
        <v>45658</v>
      </c>
      <c r="C92" s="170">
        <v>4.2245278994322781</v>
      </c>
      <c r="D92" s="171">
        <f t="shared" si="9"/>
        <v>2025</v>
      </c>
    </row>
    <row r="93" spans="2:4" x14ac:dyDescent="0.2">
      <c r="B93" s="172">
        <v>45689</v>
      </c>
      <c r="C93" s="170">
        <v>4.2375043795620435</v>
      </c>
      <c r="D93" s="173">
        <f t="shared" si="9"/>
        <v>2025</v>
      </c>
    </row>
    <row r="94" spans="2:4" x14ac:dyDescent="0.2">
      <c r="B94" s="172">
        <v>45717</v>
      </c>
      <c r="C94" s="170">
        <v>4.0291710462287105</v>
      </c>
      <c r="D94" s="173">
        <f t="shared" si="9"/>
        <v>2025</v>
      </c>
    </row>
    <row r="95" spans="2:4" x14ac:dyDescent="0.2">
      <c r="B95" s="172">
        <v>45748</v>
      </c>
      <c r="C95" s="170">
        <v>3.7166203568532037</v>
      </c>
      <c r="D95" s="173">
        <f t="shared" si="9"/>
        <v>2025</v>
      </c>
    </row>
    <row r="96" spans="2:4" x14ac:dyDescent="0.2">
      <c r="B96" s="172">
        <v>45778</v>
      </c>
      <c r="C96" s="170">
        <v>3.6775895377128949</v>
      </c>
      <c r="D96" s="173">
        <f t="shared" si="9"/>
        <v>2025</v>
      </c>
    </row>
    <row r="97" spans="2:4" x14ac:dyDescent="0.2">
      <c r="B97" s="172">
        <v>45809</v>
      </c>
      <c r="C97" s="170">
        <v>3.6905660178426598</v>
      </c>
      <c r="D97" s="173">
        <f t="shared" si="9"/>
        <v>2025</v>
      </c>
    </row>
    <row r="98" spans="2:4" x14ac:dyDescent="0.2">
      <c r="B98" s="172">
        <v>45839</v>
      </c>
      <c r="C98" s="170">
        <v>3.7036438767234383</v>
      </c>
      <c r="D98" s="173">
        <f t="shared" si="9"/>
        <v>2025</v>
      </c>
    </row>
    <row r="99" spans="2:4" x14ac:dyDescent="0.2">
      <c r="B99" s="172">
        <v>45870</v>
      </c>
      <c r="C99" s="170">
        <v>3.7036438767234383</v>
      </c>
      <c r="D99" s="173">
        <f t="shared" si="9"/>
        <v>2025</v>
      </c>
    </row>
    <row r="100" spans="2:4" x14ac:dyDescent="0.2">
      <c r="B100" s="172">
        <v>45901</v>
      </c>
      <c r="C100" s="170">
        <v>3.7687290348742901</v>
      </c>
      <c r="D100" s="173">
        <f t="shared" si="9"/>
        <v>2025</v>
      </c>
    </row>
    <row r="101" spans="2:4" x14ac:dyDescent="0.2">
      <c r="B101" s="172">
        <v>45931</v>
      </c>
      <c r="C101" s="170">
        <v>3.7817055150040546</v>
      </c>
      <c r="D101" s="173">
        <f t="shared" si="9"/>
        <v>2025</v>
      </c>
    </row>
    <row r="102" spans="2:4" x14ac:dyDescent="0.2">
      <c r="B102" s="172">
        <v>45962</v>
      </c>
      <c r="C102" s="170">
        <v>3.9900388483373881</v>
      </c>
      <c r="D102" s="173">
        <f t="shared" si="9"/>
        <v>2025</v>
      </c>
    </row>
    <row r="103" spans="2:4" x14ac:dyDescent="0.2">
      <c r="B103" s="174">
        <v>45992</v>
      </c>
      <c r="C103" s="175">
        <v>4.1724192214111921</v>
      </c>
      <c r="D103" s="176">
        <f t="shared" si="9"/>
        <v>2025</v>
      </c>
    </row>
    <row r="104" spans="2:4" x14ac:dyDescent="0.2">
      <c r="B104" s="169">
        <v>46023</v>
      </c>
      <c r="C104" s="170">
        <v>4.1836722627737224</v>
      </c>
      <c r="D104" s="171">
        <f t="shared" si="9"/>
        <v>2026</v>
      </c>
    </row>
    <row r="105" spans="2:4" x14ac:dyDescent="0.2">
      <c r="B105" s="172">
        <v>46054</v>
      </c>
      <c r="C105" s="170">
        <v>4.2102334955393346</v>
      </c>
      <c r="D105" s="173">
        <f t="shared" si="9"/>
        <v>2026</v>
      </c>
    </row>
    <row r="106" spans="2:4" x14ac:dyDescent="0.2">
      <c r="B106" s="172">
        <v>46082</v>
      </c>
      <c r="C106" s="170">
        <v>4.0106187347931872</v>
      </c>
      <c r="D106" s="173">
        <f t="shared" si="9"/>
        <v>2026</v>
      </c>
    </row>
    <row r="107" spans="2:4" x14ac:dyDescent="0.2">
      <c r="B107" s="172">
        <v>46113</v>
      </c>
      <c r="C107" s="170">
        <v>3.7045562854825627</v>
      </c>
      <c r="D107" s="173">
        <f t="shared" si="9"/>
        <v>2026</v>
      </c>
    </row>
    <row r="108" spans="2:4" x14ac:dyDescent="0.2">
      <c r="B108" s="172">
        <v>46143</v>
      </c>
      <c r="C108" s="170">
        <v>3.6646130575831299</v>
      </c>
      <c r="D108" s="173">
        <f t="shared" si="9"/>
        <v>2026</v>
      </c>
    </row>
    <row r="109" spans="2:4" x14ac:dyDescent="0.2">
      <c r="B109" s="172">
        <v>46174</v>
      </c>
      <c r="C109" s="170">
        <v>3.6912756690997561</v>
      </c>
      <c r="D109" s="173">
        <f t="shared" si="9"/>
        <v>2026</v>
      </c>
    </row>
    <row r="110" spans="2:4" x14ac:dyDescent="0.2">
      <c r="B110" s="172">
        <v>46204</v>
      </c>
      <c r="C110" s="170">
        <v>3.7045562854825627</v>
      </c>
      <c r="D110" s="173">
        <f t="shared" si="9"/>
        <v>2026</v>
      </c>
    </row>
    <row r="111" spans="2:4" x14ac:dyDescent="0.2">
      <c r="B111" s="172">
        <v>46235</v>
      </c>
      <c r="C111" s="170">
        <v>3.7178369018653687</v>
      </c>
      <c r="D111" s="173">
        <f t="shared" si="9"/>
        <v>2026</v>
      </c>
    </row>
    <row r="112" spans="2:4" x14ac:dyDescent="0.2">
      <c r="B112" s="172">
        <v>46266</v>
      </c>
      <c r="C112" s="170">
        <v>3.7444995133819949</v>
      </c>
      <c r="D112" s="173">
        <f t="shared" si="9"/>
        <v>2026</v>
      </c>
    </row>
    <row r="113" spans="2:4" x14ac:dyDescent="0.2">
      <c r="B113" s="172">
        <v>46296</v>
      </c>
      <c r="C113" s="170">
        <v>3.757780129764801</v>
      </c>
      <c r="D113" s="173">
        <f t="shared" si="9"/>
        <v>2026</v>
      </c>
    </row>
    <row r="114" spans="2:4" x14ac:dyDescent="0.2">
      <c r="B114" s="172">
        <v>46327</v>
      </c>
      <c r="C114" s="170">
        <v>3.9973381184103811</v>
      </c>
      <c r="D114" s="173">
        <f t="shared" si="9"/>
        <v>2026</v>
      </c>
    </row>
    <row r="115" spans="2:4" x14ac:dyDescent="0.2">
      <c r="B115" s="174">
        <v>46357</v>
      </c>
      <c r="C115" s="175">
        <v>4.2102334955393346</v>
      </c>
      <c r="D115" s="176">
        <f t="shared" si="9"/>
        <v>2026</v>
      </c>
    </row>
    <row r="116" spans="2:4" x14ac:dyDescent="0.2">
      <c r="B116" s="169">
        <v>46388</v>
      </c>
      <c r="C116" s="170">
        <v>4.2205741281427409</v>
      </c>
      <c r="D116" s="171">
        <f t="shared" ref="D116:D127" si="10">YEAR(B116)</f>
        <v>2027</v>
      </c>
    </row>
    <row r="117" spans="2:4" x14ac:dyDescent="0.2">
      <c r="B117" s="172">
        <v>46419</v>
      </c>
      <c r="C117" s="170">
        <v>4.2341588807785886</v>
      </c>
      <c r="D117" s="173">
        <f t="shared" si="10"/>
        <v>2027</v>
      </c>
    </row>
    <row r="118" spans="2:4" x14ac:dyDescent="0.2">
      <c r="B118" s="172">
        <v>46447</v>
      </c>
      <c r="C118" s="170">
        <v>4.0573543390105433</v>
      </c>
      <c r="D118" s="173">
        <f t="shared" si="10"/>
        <v>2027</v>
      </c>
    </row>
    <row r="119" spans="2:4" x14ac:dyDescent="0.2">
      <c r="B119" s="172">
        <v>46478</v>
      </c>
      <c r="C119" s="170">
        <v>3.7717703974047034</v>
      </c>
      <c r="D119" s="173">
        <f t="shared" si="10"/>
        <v>2027</v>
      </c>
    </row>
    <row r="120" spans="2:4" x14ac:dyDescent="0.2">
      <c r="B120" s="172">
        <v>46508</v>
      </c>
      <c r="C120" s="170">
        <v>3.7581856447688562</v>
      </c>
      <c r="D120" s="173">
        <f t="shared" si="10"/>
        <v>2027</v>
      </c>
    </row>
    <row r="121" spans="2:4" x14ac:dyDescent="0.2">
      <c r="B121" s="172">
        <v>46539</v>
      </c>
      <c r="C121" s="170">
        <v>3.7717703974047034</v>
      </c>
      <c r="D121" s="173">
        <f t="shared" si="10"/>
        <v>2027</v>
      </c>
    </row>
    <row r="122" spans="2:4" x14ac:dyDescent="0.2">
      <c r="B122" s="172">
        <v>46569</v>
      </c>
      <c r="C122" s="170">
        <v>3.8533802919708022</v>
      </c>
      <c r="D122" s="173">
        <f t="shared" si="10"/>
        <v>2027</v>
      </c>
    </row>
    <row r="123" spans="2:4" x14ac:dyDescent="0.2">
      <c r="B123" s="172">
        <v>46600</v>
      </c>
      <c r="C123" s="170">
        <v>3.8669650446066504</v>
      </c>
      <c r="D123" s="173">
        <f t="shared" si="10"/>
        <v>2027</v>
      </c>
    </row>
    <row r="124" spans="2:4" x14ac:dyDescent="0.2">
      <c r="B124" s="172">
        <v>46631</v>
      </c>
      <c r="C124" s="170">
        <v>3.9485749391727492</v>
      </c>
      <c r="D124" s="173">
        <f t="shared" si="10"/>
        <v>2027</v>
      </c>
    </row>
    <row r="125" spans="2:4" x14ac:dyDescent="0.2">
      <c r="B125" s="172">
        <v>46661</v>
      </c>
      <c r="C125" s="170">
        <v>3.9757444444444441</v>
      </c>
      <c r="D125" s="173">
        <f t="shared" si="10"/>
        <v>2027</v>
      </c>
    </row>
    <row r="126" spans="2:4" x14ac:dyDescent="0.2">
      <c r="B126" s="172">
        <v>46692</v>
      </c>
      <c r="C126" s="170">
        <v>4.3021840227088397</v>
      </c>
      <c r="D126" s="173">
        <f t="shared" si="10"/>
        <v>2027</v>
      </c>
    </row>
    <row r="127" spans="2:4" x14ac:dyDescent="0.2">
      <c r="B127" s="174">
        <v>46722</v>
      </c>
      <c r="C127" s="175">
        <v>4.5198442011354416</v>
      </c>
      <c r="D127" s="176">
        <f t="shared" si="10"/>
        <v>2027</v>
      </c>
    </row>
    <row r="128" spans="2:4" x14ac:dyDescent="0.2">
      <c r="B128" s="169"/>
      <c r="C128" s="170"/>
      <c r="D128" s="171"/>
    </row>
    <row r="129" spans="2:4" x14ac:dyDescent="0.2">
      <c r="B129" s="172"/>
      <c r="C129" s="170"/>
      <c r="D129" s="173"/>
    </row>
    <row r="130" spans="2:4" x14ac:dyDescent="0.2">
      <c r="B130" s="172"/>
      <c r="C130" s="170"/>
      <c r="D130" s="173"/>
    </row>
    <row r="131" spans="2:4" x14ac:dyDescent="0.2">
      <c r="B131" s="172"/>
      <c r="C131" s="170"/>
      <c r="D131" s="173"/>
    </row>
    <row r="132" spans="2:4" x14ac:dyDescent="0.2">
      <c r="B132" s="172"/>
      <c r="C132" s="170"/>
      <c r="D132" s="173"/>
    </row>
    <row r="133" spans="2:4" x14ac:dyDescent="0.2">
      <c r="B133" s="172"/>
      <c r="C133" s="170"/>
      <c r="D133" s="173"/>
    </row>
    <row r="134" spans="2:4" x14ac:dyDescent="0.2">
      <c r="B134" s="172"/>
      <c r="C134" s="170"/>
      <c r="D134" s="173"/>
    </row>
    <row r="135" spans="2:4" x14ac:dyDescent="0.2">
      <c r="B135" s="172"/>
      <c r="C135" s="170"/>
      <c r="D135" s="173"/>
    </row>
    <row r="136" spans="2:4" x14ac:dyDescent="0.2">
      <c r="B136" s="172"/>
      <c r="C136" s="170"/>
      <c r="D136" s="173"/>
    </row>
    <row r="137" spans="2:4" x14ac:dyDescent="0.2">
      <c r="B137" s="172"/>
      <c r="C137" s="170"/>
      <c r="D137" s="173"/>
    </row>
    <row r="138" spans="2:4" x14ac:dyDescent="0.2">
      <c r="B138" s="172"/>
      <c r="C138" s="170"/>
      <c r="D138" s="173"/>
    </row>
    <row r="139" spans="2:4" x14ac:dyDescent="0.2">
      <c r="B139" s="174"/>
      <c r="C139" s="175"/>
      <c r="D139" s="176"/>
    </row>
    <row r="140" spans="2:4" x14ac:dyDescent="0.2">
      <c r="B140" s="169"/>
      <c r="C140" s="170"/>
      <c r="D140" s="171"/>
    </row>
    <row r="141" spans="2:4" x14ac:dyDescent="0.2">
      <c r="B141" s="172"/>
      <c r="C141" s="170"/>
      <c r="D141" s="173"/>
    </row>
    <row r="142" spans="2:4" x14ac:dyDescent="0.2">
      <c r="B142" s="172"/>
      <c r="C142" s="170"/>
      <c r="D142" s="173"/>
    </row>
    <row r="143" spans="2:4" x14ac:dyDescent="0.2">
      <c r="B143" s="172"/>
      <c r="C143" s="170"/>
      <c r="D143" s="173"/>
    </row>
    <row r="144" spans="2:4" x14ac:dyDescent="0.2">
      <c r="B144" s="172"/>
      <c r="C144" s="170"/>
      <c r="D144" s="173"/>
    </row>
    <row r="145" spans="2:4" x14ac:dyDescent="0.2">
      <c r="B145" s="172"/>
      <c r="C145" s="170"/>
      <c r="D145" s="173"/>
    </row>
    <row r="146" spans="2:4" x14ac:dyDescent="0.2">
      <c r="B146" s="172"/>
      <c r="C146" s="170"/>
      <c r="D146" s="173"/>
    </row>
    <row r="147" spans="2:4" x14ac:dyDescent="0.2">
      <c r="B147" s="172"/>
      <c r="C147" s="170"/>
      <c r="D147" s="173"/>
    </row>
    <row r="148" spans="2:4" x14ac:dyDescent="0.2">
      <c r="B148" s="172"/>
      <c r="C148" s="170"/>
      <c r="D148" s="173"/>
    </row>
    <row r="149" spans="2:4" x14ac:dyDescent="0.2">
      <c r="B149" s="172"/>
      <c r="C149" s="170"/>
      <c r="D149" s="173"/>
    </row>
    <row r="150" spans="2:4" x14ac:dyDescent="0.2">
      <c r="B150" s="172"/>
      <c r="C150" s="170"/>
      <c r="D150" s="173"/>
    </row>
    <row r="151" spans="2:4" x14ac:dyDescent="0.2">
      <c r="B151" s="174"/>
      <c r="C151" s="175"/>
      <c r="D151" s="176"/>
    </row>
    <row r="152" spans="2:4" x14ac:dyDescent="0.2">
      <c r="B152" s="169"/>
      <c r="C152" s="170"/>
      <c r="D152" s="171"/>
    </row>
    <row r="153" spans="2:4" x14ac:dyDescent="0.2">
      <c r="B153" s="172"/>
      <c r="C153" s="170"/>
      <c r="D153" s="173"/>
    </row>
    <row r="154" spans="2:4" x14ac:dyDescent="0.2">
      <c r="B154" s="172"/>
      <c r="C154" s="170"/>
      <c r="D154" s="173"/>
    </row>
    <row r="155" spans="2:4" x14ac:dyDescent="0.2">
      <c r="B155" s="172"/>
      <c r="C155" s="170"/>
      <c r="D155" s="173"/>
    </row>
    <row r="156" spans="2:4" x14ac:dyDescent="0.2">
      <c r="B156" s="172"/>
      <c r="C156" s="170"/>
      <c r="D156" s="173"/>
    </row>
    <row r="157" spans="2:4" x14ac:dyDescent="0.2">
      <c r="B157" s="172"/>
      <c r="C157" s="170"/>
      <c r="D157" s="173"/>
    </row>
    <row r="158" spans="2:4" x14ac:dyDescent="0.2">
      <c r="B158" s="172"/>
      <c r="C158" s="170"/>
      <c r="D158" s="173"/>
    </row>
    <row r="159" spans="2:4" x14ac:dyDescent="0.2">
      <c r="B159" s="172"/>
      <c r="C159" s="170"/>
      <c r="D159" s="173"/>
    </row>
    <row r="160" spans="2:4" x14ac:dyDescent="0.2">
      <c r="B160" s="172"/>
      <c r="C160" s="170"/>
      <c r="D160" s="173"/>
    </row>
    <row r="161" spans="2:4" x14ac:dyDescent="0.2">
      <c r="B161" s="172"/>
      <c r="C161" s="170"/>
      <c r="D161" s="173"/>
    </row>
    <row r="162" spans="2:4" x14ac:dyDescent="0.2">
      <c r="B162" s="172"/>
      <c r="C162" s="170"/>
      <c r="D162" s="173"/>
    </row>
    <row r="163" spans="2:4" x14ac:dyDescent="0.2">
      <c r="B163" s="174"/>
      <c r="C163" s="175"/>
      <c r="D163" s="176"/>
    </row>
    <row r="164" spans="2:4" x14ac:dyDescent="0.2">
      <c r="B164" s="169"/>
      <c r="C164" s="170"/>
      <c r="D164" s="171"/>
    </row>
    <row r="165" spans="2:4" x14ac:dyDescent="0.2">
      <c r="B165" s="172"/>
      <c r="C165" s="170"/>
      <c r="D165" s="173"/>
    </row>
    <row r="166" spans="2:4" x14ac:dyDescent="0.2">
      <c r="B166" s="172"/>
      <c r="C166" s="170"/>
      <c r="D166" s="173"/>
    </row>
    <row r="167" spans="2:4" x14ac:dyDescent="0.2">
      <c r="B167" s="172"/>
      <c r="C167" s="170"/>
      <c r="D167" s="173"/>
    </row>
    <row r="168" spans="2:4" x14ac:dyDescent="0.2">
      <c r="B168" s="172"/>
      <c r="C168" s="170"/>
      <c r="D168" s="173"/>
    </row>
    <row r="169" spans="2:4" x14ac:dyDescent="0.2">
      <c r="B169" s="172"/>
      <c r="C169" s="170"/>
      <c r="D169" s="173"/>
    </row>
    <row r="170" spans="2:4" x14ac:dyDescent="0.2">
      <c r="B170" s="172"/>
      <c r="C170" s="170"/>
      <c r="D170" s="173"/>
    </row>
    <row r="171" spans="2:4" x14ac:dyDescent="0.2">
      <c r="B171" s="172"/>
      <c r="C171" s="170"/>
      <c r="D171" s="173"/>
    </row>
    <row r="172" spans="2:4" x14ac:dyDescent="0.2">
      <c r="B172" s="172"/>
      <c r="C172" s="170"/>
      <c r="D172" s="173"/>
    </row>
    <row r="173" spans="2:4" x14ac:dyDescent="0.2">
      <c r="B173" s="172"/>
      <c r="C173" s="170"/>
      <c r="D173" s="173"/>
    </row>
    <row r="174" spans="2:4" x14ac:dyDescent="0.2">
      <c r="B174" s="172"/>
      <c r="C174" s="170"/>
      <c r="D174" s="173"/>
    </row>
    <row r="175" spans="2:4" x14ac:dyDescent="0.2">
      <c r="B175" s="174"/>
      <c r="C175" s="175"/>
      <c r="D175" s="176"/>
    </row>
    <row r="176" spans="2:4" x14ac:dyDescent="0.2">
      <c r="B176" s="169"/>
      <c r="C176" s="170"/>
      <c r="D176" s="171"/>
    </row>
    <row r="177" spans="2:4" x14ac:dyDescent="0.2">
      <c r="B177" s="172"/>
      <c r="C177" s="170"/>
      <c r="D177" s="173"/>
    </row>
    <row r="178" spans="2:4" x14ac:dyDescent="0.2">
      <c r="B178" s="172"/>
      <c r="C178" s="170"/>
      <c r="D178" s="173"/>
    </row>
    <row r="179" spans="2:4" x14ac:dyDescent="0.2">
      <c r="B179" s="172"/>
      <c r="C179" s="170"/>
      <c r="D179" s="173"/>
    </row>
    <row r="180" spans="2:4" x14ac:dyDescent="0.2">
      <c r="B180" s="172"/>
      <c r="C180" s="170"/>
      <c r="D180" s="173"/>
    </row>
    <row r="181" spans="2:4" x14ac:dyDescent="0.2">
      <c r="B181" s="172"/>
      <c r="C181" s="170"/>
      <c r="D181" s="173"/>
    </row>
    <row r="182" spans="2:4" x14ac:dyDescent="0.2">
      <c r="B182" s="172"/>
      <c r="C182" s="170"/>
      <c r="D182" s="173"/>
    </row>
    <row r="183" spans="2:4" x14ac:dyDescent="0.2">
      <c r="B183" s="172"/>
      <c r="C183" s="170"/>
      <c r="D183" s="173"/>
    </row>
    <row r="184" spans="2:4" x14ac:dyDescent="0.2">
      <c r="B184" s="172"/>
      <c r="C184" s="170"/>
      <c r="D184" s="173"/>
    </row>
    <row r="185" spans="2:4" x14ac:dyDescent="0.2">
      <c r="B185" s="172"/>
      <c r="C185" s="170"/>
      <c r="D185" s="173"/>
    </row>
    <row r="186" spans="2:4" x14ac:dyDescent="0.2">
      <c r="B186" s="172"/>
      <c r="C186" s="170"/>
      <c r="D186" s="173"/>
    </row>
    <row r="187" spans="2:4" x14ac:dyDescent="0.2">
      <c r="B187" s="174"/>
      <c r="C187" s="175"/>
      <c r="D187" s="176"/>
    </row>
    <row r="188" spans="2:4" x14ac:dyDescent="0.2">
      <c r="B188" s="169"/>
      <c r="C188" s="170"/>
      <c r="D188" s="171"/>
    </row>
    <row r="189" spans="2:4" x14ac:dyDescent="0.2">
      <c r="B189" s="172"/>
      <c r="C189" s="170"/>
      <c r="D189" s="173"/>
    </row>
    <row r="190" spans="2:4" x14ac:dyDescent="0.2">
      <c r="B190" s="172"/>
      <c r="C190" s="170"/>
      <c r="D190" s="173"/>
    </row>
    <row r="191" spans="2:4" x14ac:dyDescent="0.2">
      <c r="B191" s="172"/>
      <c r="C191" s="170"/>
      <c r="D191" s="173"/>
    </row>
    <row r="192" spans="2:4" x14ac:dyDescent="0.2">
      <c r="B192" s="172"/>
      <c r="C192" s="170"/>
      <c r="D192" s="173"/>
    </row>
    <row r="193" spans="2:4" x14ac:dyDescent="0.2">
      <c r="B193" s="172"/>
      <c r="C193" s="170"/>
      <c r="D193" s="173"/>
    </row>
    <row r="194" spans="2:4" x14ac:dyDescent="0.2">
      <c r="B194" s="172"/>
      <c r="C194" s="170"/>
      <c r="D194" s="173"/>
    </row>
    <row r="195" spans="2:4" x14ac:dyDescent="0.2">
      <c r="B195" s="172"/>
      <c r="C195" s="170"/>
      <c r="D195" s="173"/>
    </row>
    <row r="196" spans="2:4" x14ac:dyDescent="0.2">
      <c r="B196" s="172"/>
      <c r="C196" s="170"/>
      <c r="D196" s="173"/>
    </row>
    <row r="197" spans="2:4" x14ac:dyDescent="0.2">
      <c r="B197" s="172"/>
      <c r="C197" s="170"/>
      <c r="D197" s="173"/>
    </row>
    <row r="198" spans="2:4" x14ac:dyDescent="0.2">
      <c r="B198" s="172"/>
      <c r="C198" s="170"/>
      <c r="D198" s="173"/>
    </row>
    <row r="199" spans="2:4" x14ac:dyDescent="0.2">
      <c r="B199" s="174"/>
      <c r="C199" s="175"/>
      <c r="D199" s="176"/>
    </row>
    <row r="200" spans="2:4" x14ac:dyDescent="0.2">
      <c r="B200" s="169"/>
      <c r="C200" s="170"/>
      <c r="D200" s="171"/>
    </row>
    <row r="201" spans="2:4" x14ac:dyDescent="0.2">
      <c r="B201" s="172"/>
      <c r="C201" s="170"/>
      <c r="D201" s="173"/>
    </row>
    <row r="202" spans="2:4" x14ac:dyDescent="0.2">
      <c r="B202" s="172"/>
      <c r="C202" s="170"/>
      <c r="D202" s="173"/>
    </row>
    <row r="203" spans="2:4" x14ac:dyDescent="0.2">
      <c r="B203" s="172"/>
      <c r="C203" s="170"/>
      <c r="D203" s="173"/>
    </row>
    <row r="204" spans="2:4" x14ac:dyDescent="0.2">
      <c r="B204" s="172"/>
      <c r="C204" s="170"/>
      <c r="D204" s="173"/>
    </row>
    <row r="205" spans="2:4" x14ac:dyDescent="0.2">
      <c r="B205" s="172"/>
      <c r="C205" s="170"/>
      <c r="D205" s="173"/>
    </row>
    <row r="206" spans="2:4" x14ac:dyDescent="0.2">
      <c r="B206" s="172"/>
      <c r="C206" s="170"/>
      <c r="D206" s="173"/>
    </row>
    <row r="207" spans="2:4" x14ac:dyDescent="0.2">
      <c r="B207" s="172"/>
      <c r="C207" s="170"/>
      <c r="D207" s="173"/>
    </row>
    <row r="208" spans="2:4" x14ac:dyDescent="0.2">
      <c r="B208" s="172"/>
      <c r="C208" s="170"/>
      <c r="D208" s="173"/>
    </row>
    <row r="209" spans="2:4" x14ac:dyDescent="0.2">
      <c r="B209" s="172"/>
      <c r="C209" s="170"/>
      <c r="D209" s="173"/>
    </row>
    <row r="210" spans="2:4" x14ac:dyDescent="0.2">
      <c r="B210" s="172"/>
      <c r="C210" s="170"/>
      <c r="D210" s="173"/>
    </row>
    <row r="211" spans="2:4" x14ac:dyDescent="0.2">
      <c r="B211" s="174"/>
      <c r="C211" s="175"/>
      <c r="D211" s="176"/>
    </row>
    <row r="212" spans="2:4" x14ac:dyDescent="0.2">
      <c r="B212" s="169"/>
      <c r="C212" s="170"/>
      <c r="D212" s="171"/>
    </row>
    <row r="213" spans="2:4" x14ac:dyDescent="0.2">
      <c r="B213" s="172"/>
      <c r="C213" s="170"/>
      <c r="D213" s="173"/>
    </row>
    <row r="214" spans="2:4" x14ac:dyDescent="0.2">
      <c r="B214" s="172"/>
      <c r="C214" s="170"/>
      <c r="D214" s="173"/>
    </row>
    <row r="215" spans="2:4" x14ac:dyDescent="0.2">
      <c r="B215" s="172"/>
      <c r="C215" s="170"/>
      <c r="D215" s="173"/>
    </row>
    <row r="216" spans="2:4" x14ac:dyDescent="0.2">
      <c r="B216" s="172"/>
      <c r="C216" s="170"/>
      <c r="D216" s="173"/>
    </row>
    <row r="217" spans="2:4" x14ac:dyDescent="0.2">
      <c r="B217" s="172"/>
      <c r="C217" s="170"/>
      <c r="D217" s="173"/>
    </row>
    <row r="218" spans="2:4" x14ac:dyDescent="0.2">
      <c r="B218" s="172"/>
      <c r="C218" s="170"/>
      <c r="D218" s="173"/>
    </row>
    <row r="219" spans="2:4" x14ac:dyDescent="0.2">
      <c r="B219" s="172"/>
      <c r="C219" s="170"/>
      <c r="D219" s="173"/>
    </row>
    <row r="220" spans="2:4" x14ac:dyDescent="0.2">
      <c r="B220" s="172"/>
      <c r="C220" s="170"/>
      <c r="D220" s="173"/>
    </row>
    <row r="221" spans="2:4" x14ac:dyDescent="0.2">
      <c r="B221" s="172"/>
      <c r="C221" s="170"/>
      <c r="D221" s="173"/>
    </row>
    <row r="222" spans="2:4" x14ac:dyDescent="0.2">
      <c r="B222" s="172"/>
      <c r="C222" s="170"/>
      <c r="D222" s="173"/>
    </row>
    <row r="223" spans="2:4" x14ac:dyDescent="0.2">
      <c r="B223" s="174"/>
      <c r="C223" s="175"/>
      <c r="D223" s="176"/>
    </row>
    <row r="224" spans="2:4" x14ac:dyDescent="0.2">
      <c r="B224" s="207"/>
      <c r="C224" s="170"/>
      <c r="D224" s="208"/>
    </row>
    <row r="225" spans="2:3" x14ac:dyDescent="0.2">
      <c r="C225" s="177" t="s">
        <v>196</v>
      </c>
    </row>
    <row r="226" spans="2:3" x14ac:dyDescent="0.2">
      <c r="C226" s="163">
        <v>43</v>
      </c>
    </row>
    <row r="228" spans="2:3" x14ac:dyDescent="0.2">
      <c r="B228" s="178"/>
    </row>
  </sheetData>
  <phoneticPr fontId="7" type="noConversion"/>
  <printOptions horizontalCentered="1"/>
  <pageMargins left="0.3" right="0.3" top="0.8" bottom="0.4" header="0.5" footer="0.2"/>
  <pageSetup fitToHeight="20" orientation="landscape" r:id="rId1"/>
  <headerFooter alignWithMargins="0">
    <oddFooter>&amp;L&amp;8ljh    &amp;F   ( &amp;A ) &amp;C &amp;R &amp;8&amp;D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2017-12-26T08:00:00+00:00</OpenedDate>
    <SignificantOrder xmlns="dc463f71-b30c-4ab2-9473-d307f9d35888">false</SignificantOrder>
    <Date1 xmlns="dc463f71-b30c-4ab2-9473-d307f9d35888">2017-12-26T08:00:00+00:00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171211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056CA891A4274FB838AF11E3693810" ma:contentTypeVersion="104" ma:contentTypeDescription="" ma:contentTypeScope="" ma:versionID="855a15b63616c138a1b2b4ff9288c8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5f66bc563baa40e4f8b42c568476d43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FFF35-17DA-4193-BC4F-ABC4351DDEC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C06CFC-DFBF-476D-BAA3-540CE499D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C317CD-50E1-4B17-B2A2-B44F6021863C}"/>
</file>

<file path=customXml/itemProps4.xml><?xml version="1.0" encoding="utf-8"?>
<ds:datastoreItem xmlns:ds="http://schemas.openxmlformats.org/officeDocument/2006/customXml" ds:itemID="{50ADBBF0-7C07-450B-8DC7-F333394D1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Table 1</vt:lpstr>
      <vt:lpstr>Table 2</vt:lpstr>
      <vt:lpstr>Tables 3 to 6</vt:lpstr>
      <vt:lpstr>Table 7</vt:lpstr>
      <vt:lpstr>Table 8</vt:lpstr>
      <vt:lpstr>Table 9</vt:lpstr>
      <vt:lpstr>&gt;&gt;&gt;  Do Not Print</vt:lpstr>
      <vt:lpstr>Tariff Page</vt:lpstr>
      <vt:lpstr>Fuel Price Source</vt:lpstr>
      <vt:lpstr>'Fuel Price Source'!Print_Area</vt:lpstr>
      <vt:lpstr>'Table 1'!Print_Area</vt:lpstr>
      <vt:lpstr>'Table 2'!Print_Area</vt:lpstr>
      <vt:lpstr>'Table 7'!Print_Area</vt:lpstr>
      <vt:lpstr>'Table 8'!Print_Area</vt:lpstr>
      <vt:lpstr>'Table 9'!Print_Area</vt:lpstr>
      <vt:lpstr>'Tables 3 to 6'!Print_Area</vt:lpstr>
      <vt:lpstr>'Table 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2017-12-26T19:53:12Z</dcterms:created>
  <dcterms:modified xsi:type="dcterms:W3CDTF">2017-12-26T21:20:38Z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0x0101006E56B4D1795A2E4DB2F0B01679ED314A00DE056CA891A4274FB838AF11E3693810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