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612" firstSheet="1" activeTab="1"/>
  </bookViews>
  <sheets>
    <sheet name="5 15 17 Forecast Usage by Sched" sheetId="13" r:id="rId1"/>
    <sheet name="Electric 2017 Rate Calc" sheetId="4" r:id="rId2"/>
    <sheet name="Prior Year Amortization" sheetId="14" r:id="rId3"/>
    <sheet name="Earnings Test and 3% Test" sheetId="6" r:id="rId4"/>
    <sheet name="Conversion Factor" sheetId="2" r:id="rId5"/>
    <sheet name="Bill Impact" sheetId="15" r:id="rId6"/>
  </sheets>
  <definedNames>
    <definedName name="_xlnm.Print_Area" localSheetId="4">'Conversion Factor'!$A$1:$F$116</definedName>
    <definedName name="_xlnm.Print_Area" localSheetId="3">'Earnings Test and 3% Test'!$A$1:$H$65</definedName>
    <definedName name="_xlnm.Print_Area" localSheetId="1">'Electric 2017 Rate Calc'!$A$1:$K$83</definedName>
    <definedName name="_xlnm.Print_Titles" localSheetId="3">'Earnings Test and 3% Test'!$1:$4</definedName>
    <definedName name="_xlnm.Print_Titles" localSheetId="1">'Electric 2017 Rate Calc'!$1:$3</definedName>
    <definedName name="Z_5C6B1FA1_B621_4699_B8F7_5011E8FF1BCD_.wvu.PrintArea" localSheetId="4" hidden="1">'Conversion Factor'!$A$1:$F$116</definedName>
    <definedName name="Z_5C6B1FA1_B621_4699_B8F7_5011E8FF1BCD_.wvu.PrintArea" localSheetId="3" hidden="1">'Earnings Test and 3% Test'!$B$1:$H$64</definedName>
    <definedName name="Z_5C6B1FA1_B621_4699_B8F7_5011E8FF1BCD_.wvu.PrintArea" localSheetId="1" hidden="1">'Electric 2017 Rate Calc'!$B$1:$K$71</definedName>
    <definedName name="Z_5C6B1FA1_B621_4699_B8F7_5011E8FF1BCD_.wvu.PrintTitles" localSheetId="3" hidden="1">'Earnings Test and 3% Test'!$1:$4</definedName>
    <definedName name="Z_5C6B1FA1_B621_4699_B8F7_5011E8FF1BCD_.wvu.PrintTitles" localSheetId="1" hidden="1">'Electric 2017 Rate Calc'!$1:$3</definedName>
    <definedName name="Z_5C6B1FA1_B621_4699_B8F7_5011E8FF1BCD_.wvu.Rows" localSheetId="4" hidden="1">'Conversion Factor'!$1:$88</definedName>
    <definedName name="Z_6A207E9B_31ED_4215_AD4F_ABB2957B65E4_.wvu.PrintArea" localSheetId="4" hidden="1">'Conversion Factor'!$A$1:$F$116</definedName>
    <definedName name="Z_6A207E9B_31ED_4215_AD4F_ABB2957B65E4_.wvu.PrintArea" localSheetId="3" hidden="1">'Earnings Test and 3% Test'!$J$6:$T$47</definedName>
    <definedName name="Z_6A207E9B_31ED_4215_AD4F_ABB2957B65E4_.wvu.PrintArea" localSheetId="1" hidden="1">'Electric 2017 Rate Calc'!$B$1:$K$71</definedName>
    <definedName name="Z_6A207E9B_31ED_4215_AD4F_ABB2957B65E4_.wvu.PrintTitles" localSheetId="3" hidden="1">'Earnings Test and 3% Test'!$1:$4</definedName>
    <definedName name="Z_6A207E9B_31ED_4215_AD4F_ABB2957B65E4_.wvu.PrintTitles" localSheetId="1" hidden="1">'Electric 2017 Rate Calc'!$1:$3</definedName>
    <definedName name="Z_6A207E9B_31ED_4215_AD4F_ABB2957B65E4_.wvu.Rows" localSheetId="4" hidden="1">'Conversion Factor'!$1:$88</definedName>
  </definedNames>
  <calcPr calcId="152511" calcMode="manual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</workbook>
</file>

<file path=xl/calcChain.xml><?xml version="1.0" encoding="utf-8"?>
<calcChain xmlns="http://schemas.openxmlformats.org/spreadsheetml/2006/main">
  <c r="J31" i="15" l="1"/>
  <c r="J30" i="15"/>
  <c r="J29" i="15"/>
  <c r="J28" i="15"/>
  <c r="J32" i="15" s="1"/>
  <c r="J34" i="15" s="1"/>
  <c r="L25" i="15"/>
  <c r="D25" i="15"/>
  <c r="L23" i="15"/>
  <c r="D23" i="15"/>
  <c r="J17" i="15"/>
  <c r="H17" i="15"/>
  <c r="F17" i="15"/>
  <c r="G17" i="15" s="1"/>
  <c r="M17" i="15" s="1"/>
  <c r="J15" i="15"/>
  <c r="H15" i="15"/>
  <c r="F15" i="15"/>
  <c r="G15" i="15" s="1"/>
  <c r="M15" i="15" s="1"/>
  <c r="J13" i="15"/>
  <c r="H13" i="15"/>
  <c r="F13" i="15"/>
  <c r="J11" i="15"/>
  <c r="I33" i="15" s="1"/>
  <c r="J33" i="15" s="1"/>
  <c r="H11" i="15"/>
  <c r="F11" i="15"/>
  <c r="F23" i="15" l="1"/>
  <c r="G13" i="15"/>
  <c r="M13" i="15" s="1"/>
  <c r="J35" i="15"/>
  <c r="H23" i="15"/>
  <c r="F25" i="15"/>
  <c r="G11" i="15"/>
  <c r="H25" i="15"/>
  <c r="G25" i="15" l="1"/>
  <c r="M25" i="15" s="1"/>
  <c r="G23" i="15"/>
  <c r="M23" i="15" s="1"/>
  <c r="M11" i="15"/>
  <c r="H37" i="14" l="1"/>
  <c r="E37" i="14" s="1"/>
  <c r="H38" i="14"/>
  <c r="E38" i="14" s="1"/>
  <c r="H39" i="14"/>
  <c r="E39" i="14" s="1"/>
  <c r="G37" i="14"/>
  <c r="G38" i="14" s="1"/>
  <c r="G39" i="14" s="1"/>
  <c r="G34" i="14"/>
  <c r="G35" i="14" s="1"/>
  <c r="G31" i="14"/>
  <c r="G32" i="14" s="1"/>
  <c r="G29" i="14"/>
  <c r="D28" i="14"/>
  <c r="F28" i="14" s="1"/>
  <c r="C29" i="14" s="1"/>
  <c r="D9" i="14"/>
  <c r="K10" i="4"/>
  <c r="K11" i="4"/>
  <c r="K12" i="4"/>
  <c r="K13" i="4"/>
  <c r="K14" i="4"/>
  <c r="K15" i="4"/>
  <c r="K16" i="4"/>
  <c r="K17" i="4"/>
  <c r="K18" i="4"/>
  <c r="K19" i="4"/>
  <c r="K20" i="4"/>
  <c r="K9" i="4"/>
  <c r="E10" i="4"/>
  <c r="E11" i="4"/>
  <c r="E12" i="4"/>
  <c r="E13" i="4"/>
  <c r="E14" i="4"/>
  <c r="E15" i="4"/>
  <c r="E16" i="4"/>
  <c r="E17" i="4"/>
  <c r="E18" i="4"/>
  <c r="E19" i="4"/>
  <c r="E20" i="4"/>
  <c r="E9" i="4"/>
  <c r="D29" i="14" l="1"/>
  <c r="F29" i="14" s="1"/>
  <c r="C30" i="14" s="1"/>
  <c r="H18" i="14"/>
  <c r="E18" i="14" s="1"/>
  <c r="H19" i="14"/>
  <c r="E19" i="14" s="1"/>
  <c r="H20" i="14"/>
  <c r="E20" i="14" s="1"/>
  <c r="D30" i="14" l="1"/>
  <c r="F30" i="14" s="1"/>
  <c r="C31" i="14" s="1"/>
  <c r="F9" i="14"/>
  <c r="C10" i="14" s="1"/>
  <c r="D31" i="14" l="1"/>
  <c r="F31" i="14" s="1"/>
  <c r="C32" i="14" s="1"/>
  <c r="D32" i="14" l="1"/>
  <c r="F32" i="14" s="1"/>
  <c r="C33" i="14" s="1"/>
  <c r="D33" i="14" l="1"/>
  <c r="F33" i="14" s="1"/>
  <c r="C34" i="14" s="1"/>
  <c r="D34" i="14" l="1"/>
  <c r="F34" i="14" s="1"/>
  <c r="C35" i="14" s="1"/>
  <c r="G18" i="14"/>
  <c r="G19" i="14" s="1"/>
  <c r="G20" i="14" s="1"/>
  <c r="G15" i="14"/>
  <c r="G16" i="14" s="1"/>
  <c r="G12" i="14"/>
  <c r="G13" i="14" s="1"/>
  <c r="G10" i="14"/>
  <c r="D10" i="14" s="1"/>
  <c r="F10" i="14" s="1"/>
  <c r="C11" i="14" s="1"/>
  <c r="D11" i="14" l="1"/>
  <c r="F11" i="14" s="1"/>
  <c r="C12" i="14" s="1"/>
  <c r="D35" i="14"/>
  <c r="F35" i="14" s="1"/>
  <c r="C36" i="14" s="1"/>
  <c r="H59" i="4"/>
  <c r="H50" i="4"/>
  <c r="H51" i="4"/>
  <c r="H52" i="4"/>
  <c r="H53" i="4"/>
  <c r="H54" i="4"/>
  <c r="H55" i="4"/>
  <c r="H56" i="4"/>
  <c r="H57" i="4"/>
  <c r="H58" i="4"/>
  <c r="H60" i="4"/>
  <c r="H61" i="4"/>
  <c r="H62" i="4"/>
  <c r="H63" i="4"/>
  <c r="H64" i="4"/>
  <c r="H65" i="4"/>
  <c r="H66" i="4"/>
  <c r="H67" i="4"/>
  <c r="H68" i="4"/>
  <c r="H69" i="4"/>
  <c r="H70" i="4"/>
  <c r="H71" i="4"/>
  <c r="H49" i="4"/>
  <c r="H46" i="4"/>
  <c r="H43" i="4"/>
  <c r="E39" i="6"/>
  <c r="D39" i="6"/>
  <c r="D12" i="14" l="1"/>
  <c r="F12" i="14" s="1"/>
  <c r="C13" i="14" s="1"/>
  <c r="D36" i="14"/>
  <c r="F36" i="14" s="1"/>
  <c r="C37" i="14" s="1"/>
  <c r="D14" i="6"/>
  <c r="D13" i="14" l="1"/>
  <c r="F13" i="14" s="1"/>
  <c r="C14" i="14" s="1"/>
  <c r="D14" i="14" s="1"/>
  <c r="D37" i="14"/>
  <c r="F37" i="14" s="1"/>
  <c r="C38" i="14" s="1"/>
  <c r="H3" i="4"/>
  <c r="H9" i="4"/>
  <c r="H10" i="4"/>
  <c r="H11" i="4"/>
  <c r="H12" i="4"/>
  <c r="H13" i="4"/>
  <c r="H14" i="4"/>
  <c r="H15" i="4"/>
  <c r="H16" i="4"/>
  <c r="H17" i="4"/>
  <c r="H18" i="4"/>
  <c r="H19" i="4"/>
  <c r="H20" i="4"/>
  <c r="H8" i="4"/>
  <c r="D38" i="14" l="1"/>
  <c r="F38" i="14" s="1"/>
  <c r="C39" i="14" s="1"/>
  <c r="F14" i="14"/>
  <c r="C15" i="14" s="1"/>
  <c r="D15" i="14" s="1"/>
  <c r="G41" i="6"/>
  <c r="G28" i="6"/>
  <c r="D39" i="14" l="1"/>
  <c r="F39" i="14" s="1"/>
  <c r="I59" i="4" s="1"/>
  <c r="F15" i="14"/>
  <c r="D30" i="2"/>
  <c r="I78" i="4" l="1"/>
  <c r="C16" i="14"/>
  <c r="D16" i="14" s="1"/>
  <c r="I76" i="4"/>
  <c r="C76" i="4"/>
  <c r="J45" i="4" l="1"/>
  <c r="F16" i="14" l="1"/>
  <c r="C17" i="14" s="1"/>
  <c r="D17" i="14" s="1"/>
  <c r="N59" i="13"/>
  <c r="M59" i="13"/>
  <c r="N58" i="13"/>
  <c r="M58" i="13"/>
  <c r="N57" i="13"/>
  <c r="M57" i="13"/>
  <c r="N56" i="13"/>
  <c r="M56" i="13"/>
  <c r="N55" i="13"/>
  <c r="M55" i="13"/>
  <c r="N54" i="13"/>
  <c r="M54" i="13"/>
  <c r="N53" i="13"/>
  <c r="M53" i="13"/>
  <c r="N52" i="13"/>
  <c r="M52" i="13"/>
  <c r="N51" i="13"/>
  <c r="M51" i="13"/>
  <c r="N50" i="13"/>
  <c r="M50" i="13"/>
  <c r="N49" i="13"/>
  <c r="M49" i="13"/>
  <c r="N48" i="13"/>
  <c r="M48" i="13"/>
  <c r="N47" i="13"/>
  <c r="M47" i="13"/>
  <c r="N46" i="13"/>
  <c r="M46" i="13"/>
  <c r="N45" i="13"/>
  <c r="M45" i="13"/>
  <c r="N44" i="13"/>
  <c r="M44" i="13"/>
  <c r="N43" i="13"/>
  <c r="M43" i="13"/>
  <c r="N42" i="13"/>
  <c r="M42" i="13"/>
  <c r="N41" i="13"/>
  <c r="M41" i="13"/>
  <c r="N40" i="13"/>
  <c r="M40" i="13"/>
  <c r="N39" i="13"/>
  <c r="M39" i="13"/>
  <c r="N38" i="13"/>
  <c r="M38" i="13"/>
  <c r="N37" i="13"/>
  <c r="M37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N11" i="13"/>
  <c r="M11" i="13"/>
  <c r="N10" i="13"/>
  <c r="M10" i="13"/>
  <c r="N9" i="13"/>
  <c r="M9" i="13"/>
  <c r="N8" i="13"/>
  <c r="M8" i="13"/>
  <c r="N7" i="13"/>
  <c r="M7" i="13"/>
  <c r="N6" i="13"/>
  <c r="M6" i="13"/>
  <c r="N5" i="13"/>
  <c r="M5" i="13"/>
  <c r="F17" i="14" l="1"/>
  <c r="D30" i="6"/>
  <c r="C18" i="14" l="1"/>
  <c r="D18" i="14" s="1"/>
  <c r="J7" i="4"/>
  <c r="F18" i="14" l="1"/>
  <c r="G30" i="6"/>
  <c r="C19" i="14" l="1"/>
  <c r="D19" i="14" s="1"/>
  <c r="H28" i="6"/>
  <c r="G35" i="6" s="1"/>
  <c r="H26" i="6"/>
  <c r="E26" i="6"/>
  <c r="F19" i="14" l="1"/>
  <c r="H30" i="6"/>
  <c r="G34" i="6"/>
  <c r="E28" i="6"/>
  <c r="E30" i="6" s="1"/>
  <c r="C20" i="14" l="1"/>
  <c r="D20" i="14" s="1"/>
  <c r="G36" i="6"/>
  <c r="F20" i="14" l="1"/>
  <c r="D13" i="6"/>
  <c r="C59" i="4" l="1"/>
  <c r="C78" i="4" s="1"/>
  <c r="D15" i="6"/>
  <c r="D17" i="6" s="1"/>
  <c r="G13" i="6"/>
  <c r="G15" i="6" s="1"/>
  <c r="G17" i="6" l="1"/>
  <c r="G19" i="6" s="1"/>
  <c r="H42" i="4" l="1"/>
  <c r="B42" i="4"/>
  <c r="E22" i="4"/>
  <c r="D41" i="6" s="1"/>
  <c r="K22" i="4" l="1"/>
  <c r="E41" i="6" s="1"/>
  <c r="G49" i="6" l="1"/>
  <c r="G59" i="6" l="1"/>
  <c r="E106" i="2" l="1"/>
  <c r="E108" i="2" s="1"/>
  <c r="E114" i="2" s="1"/>
  <c r="D27" i="4" s="1"/>
  <c r="J27" i="4" s="1"/>
  <c r="E110" i="2" l="1"/>
  <c r="E112" i="2" s="1"/>
  <c r="D18" i="6" s="1"/>
  <c r="D19" i="6" s="1"/>
  <c r="D21" i="6" s="1"/>
  <c r="D34" i="6" l="1"/>
  <c r="D35" i="6"/>
  <c r="E35" i="6" s="1"/>
  <c r="I47" i="4" s="1"/>
  <c r="E77" i="2"/>
  <c r="E79" i="2" s="1"/>
  <c r="E87" i="2" s="1"/>
  <c r="I48" i="4" l="1"/>
  <c r="J49" i="4" s="1"/>
  <c r="I77" i="4"/>
  <c r="E34" i="6"/>
  <c r="D36" i="6"/>
  <c r="E81" i="2"/>
  <c r="E83" i="2" s="1"/>
  <c r="I49" i="4" l="1"/>
  <c r="J50" i="4" s="1"/>
  <c r="C47" i="4"/>
  <c r="E36" i="6"/>
  <c r="I50" i="4" l="1"/>
  <c r="J51" i="4" s="1"/>
  <c r="C48" i="4"/>
  <c r="C77" i="4"/>
  <c r="I51" i="4" l="1"/>
  <c r="J52" i="4" s="1"/>
  <c r="D49" i="4"/>
  <c r="C49" i="4" s="1"/>
  <c r="I52" i="4" l="1"/>
  <c r="J53" i="4" s="1"/>
  <c r="D50" i="4"/>
  <c r="C50" i="4" s="1"/>
  <c r="I53" i="4" l="1"/>
  <c r="J54" i="4" s="1"/>
  <c r="D51" i="4"/>
  <c r="C51" i="4" s="1"/>
  <c r="D52" i="4" s="1"/>
  <c r="C52" i="4" s="1"/>
  <c r="D53" i="4" s="1"/>
  <c r="C53" i="4" s="1"/>
  <c r="E49" i="2"/>
  <c r="E51" i="2" s="1"/>
  <c r="E59" i="2" s="1"/>
  <c r="I54" i="4" l="1"/>
  <c r="J55" i="4" s="1"/>
  <c r="D54" i="4"/>
  <c r="C54" i="4" s="1"/>
  <c r="E53" i="2"/>
  <c r="E55" i="2" s="1"/>
  <c r="I55" i="4" l="1"/>
  <c r="J56" i="4" s="1"/>
  <c r="D55" i="4"/>
  <c r="C55" i="4" s="1"/>
  <c r="I56" i="4" l="1"/>
  <c r="J57" i="4" s="1"/>
  <c r="D56" i="4"/>
  <c r="C56" i="4" s="1"/>
  <c r="I57" i="4" l="1"/>
  <c r="J58" i="4" s="1"/>
  <c r="D57" i="4"/>
  <c r="C57" i="4" s="1"/>
  <c r="E18" i="2"/>
  <c r="E20" i="2" s="1"/>
  <c r="E28" i="2" s="1"/>
  <c r="I58" i="4" l="1"/>
  <c r="I8" i="4" s="1"/>
  <c r="I7" i="4" s="1"/>
  <c r="D58" i="4"/>
  <c r="C58" i="4" s="1"/>
  <c r="C8" i="4" s="1"/>
  <c r="C7" i="4" s="1"/>
  <c r="E22" i="2"/>
  <c r="E24" i="2" s="1"/>
  <c r="D9" i="4" l="1"/>
  <c r="C9" i="4" s="1"/>
  <c r="D10" i="4" s="1"/>
  <c r="C10" i="4" s="1"/>
  <c r="D11" i="4" s="1"/>
  <c r="C11" i="4" s="1"/>
  <c r="D12" i="4" s="1"/>
  <c r="C12" i="4" s="1"/>
  <c r="D13" i="4" s="1"/>
  <c r="C13" i="4" s="1"/>
  <c r="D14" i="4" s="1"/>
  <c r="C14" i="4" s="1"/>
  <c r="D15" i="4" s="1"/>
  <c r="C15" i="4" s="1"/>
  <c r="D16" i="4" s="1"/>
  <c r="C16" i="4" s="1"/>
  <c r="D17" i="4" s="1"/>
  <c r="C17" i="4" s="1"/>
  <c r="D18" i="4" s="1"/>
  <c r="C18" i="4" s="1"/>
  <c r="D19" i="4" s="1"/>
  <c r="C19" i="4" s="1"/>
  <c r="D20" i="4" s="1"/>
  <c r="C20" i="4" s="1"/>
  <c r="D25" i="4"/>
  <c r="B35" i="4" s="1"/>
  <c r="J9" i="4"/>
  <c r="I9" i="4" s="1"/>
  <c r="J10" i="4" s="1"/>
  <c r="I10" i="4" s="1"/>
  <c r="J11" i="4" s="1"/>
  <c r="I11" i="4" s="1"/>
  <c r="J12" i="4" s="1"/>
  <c r="I12" i="4" s="1"/>
  <c r="J13" i="4" s="1"/>
  <c r="I13" i="4" s="1"/>
  <c r="J14" i="4" s="1"/>
  <c r="I14" i="4" s="1"/>
  <c r="J15" i="4" s="1"/>
  <c r="I15" i="4" s="1"/>
  <c r="J16" i="4" s="1"/>
  <c r="I16" i="4" s="1"/>
  <c r="J17" i="4" s="1"/>
  <c r="I17" i="4" s="1"/>
  <c r="J18" i="4" s="1"/>
  <c r="I18" i="4" s="1"/>
  <c r="J19" i="4" s="1"/>
  <c r="I19" i="4" s="1"/>
  <c r="J20" i="4" s="1"/>
  <c r="I20" i="4" s="1"/>
  <c r="J25" i="4" l="1"/>
  <c r="H35" i="4" s="1"/>
  <c r="J22" i="4" l="1"/>
  <c r="J24" i="4" l="1"/>
  <c r="J26" i="4" s="1"/>
  <c r="J28" i="4" s="1"/>
  <c r="E43" i="6" s="1"/>
  <c r="E47" i="6" s="1"/>
  <c r="E53" i="6" s="1"/>
  <c r="E55" i="6" l="1"/>
  <c r="E49" i="6"/>
  <c r="E51" i="6" s="1"/>
  <c r="J29" i="4" l="1"/>
  <c r="E57" i="6"/>
  <c r="E59" i="6" l="1"/>
  <c r="E61" i="6" s="1"/>
  <c r="J30" i="4"/>
  <c r="J31" i="4" s="1"/>
  <c r="K67" i="4" l="1"/>
  <c r="I82" i="4"/>
  <c r="K69" i="4" l="1"/>
  <c r="K70" i="4"/>
  <c r="K68" i="4"/>
  <c r="K65" i="4"/>
  <c r="K62" i="4"/>
  <c r="K63" i="4"/>
  <c r="K66" i="4"/>
  <c r="K71" i="4"/>
  <c r="K60" i="4"/>
  <c r="K61" i="4"/>
  <c r="K64" i="4"/>
  <c r="J60" i="4" l="1"/>
  <c r="I60" i="4" s="1"/>
  <c r="K73" i="4"/>
  <c r="J61" i="4" l="1"/>
  <c r="I61" i="4"/>
  <c r="J62" i="4" s="1"/>
  <c r="I62" i="4" l="1"/>
  <c r="J63" i="4" s="1"/>
  <c r="I63" i="4"/>
  <c r="J64" i="4" s="1"/>
  <c r="I64" i="4" l="1"/>
  <c r="J65" i="4" s="1"/>
  <c r="I65" i="4" l="1"/>
  <c r="J66" i="4" s="1"/>
  <c r="I66" i="4" l="1"/>
  <c r="J67" i="4" s="1"/>
  <c r="I67" i="4" l="1"/>
  <c r="J68" i="4" s="1"/>
  <c r="I68" i="4" l="1"/>
  <c r="J69" i="4" s="1"/>
  <c r="I69" i="4" l="1"/>
  <c r="J70" i="4" s="1"/>
  <c r="I70" i="4" l="1"/>
  <c r="J71" i="4" l="1"/>
  <c r="J73" i="4" s="1"/>
  <c r="I79" i="4" s="1"/>
  <c r="I71" i="4" l="1"/>
  <c r="I80" i="4" s="1"/>
  <c r="I81" i="4" s="1"/>
  <c r="I83" i="4" s="1"/>
  <c r="J32" i="4"/>
  <c r="D22" i="4" l="1"/>
  <c r="D24" i="4" s="1"/>
  <c r="D26" i="4" s="1"/>
  <c r="D28" i="4" s="1"/>
  <c r="D43" i="6" s="1"/>
  <c r="D47" i="6" s="1"/>
  <c r="D49" i="6" s="1"/>
  <c r="D51" i="6" l="1"/>
  <c r="D53" i="6" s="1"/>
  <c r="D55" i="6" s="1"/>
  <c r="D57" i="6" s="1"/>
  <c r="D59" i="6" l="1"/>
  <c r="D61" i="6" s="1"/>
  <c r="D29" i="4"/>
  <c r="D30" i="4" s="1"/>
  <c r="D31" i="4" s="1"/>
  <c r="C82" i="4" l="1"/>
  <c r="E66" i="4" l="1"/>
  <c r="E68" i="4"/>
  <c r="E63" i="4"/>
  <c r="E69" i="4"/>
  <c r="E61" i="4"/>
  <c r="E64" i="4"/>
  <c r="E70" i="4"/>
  <c r="E67" i="4"/>
  <c r="E60" i="4"/>
  <c r="E71" i="4"/>
  <c r="E62" i="4"/>
  <c r="E65" i="4"/>
  <c r="D60" i="4" l="1"/>
  <c r="E73" i="4"/>
  <c r="C60" i="4" l="1"/>
  <c r="D61" i="4" s="1"/>
  <c r="C61" i="4" l="1"/>
  <c r="D62" i="4" s="1"/>
  <c r="C62" i="4" l="1"/>
  <c r="D63" i="4" s="1"/>
  <c r="C63" i="4" l="1"/>
  <c r="D64" i="4" s="1"/>
  <c r="C64" i="4" l="1"/>
  <c r="D65" i="4" s="1"/>
  <c r="C65" i="4" l="1"/>
  <c r="D66" i="4" s="1"/>
  <c r="C66" i="4" l="1"/>
  <c r="D67" i="4" s="1"/>
  <c r="C67" i="4" l="1"/>
  <c r="D68" i="4" s="1"/>
  <c r="C68" i="4" l="1"/>
  <c r="D69" i="4" s="1"/>
  <c r="C69" i="4" l="1"/>
  <c r="D70" i="4" s="1"/>
  <c r="C70" i="4" l="1"/>
  <c r="D71" i="4" s="1"/>
  <c r="D73" i="4" s="1"/>
  <c r="C79" i="4" s="1"/>
  <c r="C71" i="4" l="1"/>
  <c r="D32" i="4" l="1"/>
  <c r="C80" i="4"/>
  <c r="C81" i="4" s="1"/>
  <c r="C83" i="4" s="1"/>
</calcChain>
</file>

<file path=xl/comments1.xml><?xml version="1.0" encoding="utf-8"?>
<comments xmlns="http://schemas.openxmlformats.org/spreadsheetml/2006/main">
  <authors>
    <author>Author</author>
  </authors>
  <commentList>
    <comment ref="B80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10/31/2018 balance remaining due to rounding error.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10/31/2018 balance remaining due to rounding error.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kWhs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2016 normalized billing determinants (agrees to UE-170485) at present billing rates effective 8/1/2017</t>
        </r>
      </text>
    </comment>
  </commentList>
</comments>
</file>

<file path=xl/sharedStrings.xml><?xml version="1.0" encoding="utf-8"?>
<sst xmlns="http://schemas.openxmlformats.org/spreadsheetml/2006/main" count="327" uniqueCount="200">
  <si>
    <t>Avista Utilities</t>
  </si>
  <si>
    <t>Calculation of Decoupling Mechanism Surcharge or Rebate Amortization Rates</t>
  </si>
  <si>
    <t>Date</t>
  </si>
  <si>
    <t>Interest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</si>
  <si>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</si>
  <si>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</si>
  <si>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</si>
  <si>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</si>
  <si>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</si>
  <si>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</si>
  <si>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</si>
  <si>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</si>
  <si>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</si>
  <si>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Surcharge Rate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</si>
  <si>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</si>
  <si>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</si>
  <si>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</si>
  <si>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</si>
  <si>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</si>
  <si>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</si>
  <si>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</si>
  <si>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</si>
  <si>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</si>
  <si>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</si>
  <si>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</si>
  <si>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</si>
  <si>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</si>
  <si>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</si>
  <si>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</si>
  <si>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</si>
  <si>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</si>
  <si>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</si>
  <si>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</si>
  <si>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</si>
  <si>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</si>
  <si>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</si>
  <si>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Twelve Months Ended September 30, 2015</t>
  </si>
  <si>
    <t>UE-160228 current GRC</t>
  </si>
  <si>
    <t>Gross Up Factor</t>
  </si>
  <si>
    <t>Residential Electric</t>
  </si>
  <si>
    <t>Non-Residential Electric</t>
  </si>
  <si>
    <t>Decoupling Mechanism Earnings Test and 3% Test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</si>
  <si>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</si>
  <si>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</si>
  <si>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</si>
  <si>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</si>
  <si>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</si>
  <si>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</si>
  <si>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</si>
  <si>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</si>
  <si>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</si>
  <si>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</si>
  <si>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</si>
  <si>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</si>
  <si>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</si>
  <si>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</si>
  <si>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</si>
  <si>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</si>
  <si>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</si>
  <si>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</si>
  <si>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</si>
  <si>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</si>
  <si>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</si>
  <si>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</si>
  <si>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</si>
  <si>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</si>
  <si>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</si>
  <si>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</si>
  <si>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</si>
  <si>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</si>
  <si>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</si>
  <si>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</si>
  <si>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</si>
  <si>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</si>
  <si>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</si>
  <si>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</si>
  <si>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</si>
  <si>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</si>
  <si>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</si>
  <si>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RES</t>
  </si>
  <si>
    <t>Non-RES</t>
  </si>
  <si>
    <t>Calendar Load Tab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</si>
  <si>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</si>
  <si>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</si>
  <si>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</si>
  <si>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</si>
  <si>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</si>
  <si>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</si>
  <si>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</si>
  <si>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</si>
  <si>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</si>
  <si>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</si>
  <si>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</si>
  <si>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New Load Forecast</t>
  </si>
  <si>
    <t>Line No.</t>
  </si>
  <si>
    <t xml:space="preserve">Total 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</si>
  <si>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</si>
  <si>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</si>
  <si>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</si>
  <si>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</si>
  <si>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</si>
  <si>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</si>
  <si>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</si>
  <si>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</si>
  <si>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</si>
  <si>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</si>
  <si>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</si>
  <si>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</si>
  <si>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</si>
  <si>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</si>
  <si>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 xml:space="preserve">     Total Requested Refund</t>
  </si>
  <si>
    <t>Add Revenue Related Expense Adj.</t>
  </si>
  <si>
    <t>Net of Revenue Related Expenses</t>
  </si>
  <si>
    <t>Gross Revenue Adjustment</t>
  </si>
  <si>
    <t>Effective November 1, 2017 - October 31, 2018</t>
  </si>
  <si>
    <t>TWELVE MONTHS ENDED December 31, 2016</t>
  </si>
  <si>
    <t>2016 Deferrals</t>
  </si>
  <si>
    <t>2016 Commission Basis Earnings Test for Decoupling</t>
  </si>
  <si>
    <t>2016 Total Earnings Test Sharing</t>
  </si>
  <si>
    <t>Revenue From 2016 Normalized Loads and Customers at Present Billing Rates</t>
  </si>
  <si>
    <t>August 1, 2017 Effective Billing Rates</t>
  </si>
  <si>
    <t>Residential</t>
  </si>
  <si>
    <t>Non-Residential</t>
  </si>
  <si>
    <t>Revenue From 2016 Normalized Loads and Customers at Present Billing Rates (Note 1)</t>
  </si>
  <si>
    <t>3% Test Adjustment (Note 2)</t>
  </si>
  <si>
    <t>(2)  The carryover balances will differ from the 3% adjustment amounts due to the revenue related expense gross up partially offset by additional interest on the outstanding balance during the amortization period.</t>
  </si>
  <si>
    <t>Present Decoupling Surcharge Recovery Rates</t>
  </si>
  <si>
    <t>Calculate Estimated Monthly Balances through October 2018</t>
  </si>
  <si>
    <t>3.50 % Q1 2017 3.71% Q2 2017  3.96% Q3 2017</t>
  </si>
  <si>
    <t>2016 Deferred Revenue</t>
  </si>
  <si>
    <t>Decoupling Mechanism Prior Surcharge or Rebate Amortization</t>
  </si>
  <si>
    <t>Effective November 1, 2016 - October 31, 2017</t>
  </si>
  <si>
    <t>Regulatory Asset Ending Balance</t>
  </si>
  <si>
    <t>Residential Electric Surcharge</t>
  </si>
  <si>
    <t>Regulatory Asset Beginning Balance</t>
  </si>
  <si>
    <t>Interest Rate</t>
  </si>
  <si>
    <t>Aug - Oct Forecast Usage</t>
  </si>
  <si>
    <t>EREV May Mid-month 5 15 17.xlsm</t>
  </si>
  <si>
    <t>Regulatory Liability Beginning Balance</t>
  </si>
  <si>
    <t>Non-Residential Electric Rebate</t>
  </si>
  <si>
    <t>Regulatory Liability Ending Balance</t>
  </si>
  <si>
    <t>Add Interest through 10/31/2018</t>
  </si>
  <si>
    <t>Add Prior Year Carryover Balance</t>
  </si>
  <si>
    <t xml:space="preserve">Prior Year Carryover Balance </t>
  </si>
  <si>
    <t>2016 Commission Basis Conversion Factor with Uncollectible Service Correction</t>
  </si>
  <si>
    <t>(1)  2016 Normalized Revenue derived from UE-170485 Revenue Model with billed rates adjusted to reflect August 1, 2017 present rates.</t>
  </si>
  <si>
    <t>See pages 6 and 7 of Attachment A for earnings test and 3% test adjustment calculations.</t>
  </si>
  <si>
    <t>2016 Commission Basis conversion factor, see page 8 of  Attachment A.</t>
  </si>
  <si>
    <t>See page 4 of Attachment A for estimated carryover balance calculations.</t>
  </si>
  <si>
    <t>November 2017 - October 2018 Usage (kWhs)</t>
  </si>
  <si>
    <t>Washington Jurisdiction</t>
  </si>
  <si>
    <t>2017 Decoupling Schedule 75 Filing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</si>
  <si>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</si>
  <si>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</si>
  <si>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</si>
  <si>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</si>
  <si>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</si>
  <si>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</si>
  <si>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</si>
  <si>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</si>
  <si>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</si>
  <si>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</si>
  <si>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</si>
  <si>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</si>
  <si>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</si>
  <si>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</si>
  <si>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</si>
  <si>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Increase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</si>
  <si>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</si>
  <si>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</si>
  <si>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</si>
  <si>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</si>
  <si>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</si>
  <si>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</si>
  <si>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</si>
  <si>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</si>
  <si>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</si>
  <si>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</si>
  <si>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1/2</t>
  </si>
  <si>
    <t>General Service</t>
  </si>
  <si>
    <t>11/12</t>
  </si>
  <si>
    <t>Large General Service</t>
  </si>
  <si>
    <t>21/22</t>
  </si>
  <si>
    <t>Pumping Service</t>
  </si>
  <si>
    <t>30/31/32</t>
  </si>
  <si>
    <t>Extra Large General Service</t>
  </si>
  <si>
    <t>N/A</t>
  </si>
  <si>
    <t>ST &amp; Area Lighting</t>
  </si>
  <si>
    <t>41 - 48</t>
  </si>
  <si>
    <t>Non-Residential Group Sub-Totals</t>
  </si>
  <si>
    <t xml:space="preserve">Average Residential Bill </t>
  </si>
  <si>
    <t xml:space="preserve"> @938 kWhs</t>
  </si>
  <si>
    <t>Basic Charge</t>
  </si>
  <si>
    <t>First 800 kWhs</t>
  </si>
  <si>
    <t>Next 700 kWhs</t>
  </si>
  <si>
    <t>Over 1,500 kWhs</t>
  </si>
  <si>
    <t>Residential Bill at 8/1/2017 rates</t>
  </si>
  <si>
    <t>Proposed rate change</t>
  </si>
  <si>
    <t>Residential Bill at Proposed rates</t>
  </si>
  <si>
    <t>Proposed Percent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</si>
</sst>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166" fontId="6" fillId="3" borderId="3" xfId="0" applyNumberFormat="1" applyFont="1" applyFill="1" applyBorder="1"/>
    <xf numFmtId="166" fontId="6" fillId="0" borderId="5" xfId="0" applyNumberFormat="1" applyFont="1" applyBorder="1"/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10" fontId="14" fillId="0" borderId="0" xfId="0" applyNumberFormat="1" applyFont="1"/>
    <xf numFmtId="44" fontId="0" fillId="0" borderId="0" xfId="5" applyNumberFormat="1" applyFont="1"/>
    <xf numFmtId="44" fontId="0" fillId="0" borderId="0" xfId="0" applyNumberFormat="1"/>
    <xf numFmtId="7" fontId="0" fillId="0" borderId="0" xfId="0" applyNumberFormat="1" applyBorder="1"/>
    <xf numFmtId="44" fontId="0" fillId="0" borderId="0" xfId="5" applyNumberFormat="1" applyFont="1" applyFill="1"/>
    <xf numFmtId="44" fontId="9" fillId="0" borderId="0" xfId="0" applyNumberFormat="1" applyFont="1"/>
    <xf numFmtId="17" fontId="9" fillId="0" borderId="0" xfId="0" applyNumberFormat="1" applyFont="1" applyBorder="1" applyAlignment="1">
      <alignment horizontal="right"/>
    </xf>
    <xf numFmtId="166" fontId="6" fillId="0" borderId="0" xfId="0" applyNumberFormat="1" applyFont="1" applyFill="1" applyBorder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16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10" fontId="0" fillId="0" borderId="0" xfId="2" applyNumberFormat="1" applyFont="1" applyFill="1"/>
    <xf numFmtId="0" fontId="13" fillId="0" borderId="0" xfId="0" applyFont="1" applyFill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0" fillId="0" borderId="0" xfId="0" quotePrefix="1" applyAlignment="1">
      <alignment horizontal="justify" wrapText="1"/>
    </xf>
    <xf numFmtId="0" fontId="0" fillId="0" borderId="0" xfId="0" quotePrefix="1" applyFill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/>
    <cellStyle name="Normal 2 2" xfId="4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59"/>
  <sheetViews>
    <sheetView workbookViewId="0">
      <selection sqref="A1:A2"/>
    </sheetView>
  </sheetViews>
  <sheetFormatPr defaultRowHeight="14.4" outlineLevelCol="1" x14ac:dyDescent="0.3"/>
  <cols>
    <col min="2" max="2" width="2.6640625" customWidth="1"/>
    <col min="3" max="3" width="12" customWidth="1" outlineLevel="1"/>
    <col min="4" max="4" width="11" customWidth="1" outlineLevel="1"/>
    <col min="5" max="5" width="10" customWidth="1" outlineLevel="1"/>
    <col min="6" max="6" width="12" customWidth="1" outlineLevel="1"/>
    <col min="7" max="7" width="10" customWidth="1" outlineLevel="1"/>
    <col min="8" max="8" width="12" customWidth="1" outlineLevel="1"/>
    <col min="9" max="9" width="11" customWidth="1" outlineLevel="1"/>
    <col min="10" max="11" width="10" customWidth="1" outlineLevel="1"/>
    <col min="12" max="12" width="2.5546875" customWidth="1"/>
    <col min="13" max="14" width="12" bestFit="1" customWidth="1"/>
  </cols>
  <sheetData>
    <row r="1" spans="1:15" x14ac:dyDescent="0.3">
      <c r="A1" s="127"/>
      <c r="B1" s="66" t="s">
        <v>137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3">
      <c r="A2" s="127"/>
      <c r="B2" t="s">
        <v>81</v>
      </c>
    </row>
    <row r="3" spans="1:15" ht="14.4" customHeight="1" x14ac:dyDescent="0.3">
      <c r="A3" s="64"/>
      <c r="C3" s="69" t="s">
        <v>82</v>
      </c>
      <c r="M3" s="128" t="s">
        <v>83</v>
      </c>
      <c r="N3" s="129"/>
    </row>
    <row r="4" spans="1:15" x14ac:dyDescent="0.3">
      <c r="C4" s="70" t="s">
        <v>84</v>
      </c>
      <c r="D4" s="70" t="s">
        <v>85</v>
      </c>
      <c r="E4" s="70" t="s">
        <v>86</v>
      </c>
      <c r="F4" s="70" t="s">
        <v>87</v>
      </c>
      <c r="G4" s="70" t="s">
        <v>88</v>
      </c>
      <c r="H4" s="70" t="s">
        <v>89</v>
      </c>
      <c r="I4" s="70" t="s">
        <v>90</v>
      </c>
      <c r="J4" s="70" t="s">
        <v>91</v>
      </c>
      <c r="K4" s="70" t="s">
        <v>92</v>
      </c>
      <c r="M4" s="67" t="s">
        <v>79</v>
      </c>
      <c r="N4" s="68" t="s">
        <v>80</v>
      </c>
    </row>
    <row r="5" spans="1:15" x14ac:dyDescent="0.3">
      <c r="A5" s="63">
        <v>42887</v>
      </c>
      <c r="C5" s="46">
        <v>162265024.17170334</v>
      </c>
      <c r="D5" s="46">
        <v>43675407.587079272</v>
      </c>
      <c r="E5" s="46">
        <v>3953489.2152047865</v>
      </c>
      <c r="F5" s="46">
        <v>113934946.28473791</v>
      </c>
      <c r="G5" s="46">
        <v>2434745.6510830922</v>
      </c>
      <c r="H5" s="46">
        <v>90680430.307291672</v>
      </c>
      <c r="I5" s="46">
        <v>16129012.193800572</v>
      </c>
      <c r="J5" s="46">
        <v>1180415.8971055746</v>
      </c>
      <c r="K5" s="46">
        <v>1729847.9664106504</v>
      </c>
      <c r="M5" s="50">
        <f t="shared" ref="M5:M36" si="0">C5</f>
        <v>162265024.17170334</v>
      </c>
      <c r="N5" s="50">
        <f t="shared" ref="N5:N36" si="1">SUM(D5:G5,I5:J5)</f>
        <v>181308016.8290112</v>
      </c>
    </row>
    <row r="6" spans="1:15" x14ac:dyDescent="0.3">
      <c r="A6" s="63">
        <v>42917</v>
      </c>
      <c r="C6" s="46">
        <v>197840933.78053033</v>
      </c>
      <c r="D6" s="46">
        <v>52032601.983209856</v>
      </c>
      <c r="E6" s="46">
        <v>4425622.1613273825</v>
      </c>
      <c r="F6" s="46">
        <v>131177372.91962861</v>
      </c>
      <c r="G6" s="46">
        <v>2853225.2656571297</v>
      </c>
      <c r="H6" s="46">
        <v>90202113.861979172</v>
      </c>
      <c r="I6" s="46">
        <v>22274278.940664545</v>
      </c>
      <c r="J6" s="46">
        <v>1814152.6354769587</v>
      </c>
      <c r="K6" s="46">
        <v>1721608.5865401602</v>
      </c>
      <c r="M6" s="50">
        <f t="shared" si="0"/>
        <v>197840933.78053033</v>
      </c>
      <c r="N6" s="50">
        <f t="shared" si="1"/>
        <v>214577253.90596443</v>
      </c>
    </row>
    <row r="7" spans="1:15" x14ac:dyDescent="0.3">
      <c r="A7" s="63">
        <v>42948</v>
      </c>
      <c r="C7" s="46">
        <v>185468546.99806559</v>
      </c>
      <c r="D7" s="46">
        <v>48949152.485279076</v>
      </c>
      <c r="E7" s="46">
        <v>4193760.5352799608</v>
      </c>
      <c r="F7" s="46">
        <v>123195649.74987291</v>
      </c>
      <c r="G7" s="46">
        <v>2660105.273494768</v>
      </c>
      <c r="H7" s="46">
        <v>94315025.864511013</v>
      </c>
      <c r="I7" s="46">
        <v>21751803.095786903</v>
      </c>
      <c r="J7" s="46">
        <v>1606699.9837971511</v>
      </c>
      <c r="K7" s="46">
        <v>1706011.0691821286</v>
      </c>
      <c r="M7" s="50">
        <f t="shared" si="0"/>
        <v>185468546.99806559</v>
      </c>
      <c r="N7" s="50">
        <f t="shared" si="1"/>
        <v>202357171.12351078</v>
      </c>
    </row>
    <row r="8" spans="1:15" x14ac:dyDescent="0.3">
      <c r="A8" s="63">
        <v>42979</v>
      </c>
      <c r="C8" s="46">
        <v>156014655.15072188</v>
      </c>
      <c r="D8" s="46">
        <v>42587314.15797963</v>
      </c>
      <c r="E8" s="46">
        <v>3900244.1699959231</v>
      </c>
      <c r="F8" s="46">
        <v>110283608.79288723</v>
      </c>
      <c r="G8" s="46">
        <v>2346492.7360936352</v>
      </c>
      <c r="H8" s="46">
        <v>94016529.234822765</v>
      </c>
      <c r="I8" s="46">
        <v>14322310.97392709</v>
      </c>
      <c r="J8" s="46">
        <v>974046.04995377036</v>
      </c>
      <c r="K8" s="46">
        <v>1679496.9504100946</v>
      </c>
      <c r="M8" s="50">
        <f t="shared" si="0"/>
        <v>156014655.15072188</v>
      </c>
      <c r="N8" s="50">
        <f t="shared" si="1"/>
        <v>174414016.88083726</v>
      </c>
    </row>
    <row r="9" spans="1:15" x14ac:dyDescent="0.3">
      <c r="A9" s="63">
        <v>43009</v>
      </c>
      <c r="C9" s="46">
        <v>182887491.37639776</v>
      </c>
      <c r="D9" s="46">
        <v>45848080.978529997</v>
      </c>
      <c r="E9" s="46">
        <v>4469905.6523894072</v>
      </c>
      <c r="F9" s="46">
        <v>117183563.94755599</v>
      </c>
      <c r="G9" s="46">
        <v>2564012.3159196842</v>
      </c>
      <c r="H9" s="46">
        <v>94054441.558820084</v>
      </c>
      <c r="I9" s="46">
        <v>7739750.3808894176</v>
      </c>
      <c r="J9" s="46">
        <v>529634.88268816215</v>
      </c>
      <c r="K9" s="46">
        <v>1659231.9683812247</v>
      </c>
      <c r="M9" s="50">
        <f t="shared" si="0"/>
        <v>182887491.37639776</v>
      </c>
      <c r="N9" s="50">
        <f t="shared" si="1"/>
        <v>178334948.15797266</v>
      </c>
    </row>
    <row r="10" spans="1:15" x14ac:dyDescent="0.3">
      <c r="A10" s="63">
        <v>43040</v>
      </c>
      <c r="C10" s="46">
        <v>227355434.86213231</v>
      </c>
      <c r="D10" s="46">
        <v>48191645.521341361</v>
      </c>
      <c r="E10" s="46">
        <v>5355830.9842260778</v>
      </c>
      <c r="F10" s="46">
        <v>113061653.78591004</v>
      </c>
      <c r="G10" s="46">
        <v>2796383.8801970826</v>
      </c>
      <c r="H10" s="46">
        <v>92544672.451973617</v>
      </c>
      <c r="I10" s="46">
        <v>3834402.6388298068</v>
      </c>
      <c r="J10" s="46">
        <v>279122.62629639974</v>
      </c>
      <c r="K10" s="46">
        <v>1648729.9896841152</v>
      </c>
      <c r="M10" s="50">
        <f t="shared" si="0"/>
        <v>227355434.86213231</v>
      </c>
      <c r="N10" s="50">
        <f t="shared" si="1"/>
        <v>173519039.43680075</v>
      </c>
    </row>
    <row r="11" spans="1:15" x14ac:dyDescent="0.3">
      <c r="A11" s="63">
        <v>43070</v>
      </c>
      <c r="C11" s="46">
        <v>285752423.76174927</v>
      </c>
      <c r="D11" s="46">
        <v>54513346.247967936</v>
      </c>
      <c r="E11" s="46">
        <v>6678738.8403042704</v>
      </c>
      <c r="F11" s="46">
        <v>120962356.6789142</v>
      </c>
      <c r="G11" s="46">
        <v>3315211.7018183405</v>
      </c>
      <c r="H11" s="46">
        <v>91817201.758654043</v>
      </c>
      <c r="I11" s="46">
        <v>3635059.1118685761</v>
      </c>
      <c r="J11" s="46">
        <v>276221.01176759007</v>
      </c>
      <c r="K11" s="46">
        <v>1633248.9877172466</v>
      </c>
      <c r="M11" s="50">
        <f t="shared" si="0"/>
        <v>285752423.76174927</v>
      </c>
      <c r="N11" s="50">
        <f t="shared" si="1"/>
        <v>189380933.59264094</v>
      </c>
    </row>
    <row r="12" spans="1:15" x14ac:dyDescent="0.3">
      <c r="A12" s="63">
        <v>43101</v>
      </c>
      <c r="C12" s="46">
        <v>276988691.23352349</v>
      </c>
      <c r="D12" s="46">
        <v>54396406.975658566</v>
      </c>
      <c r="E12" s="46">
        <v>6797091.0642403662</v>
      </c>
      <c r="F12" s="46">
        <v>119785442.17422071</v>
      </c>
      <c r="G12" s="46">
        <v>3374192.1326955515</v>
      </c>
      <c r="H12" s="46">
        <v>91954920.140190691</v>
      </c>
      <c r="I12" s="46">
        <v>3733492.1267063362</v>
      </c>
      <c r="J12" s="46">
        <v>293120.9876039321</v>
      </c>
      <c r="K12" s="46">
        <v>1525945.0664072267</v>
      </c>
      <c r="M12" s="50">
        <f t="shared" si="0"/>
        <v>276988691.23352349</v>
      </c>
      <c r="N12" s="50">
        <f t="shared" si="1"/>
        <v>188379745.46112546</v>
      </c>
    </row>
    <row r="13" spans="1:15" x14ac:dyDescent="0.3">
      <c r="A13" s="63">
        <v>43132</v>
      </c>
      <c r="C13" s="46">
        <v>221800956.18741477</v>
      </c>
      <c r="D13" s="46">
        <v>46064187.058452941</v>
      </c>
      <c r="E13" s="46">
        <v>5573614.6279981397</v>
      </c>
      <c r="F13" s="46">
        <v>103726092.49836475</v>
      </c>
      <c r="G13" s="46">
        <v>2802914.2246306897</v>
      </c>
      <c r="H13" s="46">
        <v>91680623.330278397</v>
      </c>
      <c r="I13" s="46">
        <v>3265283.2220228999</v>
      </c>
      <c r="J13" s="46">
        <v>247154.96540386151</v>
      </c>
      <c r="K13" s="46">
        <v>1504210.6625064076</v>
      </c>
      <c r="M13" s="50">
        <f t="shared" si="0"/>
        <v>221800956.18741477</v>
      </c>
      <c r="N13" s="50">
        <f t="shared" si="1"/>
        <v>161679246.59687325</v>
      </c>
    </row>
    <row r="14" spans="1:15" x14ac:dyDescent="0.3">
      <c r="A14" s="63">
        <v>43160</v>
      </c>
      <c r="C14" s="46">
        <v>217487024.82509917</v>
      </c>
      <c r="D14" s="46">
        <v>47384712.456686154</v>
      </c>
      <c r="E14" s="46">
        <v>5393226.81657458</v>
      </c>
      <c r="F14" s="46">
        <v>111192947.35589856</v>
      </c>
      <c r="G14" s="46">
        <v>2798292.9167240681</v>
      </c>
      <c r="H14" s="46">
        <v>89975531.042652205</v>
      </c>
      <c r="I14" s="46">
        <v>4124007.1718869279</v>
      </c>
      <c r="J14" s="46">
        <v>268569.10663395945</v>
      </c>
      <c r="K14" s="46">
        <v>1506535.1899971869</v>
      </c>
      <c r="M14" s="50">
        <f t="shared" si="0"/>
        <v>217487024.82509917</v>
      </c>
      <c r="N14" s="50">
        <f t="shared" si="1"/>
        <v>171161755.82440424</v>
      </c>
    </row>
    <row r="15" spans="1:15" x14ac:dyDescent="0.3">
      <c r="A15" s="63">
        <v>43191</v>
      </c>
      <c r="C15" s="46">
        <v>180931205.26870883</v>
      </c>
      <c r="D15" s="46">
        <v>42599874.792132966</v>
      </c>
      <c r="E15" s="46">
        <v>4467220.0119482484</v>
      </c>
      <c r="F15" s="46">
        <v>105676884.07343714</v>
      </c>
      <c r="G15" s="46">
        <v>2443984.2877108753</v>
      </c>
      <c r="H15" s="46">
        <v>91951519.832541332</v>
      </c>
      <c r="I15" s="46">
        <v>6769360.669073917</v>
      </c>
      <c r="J15" s="46">
        <v>485937.46243416233</v>
      </c>
      <c r="K15" s="46">
        <v>1503052.4514471977</v>
      </c>
      <c r="M15" s="50">
        <f t="shared" si="0"/>
        <v>180931205.26870883</v>
      </c>
      <c r="N15" s="50">
        <f t="shared" si="1"/>
        <v>162443261.29673731</v>
      </c>
    </row>
    <row r="16" spans="1:15" x14ac:dyDescent="0.3">
      <c r="A16" s="63">
        <v>43221</v>
      </c>
      <c r="C16" s="46">
        <v>165504786.80450183</v>
      </c>
      <c r="D16" s="46">
        <v>42625273.200821601</v>
      </c>
      <c r="E16" s="46">
        <v>4169683.2989539341</v>
      </c>
      <c r="F16" s="46">
        <v>110438901.86648306</v>
      </c>
      <c r="G16" s="46">
        <v>2396572.6326448624</v>
      </c>
      <c r="H16" s="46">
        <v>92774510.056144252</v>
      </c>
      <c r="I16" s="46">
        <v>12065991.791762078</v>
      </c>
      <c r="J16" s="46">
        <v>792900.36708913429</v>
      </c>
      <c r="K16" s="46">
        <v>1495752.0990312933</v>
      </c>
      <c r="M16" s="50">
        <f t="shared" si="0"/>
        <v>165504786.80450183</v>
      </c>
      <c r="N16" s="50">
        <f t="shared" si="1"/>
        <v>172489323.15775466</v>
      </c>
    </row>
    <row r="17" spans="1:14" x14ac:dyDescent="0.3">
      <c r="A17" s="63">
        <v>43252</v>
      </c>
      <c r="C17" s="46">
        <v>159180004.84981185</v>
      </c>
      <c r="D17" s="46">
        <v>42911599.208197169</v>
      </c>
      <c r="E17" s="46">
        <v>3929967.7008139975</v>
      </c>
      <c r="F17" s="46">
        <v>111595767.80093133</v>
      </c>
      <c r="G17" s="46">
        <v>2349531.5922535108</v>
      </c>
      <c r="H17" s="46">
        <v>92304315.923737437</v>
      </c>
      <c r="I17" s="46">
        <v>15995304.544423161</v>
      </c>
      <c r="J17" s="46">
        <v>1168815.5646040207</v>
      </c>
      <c r="K17" s="46">
        <v>1491875.9970526437</v>
      </c>
      <c r="M17" s="50">
        <f t="shared" si="0"/>
        <v>159180004.84981185</v>
      </c>
      <c r="N17" s="50">
        <f t="shared" si="1"/>
        <v>177950986.4112232</v>
      </c>
    </row>
    <row r="18" spans="1:14" x14ac:dyDescent="0.3">
      <c r="A18" s="63">
        <v>43282</v>
      </c>
      <c r="C18" s="46">
        <v>194722364.15325752</v>
      </c>
      <c r="D18" s="46">
        <v>51160267.011545472</v>
      </c>
      <c r="E18" s="46">
        <v>4409871.1920005381</v>
      </c>
      <c r="F18" s="46">
        <v>128779332.78404483</v>
      </c>
      <c r="G18" s="46">
        <v>2750808.6106479224</v>
      </c>
      <c r="H18" s="46">
        <v>92381168.796519667</v>
      </c>
      <c r="I18" s="46">
        <v>21975557.841599174</v>
      </c>
      <c r="J18" s="46">
        <v>1762506.7776767076</v>
      </c>
      <c r="K18" s="46">
        <v>1487548.7332422216</v>
      </c>
      <c r="M18" s="50">
        <f t="shared" si="0"/>
        <v>194722364.15325752</v>
      </c>
      <c r="N18" s="50">
        <f t="shared" si="1"/>
        <v>210838344.21751463</v>
      </c>
    </row>
    <row r="19" spans="1:14" x14ac:dyDescent="0.3">
      <c r="A19" s="63">
        <v>43313</v>
      </c>
      <c r="C19" s="46">
        <v>184091057.52748036</v>
      </c>
      <c r="D19" s="46">
        <v>48305210.112373255</v>
      </c>
      <c r="E19" s="46">
        <v>4248919.4730863925</v>
      </c>
      <c r="F19" s="46">
        <v>121490885.02102351</v>
      </c>
      <c r="G19" s="46">
        <v>2611818.9746649642</v>
      </c>
      <c r="H19" s="46">
        <v>95801534.501396626</v>
      </c>
      <c r="I19" s="46">
        <v>21766114.929709442</v>
      </c>
      <c r="J19" s="46">
        <v>1589138.3522715869</v>
      </c>
      <c r="K19" s="46">
        <v>1479929.0624368056</v>
      </c>
      <c r="M19" s="50">
        <f t="shared" si="0"/>
        <v>184091057.52748036</v>
      </c>
      <c r="N19" s="50">
        <f t="shared" si="1"/>
        <v>200012086.86312914</v>
      </c>
    </row>
    <row r="20" spans="1:14" x14ac:dyDescent="0.3">
      <c r="A20" s="63">
        <v>43344</v>
      </c>
      <c r="C20" s="46">
        <v>157560688.52248412</v>
      </c>
      <c r="D20" s="46">
        <v>42472071.513467237</v>
      </c>
      <c r="E20" s="46">
        <v>3944664.3527494543</v>
      </c>
      <c r="F20" s="46">
        <v>109755614.70641792</v>
      </c>
      <c r="G20" s="46">
        <v>2331847.5358914919</v>
      </c>
      <c r="H20" s="46">
        <v>96058766.262987971</v>
      </c>
      <c r="I20" s="46">
        <v>14925026.741142521</v>
      </c>
      <c r="J20" s="46">
        <v>992315.34183824365</v>
      </c>
      <c r="K20" s="46">
        <v>1467615.2121774405</v>
      </c>
      <c r="M20" s="50">
        <f t="shared" si="0"/>
        <v>157560688.52248412</v>
      </c>
      <c r="N20" s="50">
        <f t="shared" si="1"/>
        <v>174421540.19150686</v>
      </c>
    </row>
    <row r="21" spans="1:14" x14ac:dyDescent="0.3">
      <c r="A21" s="63">
        <v>43374</v>
      </c>
      <c r="C21" s="46">
        <v>181198329.48622</v>
      </c>
      <c r="D21" s="46">
        <v>45506959.016959988</v>
      </c>
      <c r="E21" s="46">
        <v>4521061.6803749613</v>
      </c>
      <c r="F21" s="46">
        <v>116414982.72033384</v>
      </c>
      <c r="G21" s="46">
        <v>2525776.3534276001</v>
      </c>
      <c r="H21" s="46">
        <v>94925036.03878656</v>
      </c>
      <c r="I21" s="46">
        <v>8244182.9589787452</v>
      </c>
      <c r="J21" s="46">
        <v>539602.59401956294</v>
      </c>
      <c r="K21" s="46">
        <v>1467813.8842941311</v>
      </c>
      <c r="M21" s="50">
        <f t="shared" si="0"/>
        <v>181198329.48622</v>
      </c>
      <c r="N21" s="50">
        <f t="shared" si="1"/>
        <v>177752565.32409468</v>
      </c>
    </row>
    <row r="22" spans="1:14" x14ac:dyDescent="0.3">
      <c r="A22" s="63">
        <v>43405</v>
      </c>
      <c r="C22" s="46">
        <v>228683387.43968645</v>
      </c>
      <c r="D22" s="46">
        <v>48493203.498039573</v>
      </c>
      <c r="E22" s="46">
        <v>5479141.607147187</v>
      </c>
      <c r="F22" s="46">
        <v>114186826.06901863</v>
      </c>
      <c r="G22" s="46">
        <v>2773149.1386109758</v>
      </c>
      <c r="H22" s="46">
        <v>94112428.564483255</v>
      </c>
      <c r="I22" s="46">
        <v>3948466.5887096962</v>
      </c>
      <c r="J22" s="46">
        <v>282793.55512678117</v>
      </c>
      <c r="K22" s="46">
        <v>1471889.944256285</v>
      </c>
      <c r="M22" s="50">
        <f t="shared" si="0"/>
        <v>228683387.43968645</v>
      </c>
      <c r="N22" s="50">
        <f t="shared" si="1"/>
        <v>175163580.45665285</v>
      </c>
    </row>
    <row r="23" spans="1:14" x14ac:dyDescent="0.3">
      <c r="A23" s="63">
        <v>43435</v>
      </c>
      <c r="C23" s="46">
        <v>289427617.29771477</v>
      </c>
      <c r="D23" s="46">
        <v>55018750.294665113</v>
      </c>
      <c r="E23" s="46">
        <v>6828884.8510904405</v>
      </c>
      <c r="F23" s="46">
        <v>121940147.59064819</v>
      </c>
      <c r="G23" s="46">
        <v>3293525.511569513</v>
      </c>
      <c r="H23" s="46">
        <v>93110082.726801127</v>
      </c>
      <c r="I23" s="46">
        <v>3616330.7470466699</v>
      </c>
      <c r="J23" s="46">
        <v>279082.18888493231</v>
      </c>
      <c r="K23" s="46">
        <v>1471764.4241067106</v>
      </c>
      <c r="M23" s="50">
        <f t="shared" si="0"/>
        <v>289427617.29771477</v>
      </c>
      <c r="N23" s="50">
        <f t="shared" si="1"/>
        <v>190976721.18390486</v>
      </c>
    </row>
    <row r="24" spans="1:14" x14ac:dyDescent="0.3">
      <c r="A24" s="63">
        <v>43466</v>
      </c>
      <c r="C24" s="46">
        <v>279109485.27994418</v>
      </c>
      <c r="D24" s="46">
        <v>53894716.827706732</v>
      </c>
      <c r="E24" s="46">
        <v>6828150.7400332242</v>
      </c>
      <c r="F24" s="46">
        <v>118250299.6699134</v>
      </c>
      <c r="G24" s="46">
        <v>3300293.4408595329</v>
      </c>
      <c r="H24" s="46">
        <v>90304374.418747365</v>
      </c>
      <c r="I24" s="46">
        <v>3630031.0217981036</v>
      </c>
      <c r="J24" s="46">
        <v>288186.8018103909</v>
      </c>
      <c r="K24" s="46">
        <v>1453065.127139166</v>
      </c>
      <c r="M24" s="50">
        <f t="shared" si="0"/>
        <v>279109485.27994418</v>
      </c>
      <c r="N24" s="50">
        <f t="shared" si="1"/>
        <v>186191678.50212136</v>
      </c>
    </row>
    <row r="25" spans="1:14" x14ac:dyDescent="0.3">
      <c r="A25" s="63">
        <v>43497</v>
      </c>
      <c r="C25" s="46">
        <v>230327787.9647631</v>
      </c>
      <c r="D25" s="46">
        <v>46932981.38633357</v>
      </c>
      <c r="E25" s="46">
        <v>5766678.7564349342</v>
      </c>
      <c r="F25" s="46">
        <v>105241939.90632348</v>
      </c>
      <c r="G25" s="46">
        <v>2837736.8237692425</v>
      </c>
      <c r="H25" s="46">
        <v>91187123.789756104</v>
      </c>
      <c r="I25" s="46">
        <v>3239040.3577181036</v>
      </c>
      <c r="J25" s="46">
        <v>248613.83476170222</v>
      </c>
      <c r="K25" s="46">
        <v>1445805.9655334945</v>
      </c>
      <c r="M25" s="50">
        <f t="shared" si="0"/>
        <v>230327787.9647631</v>
      </c>
      <c r="N25" s="50">
        <f t="shared" si="1"/>
        <v>164266991.06534106</v>
      </c>
    </row>
    <row r="26" spans="1:14" x14ac:dyDescent="0.3">
      <c r="A26" s="63">
        <v>43525</v>
      </c>
      <c r="C26" s="46">
        <v>227649751.00856909</v>
      </c>
      <c r="D26" s="46">
        <v>49015688.306444243</v>
      </c>
      <c r="E26" s="46">
        <v>5677849.3528227182</v>
      </c>
      <c r="F26" s="46">
        <v>114590075.77289912</v>
      </c>
      <c r="G26" s="46">
        <v>2874778.6462552086</v>
      </c>
      <c r="H26" s="46">
        <v>88239196.32236883</v>
      </c>
      <c r="I26" s="46">
        <v>4144103.5225798627</v>
      </c>
      <c r="J26" s="46">
        <v>274297.82155726734</v>
      </c>
      <c r="K26" s="46">
        <v>1444644.490785752</v>
      </c>
      <c r="M26" s="50">
        <f t="shared" si="0"/>
        <v>227649751.00856909</v>
      </c>
      <c r="N26" s="50">
        <f t="shared" si="1"/>
        <v>176576793.4225584</v>
      </c>
    </row>
    <row r="27" spans="1:14" x14ac:dyDescent="0.3">
      <c r="A27" s="63">
        <v>43556</v>
      </c>
      <c r="C27" s="46">
        <v>182467052.35187289</v>
      </c>
      <c r="D27" s="46">
        <v>42696486.557328366</v>
      </c>
      <c r="E27" s="46">
        <v>4575081.4445522167</v>
      </c>
      <c r="F27" s="46">
        <v>105650158.23038116</v>
      </c>
      <c r="G27" s="46">
        <v>2432126.2523973202</v>
      </c>
      <c r="H27" s="46">
        <v>90434725.260531828</v>
      </c>
      <c r="I27" s="46">
        <v>6697755.4840433225</v>
      </c>
      <c r="J27" s="46">
        <v>480705.90146179532</v>
      </c>
      <c r="K27" s="46">
        <v>1435571.4325181325</v>
      </c>
      <c r="M27" s="50">
        <f t="shared" si="0"/>
        <v>182467052.35187289</v>
      </c>
      <c r="N27" s="50">
        <f t="shared" si="1"/>
        <v>162532313.87016422</v>
      </c>
    </row>
    <row r="28" spans="1:14" x14ac:dyDescent="0.3">
      <c r="A28" s="63">
        <v>43586</v>
      </c>
      <c r="C28" s="46">
        <v>168927764.7028555</v>
      </c>
      <c r="D28" s="46">
        <v>43309560.852974333</v>
      </c>
      <c r="E28" s="46">
        <v>4297489.2705892697</v>
      </c>
      <c r="F28" s="46">
        <v>111968644.87948254</v>
      </c>
      <c r="G28" s="46">
        <v>2414754.5545106381</v>
      </c>
      <c r="H28" s="46">
        <v>91871177.287806451</v>
      </c>
      <c r="I28" s="46">
        <v>12204695.765022248</v>
      </c>
      <c r="J28" s="46">
        <v>792971.63006473507</v>
      </c>
      <c r="K28" s="46">
        <v>1432958.8476073765</v>
      </c>
      <c r="M28" s="50">
        <f t="shared" si="0"/>
        <v>168927764.7028555</v>
      </c>
      <c r="N28" s="50">
        <f t="shared" si="1"/>
        <v>174988116.95264378</v>
      </c>
    </row>
    <row r="29" spans="1:14" x14ac:dyDescent="0.3">
      <c r="A29" s="63">
        <v>43617</v>
      </c>
      <c r="C29" s="46">
        <v>160021329.49128628</v>
      </c>
      <c r="D29" s="46">
        <v>43098054.057221025</v>
      </c>
      <c r="E29" s="46">
        <v>4001003.6266418351</v>
      </c>
      <c r="F29" s="46">
        <v>111860144.87064137</v>
      </c>
      <c r="G29" s="46">
        <v>2334798.9628115697</v>
      </c>
      <c r="H29" s="46">
        <v>91175548.215561062</v>
      </c>
      <c r="I29" s="46">
        <v>16100213.096500512</v>
      </c>
      <c r="J29" s="46">
        <v>1162303.0840540072</v>
      </c>
      <c r="K29" s="46">
        <v>1431250.8266553835</v>
      </c>
      <c r="M29" s="50">
        <f t="shared" si="0"/>
        <v>160021329.49128628</v>
      </c>
      <c r="N29" s="50">
        <f t="shared" si="1"/>
        <v>178556517.69787028</v>
      </c>
    </row>
    <row r="30" spans="1:14" x14ac:dyDescent="0.3">
      <c r="A30" s="63">
        <v>43647</v>
      </c>
      <c r="C30" s="46">
        <v>191022240.45999241</v>
      </c>
      <c r="D30" s="46">
        <v>50163572.579709128</v>
      </c>
      <c r="E30" s="46">
        <v>4409719.2033551531</v>
      </c>
      <c r="F30" s="46">
        <v>126030464.58568138</v>
      </c>
      <c r="G30" s="46">
        <v>2671861.6869036369</v>
      </c>
      <c r="H30" s="46">
        <v>90965243.089116275</v>
      </c>
      <c r="I30" s="46">
        <v>21624779.852916822</v>
      </c>
      <c r="J30" s="46">
        <v>1738097.1908689702</v>
      </c>
      <c r="K30" s="46">
        <v>1425755.8957889453</v>
      </c>
      <c r="M30" s="50">
        <f t="shared" si="0"/>
        <v>191022240.45999241</v>
      </c>
      <c r="N30" s="50">
        <f t="shared" si="1"/>
        <v>206638495.09943509</v>
      </c>
    </row>
    <row r="31" spans="1:14" x14ac:dyDescent="0.3">
      <c r="A31" s="63">
        <v>43678</v>
      </c>
      <c r="C31" s="46">
        <v>186734089.57078385</v>
      </c>
      <c r="D31" s="46">
        <v>48877717.525064372</v>
      </c>
      <c r="E31" s="46">
        <v>4356205.4915120434</v>
      </c>
      <c r="F31" s="46">
        <v>122466842.33240993</v>
      </c>
      <c r="G31" s="46">
        <v>2620764.8940791991</v>
      </c>
      <c r="H31" s="46">
        <v>94300477.209534302</v>
      </c>
      <c r="I31" s="46">
        <v>22160899.019686479</v>
      </c>
      <c r="J31" s="46">
        <v>1601377.484437542</v>
      </c>
      <c r="K31" s="46">
        <v>1414507.326001172</v>
      </c>
      <c r="M31" s="50">
        <f t="shared" si="0"/>
        <v>186734089.57078385</v>
      </c>
      <c r="N31" s="50">
        <f t="shared" si="1"/>
        <v>202083806.74718961</v>
      </c>
    </row>
    <row r="32" spans="1:14" x14ac:dyDescent="0.3">
      <c r="A32" s="63">
        <v>43709</v>
      </c>
      <c r="C32" s="46">
        <v>157842866.79090524</v>
      </c>
      <c r="D32" s="46">
        <v>42379366.424236946</v>
      </c>
      <c r="E32" s="46">
        <v>3997278.54972162</v>
      </c>
      <c r="F32" s="46">
        <v>109106022.27009392</v>
      </c>
      <c r="G32" s="46">
        <v>2309534.2078343988</v>
      </c>
      <c r="H32" s="46">
        <v>93877662.589667767</v>
      </c>
      <c r="I32" s="46">
        <v>15170731.5659796</v>
      </c>
      <c r="J32" s="46">
        <v>994142.55701926025</v>
      </c>
      <c r="K32" s="46">
        <v>1407182.4312982028</v>
      </c>
      <c r="M32" s="50">
        <f t="shared" si="0"/>
        <v>157842866.79090524</v>
      </c>
      <c r="N32" s="50">
        <f t="shared" si="1"/>
        <v>173957075.57488573</v>
      </c>
    </row>
    <row r="33" spans="1:14" x14ac:dyDescent="0.3">
      <c r="A33" s="63">
        <v>43739</v>
      </c>
      <c r="C33" s="46">
        <v>181715847.63183671</v>
      </c>
      <c r="D33" s="46">
        <v>45702968.228218161</v>
      </c>
      <c r="E33" s="46">
        <v>4613236.5931389043</v>
      </c>
      <c r="F33" s="46">
        <v>116717057.87374555</v>
      </c>
      <c r="G33" s="46">
        <v>2518804.6323667895</v>
      </c>
      <c r="H33" s="46">
        <v>92948636.594125926</v>
      </c>
      <c r="I33" s="46">
        <v>8549977.9746278804</v>
      </c>
      <c r="J33" s="46">
        <v>547996.65451222181</v>
      </c>
      <c r="K33" s="46">
        <v>1409068.4495582664</v>
      </c>
      <c r="M33" s="50">
        <f t="shared" si="0"/>
        <v>181715847.63183671</v>
      </c>
      <c r="N33" s="50">
        <f t="shared" si="1"/>
        <v>178650041.95660949</v>
      </c>
    </row>
    <row r="34" spans="1:14" x14ac:dyDescent="0.3">
      <c r="A34" s="63">
        <v>43770</v>
      </c>
      <c r="C34" s="46">
        <v>229884169.47968358</v>
      </c>
      <c r="D34" s="46">
        <v>48831294.492521226</v>
      </c>
      <c r="E34" s="46">
        <v>5580375.5653220573</v>
      </c>
      <c r="F34" s="46">
        <v>114908309.04883459</v>
      </c>
      <c r="G34" s="46">
        <v>2763542.3198259072</v>
      </c>
      <c r="H34" s="46">
        <v>92002998.648053378</v>
      </c>
      <c r="I34" s="46">
        <v>4025685.0946526029</v>
      </c>
      <c r="J34" s="46">
        <v>283885.5400056747</v>
      </c>
      <c r="K34" s="46">
        <v>1405695.0799969442</v>
      </c>
      <c r="M34" s="50">
        <f t="shared" si="0"/>
        <v>229884169.47968358</v>
      </c>
      <c r="N34" s="50">
        <f t="shared" si="1"/>
        <v>176393092.06116208</v>
      </c>
    </row>
    <row r="35" spans="1:14" x14ac:dyDescent="0.3">
      <c r="A35" s="63">
        <v>43800</v>
      </c>
      <c r="C35" s="46">
        <v>290825852.34337008</v>
      </c>
      <c r="D35" s="46">
        <v>55238840.593227133</v>
      </c>
      <c r="E35" s="46">
        <v>6947332.8805126008</v>
      </c>
      <c r="F35" s="46">
        <v>121966634.40508069</v>
      </c>
      <c r="G35" s="46">
        <v>3269725.9395281868</v>
      </c>
      <c r="H35" s="46">
        <v>91779097.87659061</v>
      </c>
      <c r="I35" s="46">
        <v>3628947.8913627411</v>
      </c>
      <c r="J35" s="46">
        <v>275491.53808998043</v>
      </c>
      <c r="K35" s="46">
        <v>1397747.1746419992</v>
      </c>
      <c r="M35" s="50">
        <f t="shared" si="0"/>
        <v>290825852.34337008</v>
      </c>
      <c r="N35" s="50">
        <f t="shared" si="1"/>
        <v>191326973.24780133</v>
      </c>
    </row>
    <row r="36" spans="1:14" x14ac:dyDescent="0.3">
      <c r="A36" s="63">
        <v>43831</v>
      </c>
      <c r="C36" s="46">
        <v>280972253.6622591</v>
      </c>
      <c r="D36" s="46">
        <v>53925270.778902024</v>
      </c>
      <c r="E36" s="46">
        <v>6922903.1373450402</v>
      </c>
      <c r="F36" s="46">
        <v>117776330.89590938</v>
      </c>
      <c r="G36" s="46">
        <v>3271327.8104726756</v>
      </c>
      <c r="H36" s="46">
        <v>89892018.658391207</v>
      </c>
      <c r="I36" s="46">
        <v>3615442.3178635896</v>
      </c>
      <c r="J36" s="46">
        <v>286204.55492653995</v>
      </c>
      <c r="K36" s="46">
        <v>1384703.3375030346</v>
      </c>
      <c r="M36" s="50">
        <f t="shared" si="0"/>
        <v>280972253.6622591</v>
      </c>
      <c r="N36" s="50">
        <f t="shared" si="1"/>
        <v>185797479.49541923</v>
      </c>
    </row>
    <row r="37" spans="1:14" x14ac:dyDescent="0.3">
      <c r="A37" s="63">
        <v>43862</v>
      </c>
      <c r="C37" s="46">
        <v>230351271.04206353</v>
      </c>
      <c r="D37" s="46">
        <v>46607622.857581899</v>
      </c>
      <c r="E37" s="46">
        <v>5816731.0447726753</v>
      </c>
      <c r="F37" s="46">
        <v>103953229.15816359</v>
      </c>
      <c r="G37" s="46">
        <v>2797512.2989651593</v>
      </c>
      <c r="H37" s="46">
        <v>90468492.933519125</v>
      </c>
      <c r="I37" s="46">
        <v>3213254.3733306606</v>
      </c>
      <c r="J37" s="46">
        <v>246171.87533878189</v>
      </c>
      <c r="K37" s="46">
        <v>1376122.3720164516</v>
      </c>
      <c r="M37" s="50">
        <f t="shared" ref="M37:M59" si="2">C37</f>
        <v>230351271.04206353</v>
      </c>
      <c r="N37" s="50">
        <f t="shared" ref="N37:N59" si="3">SUM(D37:G37,I37:J37)</f>
        <v>162634521.60815278</v>
      </c>
    </row>
    <row r="38" spans="1:14" x14ac:dyDescent="0.3">
      <c r="A38" s="63">
        <v>43891</v>
      </c>
      <c r="C38" s="46">
        <v>227667031.66420242</v>
      </c>
      <c r="D38" s="46">
        <v>48682445.153790273</v>
      </c>
      <c r="E38" s="46">
        <v>5747166.7460518796</v>
      </c>
      <c r="F38" s="46">
        <v>113045802.94028188</v>
      </c>
      <c r="G38" s="46">
        <v>2837314.9938272899</v>
      </c>
      <c r="H38" s="46">
        <v>87474790.046390772</v>
      </c>
      <c r="I38" s="46">
        <v>4043970.335612135</v>
      </c>
      <c r="J38" s="46">
        <v>268414.40329043882</v>
      </c>
      <c r="K38" s="46">
        <v>1364386.4228731263</v>
      </c>
      <c r="M38" s="50">
        <f t="shared" si="2"/>
        <v>227667031.66420242</v>
      </c>
      <c r="N38" s="50">
        <f t="shared" si="3"/>
        <v>174625114.57285392</v>
      </c>
    </row>
    <row r="39" spans="1:14" x14ac:dyDescent="0.3">
      <c r="A39" s="63">
        <v>43922</v>
      </c>
      <c r="C39" s="46">
        <v>185016080.00884399</v>
      </c>
      <c r="D39" s="46">
        <v>42966078.522507943</v>
      </c>
      <c r="E39" s="46">
        <v>4694323.1416448588</v>
      </c>
      <c r="F39" s="46">
        <v>105556455.80310149</v>
      </c>
      <c r="G39" s="46">
        <v>2432765.908984106</v>
      </c>
      <c r="H39" s="46">
        <v>89608271.633698404</v>
      </c>
      <c r="I39" s="46">
        <v>6442512.3697563987</v>
      </c>
      <c r="J39" s="46">
        <v>465489.24820909032</v>
      </c>
      <c r="K39" s="46">
        <v>1351535.1841968354</v>
      </c>
      <c r="M39" s="50">
        <f t="shared" si="2"/>
        <v>185016080.00884399</v>
      </c>
      <c r="N39" s="50">
        <f t="shared" si="3"/>
        <v>162557624.99420387</v>
      </c>
    </row>
    <row r="40" spans="1:14" x14ac:dyDescent="0.3">
      <c r="A40" s="63">
        <v>43952</v>
      </c>
      <c r="C40" s="46">
        <v>169030462.35324401</v>
      </c>
      <c r="D40" s="46">
        <v>43014897.660744414</v>
      </c>
      <c r="E40" s="46">
        <v>4347644.4816980474</v>
      </c>
      <c r="F40" s="46">
        <v>110563242.49197447</v>
      </c>
      <c r="G40" s="46">
        <v>2381149.5910635507</v>
      </c>
      <c r="H40" s="46">
        <v>91322347.46055609</v>
      </c>
      <c r="I40" s="46">
        <v>11714682.493095212</v>
      </c>
      <c r="J40" s="46">
        <v>772034.66965514759</v>
      </c>
      <c r="K40" s="46">
        <v>1345565.5138198223</v>
      </c>
      <c r="M40" s="50">
        <f t="shared" si="2"/>
        <v>169030462.35324401</v>
      </c>
      <c r="N40" s="50">
        <f t="shared" si="3"/>
        <v>172793651.38823086</v>
      </c>
    </row>
    <row r="41" spans="1:14" x14ac:dyDescent="0.3">
      <c r="A41" s="63">
        <v>43983</v>
      </c>
      <c r="C41" s="46">
        <v>162452781.52446571</v>
      </c>
      <c r="D41" s="46">
        <v>43708034.145395264</v>
      </c>
      <c r="E41" s="46">
        <v>4139490.0018536504</v>
      </c>
      <c r="F41" s="46">
        <v>113197297.52888906</v>
      </c>
      <c r="G41" s="46">
        <v>2353792.5247007199</v>
      </c>
      <c r="H41" s="46">
        <v>90173078.697800636</v>
      </c>
      <c r="I41" s="46">
        <v>16208419.783752758</v>
      </c>
      <c r="J41" s="46">
        <v>1147298.5494815367</v>
      </c>
      <c r="K41" s="46">
        <v>1334718.336320621</v>
      </c>
      <c r="M41" s="50">
        <f t="shared" si="2"/>
        <v>162452781.52446571</v>
      </c>
      <c r="N41" s="50">
        <f t="shared" si="3"/>
        <v>180754332.53407302</v>
      </c>
    </row>
    <row r="42" spans="1:14" x14ac:dyDescent="0.3">
      <c r="A42" s="63">
        <v>44013</v>
      </c>
      <c r="C42" s="46">
        <v>195429848.64365974</v>
      </c>
      <c r="D42" s="46">
        <v>51428160.639906436</v>
      </c>
      <c r="E42" s="46">
        <v>4594239.7206302136</v>
      </c>
      <c r="F42" s="46">
        <v>128857699.0234157</v>
      </c>
      <c r="G42" s="46">
        <v>2715000.3838113002</v>
      </c>
      <c r="H42" s="46">
        <v>90590252.571560785</v>
      </c>
      <c r="I42" s="46">
        <v>22071655.780340649</v>
      </c>
      <c r="J42" s="46">
        <v>1747612.615465842</v>
      </c>
      <c r="K42" s="46">
        <v>1317951.2291091522</v>
      </c>
      <c r="M42" s="50">
        <f t="shared" si="2"/>
        <v>195429848.64365974</v>
      </c>
      <c r="N42" s="50">
        <f t="shared" si="3"/>
        <v>211414368.16357014</v>
      </c>
    </row>
    <row r="43" spans="1:14" x14ac:dyDescent="0.3">
      <c r="A43" s="63">
        <v>44044</v>
      </c>
      <c r="C43" s="46">
        <v>187542756.05136424</v>
      </c>
      <c r="D43" s="46">
        <v>49020431.415202938</v>
      </c>
      <c r="E43" s="46">
        <v>4423734.494795098</v>
      </c>
      <c r="F43" s="46">
        <v>122146616.6585356</v>
      </c>
      <c r="G43" s="46">
        <v>2604811.2144349217</v>
      </c>
      <c r="H43" s="46">
        <v>93041082.353025764</v>
      </c>
      <c r="I43" s="46">
        <v>22275256.751577869</v>
      </c>
      <c r="J43" s="46">
        <v>1602346.9831690176</v>
      </c>
      <c r="K43" s="46">
        <v>1300094.9405355975</v>
      </c>
      <c r="M43" s="50">
        <f t="shared" si="2"/>
        <v>187542756.05136424</v>
      </c>
      <c r="N43" s="50">
        <f t="shared" si="3"/>
        <v>202073197.51771545</v>
      </c>
    </row>
    <row r="44" spans="1:14" x14ac:dyDescent="0.3">
      <c r="A44" s="63">
        <v>44075</v>
      </c>
      <c r="C44" s="46">
        <v>159288647.31467736</v>
      </c>
      <c r="D44" s="46">
        <v>42711361.239055716</v>
      </c>
      <c r="E44" s="46">
        <v>4075779.5033461466</v>
      </c>
      <c r="F44" s="46">
        <v>109289871.56603394</v>
      </c>
      <c r="G44" s="46">
        <v>2306018.6199376052</v>
      </c>
      <c r="H44" s="46">
        <v>93162517.594484061</v>
      </c>
      <c r="I44" s="46">
        <v>15637449.276422659</v>
      </c>
      <c r="J44" s="46">
        <v>1015917.2536377282</v>
      </c>
      <c r="K44" s="46">
        <v>1289657.6753965607</v>
      </c>
      <c r="M44" s="50">
        <f t="shared" si="2"/>
        <v>159288647.31467736</v>
      </c>
      <c r="N44" s="50">
        <f t="shared" si="3"/>
        <v>175036397.45843378</v>
      </c>
    </row>
    <row r="45" spans="1:14" x14ac:dyDescent="0.3">
      <c r="A45" s="63">
        <v>44105</v>
      </c>
      <c r="C45" s="46">
        <v>182533157.75224963</v>
      </c>
      <c r="D45" s="46">
        <v>46127086.946943797</v>
      </c>
      <c r="E45" s="46">
        <v>4708273.9773959517</v>
      </c>
      <c r="F45" s="46">
        <v>117414375.97356737</v>
      </c>
      <c r="G45" s="46">
        <v>2520010.5213306043</v>
      </c>
      <c r="H45" s="46">
        <v>92247859.460841447</v>
      </c>
      <c r="I45" s="46">
        <v>8960348.4068382047</v>
      </c>
      <c r="J45" s="46">
        <v>559329.27717890299</v>
      </c>
      <c r="K45" s="46">
        <v>1279227.8793878518</v>
      </c>
      <c r="M45" s="50">
        <f t="shared" si="2"/>
        <v>182533157.75224963</v>
      </c>
      <c r="N45" s="50">
        <f t="shared" si="3"/>
        <v>180289425.10325482</v>
      </c>
    </row>
    <row r="46" spans="1:14" x14ac:dyDescent="0.3">
      <c r="A46" s="63">
        <v>44136</v>
      </c>
      <c r="C46" s="46">
        <v>230721973.91177529</v>
      </c>
      <c r="D46" s="46">
        <v>49272074.863440447</v>
      </c>
      <c r="E46" s="46">
        <v>5682830.2427244</v>
      </c>
      <c r="F46" s="46">
        <v>115751315.01287121</v>
      </c>
      <c r="G46" s="46">
        <v>2758488.6662199749</v>
      </c>
      <c r="H46" s="46">
        <v>91119425.526494592</v>
      </c>
      <c r="I46" s="46">
        <v>4118811.2569661029</v>
      </c>
      <c r="J46" s="46">
        <v>284143.06858535623</v>
      </c>
      <c r="K46" s="46">
        <v>1261936.932190079</v>
      </c>
      <c r="M46" s="50">
        <f t="shared" si="2"/>
        <v>230721973.91177529</v>
      </c>
      <c r="N46" s="50">
        <f t="shared" si="3"/>
        <v>177867663.11080751</v>
      </c>
    </row>
    <row r="47" spans="1:14" x14ac:dyDescent="0.3">
      <c r="A47" s="63">
        <v>44166</v>
      </c>
      <c r="C47" s="46">
        <v>293202393.55236155</v>
      </c>
      <c r="D47" s="46">
        <v>55729774.204709217</v>
      </c>
      <c r="E47" s="46">
        <v>7087161.7901402311</v>
      </c>
      <c r="F47" s="46">
        <v>122465020.6580271</v>
      </c>
      <c r="G47" s="46">
        <v>3262864.7138264785</v>
      </c>
      <c r="H47" s="46">
        <v>91431338.371302664</v>
      </c>
      <c r="I47" s="46">
        <v>3657379.5082898363</v>
      </c>
      <c r="J47" s="46">
        <v>275700.24072693102</v>
      </c>
      <c r="K47" s="46">
        <v>1244378.3535226018</v>
      </c>
      <c r="M47" s="50">
        <f t="shared" si="2"/>
        <v>293202393.55236155</v>
      </c>
      <c r="N47" s="50">
        <f t="shared" si="3"/>
        <v>192477901.1157198</v>
      </c>
    </row>
    <row r="48" spans="1:14" x14ac:dyDescent="0.3">
      <c r="A48" s="63">
        <v>44197</v>
      </c>
      <c r="C48" s="46">
        <v>284868080.3173964</v>
      </c>
      <c r="D48" s="46">
        <v>54501182.688720226</v>
      </c>
      <c r="E48" s="46">
        <v>7088229.2717682533</v>
      </c>
      <c r="F48" s="46">
        <v>118337039.51183222</v>
      </c>
      <c r="G48" s="46">
        <v>3273875.0056230975</v>
      </c>
      <c r="H48" s="46">
        <v>89549491.071068972</v>
      </c>
      <c r="I48" s="46">
        <v>3643166.760068574</v>
      </c>
      <c r="J48" s="46">
        <v>286920.25305834215</v>
      </c>
      <c r="K48" s="46">
        <v>1233289.1921264173</v>
      </c>
      <c r="M48" s="50">
        <f t="shared" si="2"/>
        <v>284868080.3173964</v>
      </c>
      <c r="N48" s="50">
        <f t="shared" si="3"/>
        <v>187130413.49107072</v>
      </c>
    </row>
    <row r="49" spans="1:14" x14ac:dyDescent="0.3">
      <c r="A49" s="63">
        <v>44228</v>
      </c>
      <c r="C49" s="46">
        <v>233246310.79239041</v>
      </c>
      <c r="D49" s="46">
        <v>47095464.198351339</v>
      </c>
      <c r="E49" s="46">
        <v>5961311.0094243605</v>
      </c>
      <c r="F49" s="46">
        <v>104344439.94121039</v>
      </c>
      <c r="G49" s="46">
        <v>2801662.7801060397</v>
      </c>
      <c r="H49" s="46">
        <v>90486117.123068556</v>
      </c>
      <c r="I49" s="46">
        <v>3241701.4424716625</v>
      </c>
      <c r="J49" s="46">
        <v>245842.01814415486</v>
      </c>
      <c r="K49" s="46">
        <v>1221667.6703754645</v>
      </c>
      <c r="M49" s="50">
        <f t="shared" si="2"/>
        <v>233246310.79239041</v>
      </c>
      <c r="N49" s="50">
        <f t="shared" si="3"/>
        <v>163690421.38970795</v>
      </c>
    </row>
    <row r="50" spans="1:14" x14ac:dyDescent="0.3">
      <c r="A50" s="63">
        <v>44256</v>
      </c>
      <c r="C50" s="46">
        <v>228230403.66740423</v>
      </c>
      <c r="D50" s="46">
        <v>48707860.935184099</v>
      </c>
      <c r="E50" s="46">
        <v>5831894.4753954392</v>
      </c>
      <c r="F50" s="46">
        <v>112307031.14807758</v>
      </c>
      <c r="G50" s="46">
        <v>2814235.351220442</v>
      </c>
      <c r="H50" s="46">
        <v>87110625.645318627</v>
      </c>
      <c r="I50" s="46">
        <v>4003046.4762533158</v>
      </c>
      <c r="J50" s="46">
        <v>265307.99315667053</v>
      </c>
      <c r="K50" s="46">
        <v>1207732.935602481</v>
      </c>
      <c r="M50" s="50">
        <f t="shared" si="2"/>
        <v>228230403.66740423</v>
      </c>
      <c r="N50" s="50">
        <f t="shared" si="3"/>
        <v>173929376.37928754</v>
      </c>
    </row>
    <row r="51" spans="1:14" x14ac:dyDescent="0.3">
      <c r="A51" s="63">
        <v>44287</v>
      </c>
      <c r="C51" s="46">
        <v>186502908.22342214</v>
      </c>
      <c r="D51" s="46">
        <v>43204063.852032512</v>
      </c>
      <c r="E51" s="46">
        <v>4794559.3664250048</v>
      </c>
      <c r="F51" s="46">
        <v>105374267.79004668</v>
      </c>
      <c r="G51" s="46">
        <v>2425590.6996715972</v>
      </c>
      <c r="H51" s="46">
        <v>89769253.682766691</v>
      </c>
      <c r="I51" s="46">
        <v>6321275.4356933832</v>
      </c>
      <c r="J51" s="46">
        <v>458897.76413437759</v>
      </c>
      <c r="K51" s="46">
        <v>1199256.3020270257</v>
      </c>
      <c r="M51" s="50">
        <f t="shared" si="2"/>
        <v>186502908.22342214</v>
      </c>
      <c r="N51" s="50">
        <f t="shared" si="3"/>
        <v>162578654.90800357</v>
      </c>
    </row>
    <row r="52" spans="1:14" x14ac:dyDescent="0.3">
      <c r="A52" s="63">
        <v>44317</v>
      </c>
      <c r="C52" s="46">
        <v>170305638.5934476</v>
      </c>
      <c r="D52" s="46">
        <v>43236975.513958961</v>
      </c>
      <c r="E52" s="46">
        <v>4438623.1533355694</v>
      </c>
      <c r="F52" s="46">
        <v>110423989.83684982</v>
      </c>
      <c r="G52" s="46">
        <v>2372787.271030521</v>
      </c>
      <c r="H52" s="46">
        <v>90968950.398195192</v>
      </c>
      <c r="I52" s="46">
        <v>11573482.99961682</v>
      </c>
      <c r="J52" s="46">
        <v>762698.77313707373</v>
      </c>
      <c r="K52" s="46">
        <v>1192440.0522099736</v>
      </c>
      <c r="M52" s="50">
        <f t="shared" si="2"/>
        <v>170305638.5934476</v>
      </c>
      <c r="N52" s="50">
        <f t="shared" si="3"/>
        <v>172808557.54792878</v>
      </c>
    </row>
    <row r="53" spans="1:14" x14ac:dyDescent="0.3">
      <c r="A53" s="63">
        <v>44348</v>
      </c>
      <c r="C53" s="46">
        <v>162757382.7339493</v>
      </c>
      <c r="D53" s="46">
        <v>43818506.599403091</v>
      </c>
      <c r="E53" s="46">
        <v>4213212.7937601982</v>
      </c>
      <c r="F53" s="46">
        <v>112965898.27515629</v>
      </c>
      <c r="G53" s="46">
        <v>2340760.6992645836</v>
      </c>
      <c r="H53" s="46">
        <v>89748625.187059641</v>
      </c>
      <c r="I53" s="46">
        <v>16180179.116630483</v>
      </c>
      <c r="J53" s="46">
        <v>1128233.4494003206</v>
      </c>
      <c r="K53" s="46">
        <v>1178263.5874395845</v>
      </c>
      <c r="M53" s="50">
        <f t="shared" si="2"/>
        <v>162757382.7339493</v>
      </c>
      <c r="N53" s="50">
        <f t="shared" si="3"/>
        <v>180646790.93361497</v>
      </c>
    </row>
    <row r="54" spans="1:14" x14ac:dyDescent="0.3">
      <c r="A54" s="63">
        <v>44378</v>
      </c>
      <c r="C54" s="46">
        <v>195542089.90754384</v>
      </c>
      <c r="D54" s="46">
        <v>51610462.437116988</v>
      </c>
      <c r="E54" s="46">
        <v>4676775.4092534194</v>
      </c>
      <c r="F54" s="46">
        <v>128692128.45737216</v>
      </c>
      <c r="G54" s="46">
        <v>2697925.439675028</v>
      </c>
      <c r="H54" s="46">
        <v>90653823.378852621</v>
      </c>
      <c r="I54" s="46">
        <v>22067999.948378235</v>
      </c>
      <c r="J54" s="46">
        <v>1740746.6056375732</v>
      </c>
      <c r="K54" s="46">
        <v>1162552.0987299304</v>
      </c>
      <c r="M54" s="50">
        <f t="shared" si="2"/>
        <v>195542089.90754384</v>
      </c>
      <c r="N54" s="50">
        <f t="shared" si="3"/>
        <v>211486038.29743341</v>
      </c>
    </row>
    <row r="55" spans="1:14" x14ac:dyDescent="0.3">
      <c r="A55" s="63">
        <v>44409</v>
      </c>
      <c r="C55" s="46">
        <v>188324233.62002641</v>
      </c>
      <c r="D55" s="46">
        <v>49240364.973344833</v>
      </c>
      <c r="E55" s="46">
        <v>4488423.9790402502</v>
      </c>
      <c r="F55" s="46">
        <v>121818507.71744472</v>
      </c>
      <c r="G55" s="46">
        <v>2589492.2214654782</v>
      </c>
      <c r="H55" s="46">
        <v>92410457.33116217</v>
      </c>
      <c r="I55" s="46">
        <v>22409574.286680307</v>
      </c>
      <c r="J55" s="46">
        <v>1606234.4158458007</v>
      </c>
      <c r="K55" s="46">
        <v>1151399.0782287607</v>
      </c>
      <c r="M55" s="50">
        <f t="shared" si="2"/>
        <v>188324233.62002641</v>
      </c>
      <c r="N55" s="50">
        <f t="shared" si="3"/>
        <v>202152597.59382138</v>
      </c>
    </row>
    <row r="56" spans="1:14" x14ac:dyDescent="0.3">
      <c r="A56" s="63">
        <v>44440</v>
      </c>
      <c r="C56" s="46">
        <v>160197037.79800454</v>
      </c>
      <c r="D56" s="46">
        <v>42982010.436776355</v>
      </c>
      <c r="E56" s="46">
        <v>4141075.4508549059</v>
      </c>
      <c r="F56" s="46">
        <v>109152004.724272</v>
      </c>
      <c r="G56" s="46">
        <v>2295737.1157852029</v>
      </c>
      <c r="H56" s="46">
        <v>93265651.101293206</v>
      </c>
      <c r="I56" s="46">
        <v>16072088.409943439</v>
      </c>
      <c r="J56" s="46">
        <v>1028817.5996410153</v>
      </c>
      <c r="K56" s="46">
        <v>1144665.2467336229</v>
      </c>
      <c r="M56" s="50">
        <f t="shared" si="2"/>
        <v>160197037.79800454</v>
      </c>
      <c r="N56" s="50">
        <f t="shared" si="3"/>
        <v>175671733.73727292</v>
      </c>
    </row>
    <row r="57" spans="1:14" x14ac:dyDescent="0.3">
      <c r="A57" s="63">
        <v>44470</v>
      </c>
      <c r="C57" s="46">
        <v>182489569.23262629</v>
      </c>
      <c r="D57" s="46">
        <v>46423904.194246978</v>
      </c>
      <c r="E57" s="46">
        <v>4785323.4002650026</v>
      </c>
      <c r="F57" s="46">
        <v>117665585.28920075</v>
      </c>
      <c r="G57" s="46">
        <v>2511957.7470973739</v>
      </c>
      <c r="H57" s="46">
        <v>91684025.127513781</v>
      </c>
      <c r="I57" s="46">
        <v>9372284.3361933939</v>
      </c>
      <c r="J57" s="46">
        <v>569392.22310342488</v>
      </c>
      <c r="K57" s="46">
        <v>1133934.2847088098</v>
      </c>
      <c r="M57" s="50">
        <f t="shared" si="2"/>
        <v>182489569.23262629</v>
      </c>
      <c r="N57" s="50">
        <f t="shared" si="3"/>
        <v>181328447.19010693</v>
      </c>
    </row>
    <row r="58" spans="1:14" x14ac:dyDescent="0.3">
      <c r="A58" s="63">
        <v>44501</v>
      </c>
      <c r="C58" s="46">
        <v>231038325.65022957</v>
      </c>
      <c r="D58" s="46">
        <v>49716351.574538752</v>
      </c>
      <c r="E58" s="46">
        <v>5768847.9086421067</v>
      </c>
      <c r="F58" s="46">
        <v>116509077.08948928</v>
      </c>
      <c r="G58" s="46">
        <v>2750477.4369563702</v>
      </c>
      <c r="H58" s="46">
        <v>91140346.877409399</v>
      </c>
      <c r="I58" s="46">
        <v>4219498.7925715968</v>
      </c>
      <c r="J58" s="46">
        <v>285720.33341401059</v>
      </c>
      <c r="K58" s="46">
        <v>1122206.7255159882</v>
      </c>
      <c r="M58" s="50">
        <f t="shared" si="2"/>
        <v>231038325.65022957</v>
      </c>
      <c r="N58" s="50">
        <f t="shared" si="3"/>
        <v>179249973.13561213</v>
      </c>
    </row>
    <row r="59" spans="1:14" x14ac:dyDescent="0.3">
      <c r="A59" s="63">
        <v>44531</v>
      </c>
      <c r="C59" s="46">
        <v>294729712.21996945</v>
      </c>
      <c r="D59" s="46">
        <v>56165130.264333203</v>
      </c>
      <c r="E59" s="46">
        <v>7164533.6759132855</v>
      </c>
      <c r="F59" s="46">
        <v>123101973.9560708</v>
      </c>
      <c r="G59" s="46">
        <v>3266043.0568642886</v>
      </c>
      <c r="H59" s="46">
        <v>91245062.709056377</v>
      </c>
      <c r="I59" s="46">
        <v>3684503.8845308688</v>
      </c>
      <c r="J59" s="46">
        <v>275345.66792858299</v>
      </c>
      <c r="K59" s="46">
        <v>1113010.8653235794</v>
      </c>
      <c r="M59" s="50">
        <f t="shared" si="2"/>
        <v>294729712.21996945</v>
      </c>
      <c r="N59" s="50">
        <f t="shared" si="3"/>
        <v>193657530.50564104</v>
      </c>
    </row>
  </sheetData>
  <mergeCells count="2">
    <mergeCell ref="A1:A2"/>
    <mergeCell ref="M3:N3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K83"/>
  <sheetViews>
    <sheetView tabSelected="1" topLeftCell="A33" workbookViewId="0">
      <selection sqref="A1:A2"/>
    </sheetView>
  </sheetViews>
  <sheetFormatPr defaultRowHeight="14.4" x14ac:dyDescent="0.3"/>
  <cols>
    <col min="1" max="1" width="4.5546875" customWidth="1"/>
    <col min="2" max="2" width="27.88671875" customWidth="1"/>
    <col min="3" max="3" width="16.88671875" customWidth="1"/>
    <col min="4" max="4" width="16" customWidth="1"/>
    <col min="5" max="5" width="16.6640625" customWidth="1"/>
    <col min="6" max="6" width="2.33203125" customWidth="1"/>
    <col min="7" max="7" width="4.88671875" customWidth="1"/>
    <col min="8" max="8" width="28" customWidth="1"/>
    <col min="9" max="9" width="18" customWidth="1"/>
    <col min="10" max="10" width="16.33203125" customWidth="1"/>
    <col min="11" max="11" width="16.6640625" customWidth="1"/>
    <col min="13" max="14" width="11.6640625" customWidth="1"/>
    <col min="15" max="15" width="10.44140625" customWidth="1"/>
    <col min="16" max="16" width="12.6640625" customWidth="1"/>
  </cols>
  <sheetData>
    <row r="1" spans="1:11" x14ac:dyDescent="0.3">
      <c r="B1" s="131" t="s">
        <v>0</v>
      </c>
      <c r="C1" s="131"/>
      <c r="D1" s="131"/>
      <c r="E1" s="131"/>
      <c r="F1" s="51"/>
      <c r="G1" s="51"/>
      <c r="H1" s="131" t="s">
        <v>0</v>
      </c>
      <c r="I1" s="131"/>
      <c r="J1" s="131"/>
      <c r="K1" s="131"/>
    </row>
    <row r="2" spans="1:11" x14ac:dyDescent="0.3">
      <c r="B2" s="131" t="s">
        <v>1</v>
      </c>
      <c r="C2" s="131"/>
      <c r="D2" s="131"/>
      <c r="E2" s="131"/>
      <c r="F2" s="51"/>
      <c r="G2" s="51"/>
      <c r="H2" s="131" t="s">
        <v>1</v>
      </c>
      <c r="I2" s="131"/>
      <c r="J2" s="131"/>
      <c r="K2" s="131"/>
    </row>
    <row r="3" spans="1:11" x14ac:dyDescent="0.3">
      <c r="B3" s="131" t="s">
        <v>114</v>
      </c>
      <c r="C3" s="131"/>
      <c r="D3" s="131"/>
      <c r="E3" s="131"/>
      <c r="F3" s="51"/>
      <c r="G3" s="51"/>
      <c r="H3" s="131" t="str">
        <f>B3</f>
        <v>Effective November 1, 2017 - October 31, 2018</v>
      </c>
      <c r="I3" s="131"/>
      <c r="J3" s="131"/>
      <c r="K3" s="131"/>
    </row>
    <row r="5" spans="1:11" ht="18" x14ac:dyDescent="0.35">
      <c r="B5" s="137" t="s">
        <v>39</v>
      </c>
      <c r="C5" s="137"/>
      <c r="D5" s="137"/>
      <c r="E5" s="137"/>
      <c r="F5" s="60"/>
      <c r="G5" s="27"/>
      <c r="H5" s="137" t="s">
        <v>40</v>
      </c>
      <c r="I5" s="137"/>
      <c r="J5" s="137"/>
      <c r="K5" s="137"/>
    </row>
    <row r="6" spans="1:11" ht="29.4" customHeight="1" x14ac:dyDescent="0.3">
      <c r="A6" s="74" t="s">
        <v>94</v>
      </c>
      <c r="B6" s="59" t="s">
        <v>2</v>
      </c>
      <c r="C6" s="59" t="s">
        <v>5</v>
      </c>
      <c r="D6" s="59" t="s">
        <v>6</v>
      </c>
      <c r="E6" s="71" t="s">
        <v>108</v>
      </c>
      <c r="F6" s="59"/>
      <c r="G6" s="74" t="s">
        <v>94</v>
      </c>
      <c r="H6" s="59" t="s">
        <v>2</v>
      </c>
      <c r="I6" s="59" t="s">
        <v>5</v>
      </c>
      <c r="J6" s="59" t="s">
        <v>6</v>
      </c>
      <c r="K6" s="71" t="s">
        <v>108</v>
      </c>
    </row>
    <row r="7" spans="1:11" x14ac:dyDescent="0.3">
      <c r="A7" s="75">
        <v>1</v>
      </c>
      <c r="B7" s="59"/>
      <c r="C7" s="73">
        <f>ROUND(C8/E22,5)</f>
        <v>4.1599999999999996E-3</v>
      </c>
      <c r="D7" s="25">
        <v>3.9600000000000003E-2</v>
      </c>
      <c r="E7" s="59"/>
      <c r="F7" s="59"/>
      <c r="G7" s="75">
        <v>1</v>
      </c>
      <c r="H7" s="59"/>
      <c r="I7" s="59">
        <f>ROUND(I8/K22,5)</f>
        <v>3.6999999999999999E-4</v>
      </c>
      <c r="J7" s="25">
        <f>D7</f>
        <v>3.9600000000000003E-2</v>
      </c>
      <c r="K7" s="59"/>
    </row>
    <row r="8" spans="1:11" x14ac:dyDescent="0.3">
      <c r="A8" s="75">
        <v>2</v>
      </c>
      <c r="B8" s="52">
        <v>43009</v>
      </c>
      <c r="C8" s="26">
        <f>C58+C59</f>
        <v>10208192.515366772</v>
      </c>
      <c r="D8" s="26"/>
      <c r="E8" s="27"/>
      <c r="F8" s="27"/>
      <c r="G8" s="75">
        <v>2</v>
      </c>
      <c r="H8" s="52">
        <f>B8</f>
        <v>43009</v>
      </c>
      <c r="I8" s="26">
        <f>I58+I59</f>
        <v>798464.56382100307</v>
      </c>
      <c r="J8" s="26"/>
      <c r="K8" s="27"/>
    </row>
    <row r="9" spans="1:11" x14ac:dyDescent="0.3">
      <c r="A9" s="75">
        <v>3</v>
      </c>
      <c r="B9" s="52">
        <v>43040</v>
      </c>
      <c r="C9" s="26">
        <f>C8+D9-$C$7*E9</f>
        <v>9294520.3739361186</v>
      </c>
      <c r="D9" s="26">
        <f>(C8-$C$7*E9/2)*$D$7/12</f>
        <v>32126.467595816677</v>
      </c>
      <c r="E9" s="32">
        <f>'5 15 17 Forecast Usage by Sched'!M10</f>
        <v>227355434.86213231</v>
      </c>
      <c r="F9" s="32"/>
      <c r="G9" s="75">
        <v>3</v>
      </c>
      <c r="H9" s="52">
        <f t="shared" ref="H9:H20" si="0">B9</f>
        <v>43040</v>
      </c>
      <c r="I9" s="26">
        <f>I8+J9-$I$7*K9</f>
        <v>736791.51891641994</v>
      </c>
      <c r="J9" s="26">
        <f>(I8-$I$7*K9/2)*$J$7/12</f>
        <v>2528.9996870331433</v>
      </c>
      <c r="K9" s="32">
        <f>'5 15 17 Forecast Usage by Sched'!N10</f>
        <v>173519039.43680075</v>
      </c>
    </row>
    <row r="10" spans="1:11" x14ac:dyDescent="0.3">
      <c r="A10" s="75">
        <v>4</v>
      </c>
      <c r="B10" s="52">
        <v>43070</v>
      </c>
      <c r="C10" s="26">
        <f t="shared" ref="C10:C20" si="1">C9+D10-$C$7*E10</f>
        <v>8134500.8036845308</v>
      </c>
      <c r="D10" s="26">
        <f t="shared" ref="D10:D20" si="2">(C9-$C$7*E10/2)*$D$7/12</f>
        <v>28710.512597288547</v>
      </c>
      <c r="E10" s="32">
        <f>'5 15 17 Forecast Usage by Sched'!M11</f>
        <v>285752423.76174927</v>
      </c>
      <c r="F10" s="32"/>
      <c r="G10" s="75">
        <v>4</v>
      </c>
      <c r="H10" s="52">
        <f t="shared" si="0"/>
        <v>43070</v>
      </c>
      <c r="I10" s="26">
        <f t="shared" ref="I10:I20" si="3">I9+J10-$I$7*K10</f>
        <v>669036.36843960872</v>
      </c>
      <c r="J10" s="26">
        <f t="shared" ref="J10:J20" si="4">(I9-$I$7*K10/2)*$J$7/12</f>
        <v>2315.7949524658789</v>
      </c>
      <c r="K10" s="32">
        <f>'5 15 17 Forecast Usage by Sched'!N11</f>
        <v>189380933.59264094</v>
      </c>
    </row>
    <row r="11" spans="1:11" x14ac:dyDescent="0.3">
      <c r="A11" s="75">
        <v>5</v>
      </c>
      <c r="B11" s="52">
        <v>43101</v>
      </c>
      <c r="C11" s="26">
        <f t="shared" si="1"/>
        <v>7007170.4504286051</v>
      </c>
      <c r="D11" s="26">
        <f t="shared" si="2"/>
        <v>24942.602275532048</v>
      </c>
      <c r="E11" s="32">
        <f>'5 15 17 Forecast Usage by Sched'!M12</f>
        <v>276988691.23352349</v>
      </c>
      <c r="F11" s="32"/>
      <c r="G11" s="75">
        <v>5</v>
      </c>
      <c r="H11" s="52">
        <f t="shared" si="0"/>
        <v>43101</v>
      </c>
      <c r="I11" s="26">
        <f t="shared" si="3"/>
        <v>601428.67680023902</v>
      </c>
      <c r="J11" s="26">
        <f t="shared" si="4"/>
        <v>2092.814181246692</v>
      </c>
      <c r="K11" s="32">
        <f>'5 15 17 Forecast Usage by Sched'!N12</f>
        <v>188379745.46112546</v>
      </c>
    </row>
    <row r="12" spans="1:11" x14ac:dyDescent="0.3">
      <c r="A12" s="75">
        <v>6</v>
      </c>
      <c r="B12" s="52">
        <v>43132</v>
      </c>
      <c r="C12" s="26">
        <f t="shared" si="1"/>
        <v>6106079.6934121037</v>
      </c>
      <c r="D12" s="26">
        <f t="shared" si="2"/>
        <v>21601.220723143986</v>
      </c>
      <c r="E12" s="32">
        <f>'5 15 17 Forecast Usage by Sched'!M13</f>
        <v>221800956.18741477</v>
      </c>
      <c r="F12" s="32"/>
      <c r="G12" s="75">
        <v>6</v>
      </c>
      <c r="H12" s="52">
        <f t="shared" si="0"/>
        <v>43132</v>
      </c>
      <c r="I12" s="26">
        <f t="shared" si="3"/>
        <v>543493.36501278926</v>
      </c>
      <c r="J12" s="26">
        <f t="shared" si="4"/>
        <v>1886.009453393398</v>
      </c>
      <c r="K12" s="32">
        <f>'5 15 17 Forecast Usage by Sched'!N13</f>
        <v>161679246.59687325</v>
      </c>
    </row>
    <row r="13" spans="1:11" x14ac:dyDescent="0.3">
      <c r="A13" s="75">
        <v>7</v>
      </c>
      <c r="B13" s="52">
        <v>43160</v>
      </c>
      <c r="C13" s="26">
        <f t="shared" si="1"/>
        <v>5219990.9021895509</v>
      </c>
      <c r="D13" s="26">
        <f t="shared" si="2"/>
        <v>18657.232049860464</v>
      </c>
      <c r="E13" s="32">
        <f>'5 15 17 Forecast Usage by Sched'!M14</f>
        <v>217487024.82509917</v>
      </c>
      <c r="F13" s="32"/>
      <c r="G13" s="75">
        <v>7</v>
      </c>
      <c r="H13" s="52">
        <f t="shared" si="0"/>
        <v>43160</v>
      </c>
      <c r="I13" s="26">
        <f t="shared" si="3"/>
        <v>481852.5492103711</v>
      </c>
      <c r="J13" s="26">
        <f t="shared" si="4"/>
        <v>1689.0338526114058</v>
      </c>
      <c r="K13" s="32">
        <f>'5 15 17 Forecast Usage by Sched'!N14</f>
        <v>171161755.82440424</v>
      </c>
    </row>
    <row r="14" spans="1:11" x14ac:dyDescent="0.3">
      <c r="A14" s="75">
        <v>8</v>
      </c>
      <c r="B14" s="52">
        <v>43191</v>
      </c>
      <c r="C14" s="26">
        <f t="shared" si="1"/>
        <v>4483301.1464559836</v>
      </c>
      <c r="D14" s="26">
        <f t="shared" si="2"/>
        <v>15984.058184261101</v>
      </c>
      <c r="E14" s="32">
        <f>'5 15 17 Forecast Usage by Sched'!M15</f>
        <v>180931205.26870883</v>
      </c>
      <c r="F14" s="32"/>
      <c r="G14" s="75">
        <v>8</v>
      </c>
      <c r="H14" s="52">
        <f t="shared" si="0"/>
        <v>43191</v>
      </c>
      <c r="I14" s="26">
        <f t="shared" si="3"/>
        <v>423239.48433195084</v>
      </c>
      <c r="J14" s="26">
        <f t="shared" si="4"/>
        <v>1490.9418013725665</v>
      </c>
      <c r="K14" s="32">
        <f>'5 15 17 Forecast Usage by Sched'!N15</f>
        <v>162443261.29673731</v>
      </c>
    </row>
    <row r="15" spans="1:11" x14ac:dyDescent="0.3">
      <c r="A15" s="75">
        <v>9</v>
      </c>
      <c r="B15" s="52">
        <v>43221</v>
      </c>
      <c r="C15" s="26">
        <f t="shared" si="1"/>
        <v>3808460.102275935</v>
      </c>
      <c r="D15" s="26">
        <f t="shared" si="2"/>
        <v>13658.868926678646</v>
      </c>
      <c r="E15" s="32">
        <f>'5 15 17 Forecast Usage by Sched'!M16</f>
        <v>165504786.80450183</v>
      </c>
      <c r="F15" s="32"/>
      <c r="G15" s="75">
        <v>9</v>
      </c>
      <c r="H15" s="52">
        <f t="shared" si="0"/>
        <v>43221</v>
      </c>
      <c r="I15" s="26">
        <f t="shared" si="3"/>
        <v>360709.82033008925</v>
      </c>
      <c r="J15" s="26">
        <f t="shared" si="4"/>
        <v>1291.3855665076287</v>
      </c>
      <c r="K15" s="32">
        <f>'5 15 17 Forecast Usage by Sched'!N16</f>
        <v>172489323.15775466</v>
      </c>
    </row>
    <row r="16" spans="1:11" x14ac:dyDescent="0.3">
      <c r="A16" s="75">
        <v>10</v>
      </c>
      <c r="B16" s="52">
        <v>43252</v>
      </c>
      <c r="C16" s="26">
        <f t="shared" si="1"/>
        <v>3157746.5888849394</v>
      </c>
      <c r="D16" s="26">
        <f t="shared" si="2"/>
        <v>11475.306784221479</v>
      </c>
      <c r="E16" s="32">
        <f>'5 15 17 Forecast Usage by Sched'!M17</f>
        <v>159180004.84981185</v>
      </c>
      <c r="F16" s="32"/>
      <c r="G16" s="75">
        <v>10</v>
      </c>
      <c r="H16" s="52">
        <f t="shared" si="0"/>
        <v>43252</v>
      </c>
      <c r="I16" s="26">
        <f t="shared" si="3"/>
        <v>295949.65868782194</v>
      </c>
      <c r="J16" s="26">
        <f t="shared" si="4"/>
        <v>1081.7033298852427</v>
      </c>
      <c r="K16" s="32">
        <f>'5 15 17 Forecast Usage by Sched'!N17</f>
        <v>177950986.4112232</v>
      </c>
    </row>
    <row r="17" spans="1:11" x14ac:dyDescent="0.3">
      <c r="A17" s="75">
        <v>11</v>
      </c>
      <c r="B17" s="52">
        <v>43282</v>
      </c>
      <c r="C17" s="26">
        <f t="shared" si="1"/>
        <v>2356785.5434431606</v>
      </c>
      <c r="D17" s="26">
        <f t="shared" si="2"/>
        <v>9083.9894357723406</v>
      </c>
      <c r="E17" s="32">
        <f>'5 15 17 Forecast Usage by Sched'!M18</f>
        <v>194722364.15325752</v>
      </c>
      <c r="F17" s="32"/>
      <c r="G17" s="75">
        <v>11</v>
      </c>
      <c r="H17" s="52">
        <f t="shared" si="0"/>
        <v>43282</v>
      </c>
      <c r="I17" s="26">
        <f t="shared" si="3"/>
        <v>218787.38839186652</v>
      </c>
      <c r="J17" s="26">
        <f t="shared" si="4"/>
        <v>847.91706452501978</v>
      </c>
      <c r="K17" s="32">
        <f>'5 15 17 Forecast Usage by Sched'!N18</f>
        <v>210838344.21751463</v>
      </c>
    </row>
    <row r="18" spans="1:11" x14ac:dyDescent="0.3">
      <c r="A18" s="75">
        <v>12</v>
      </c>
      <c r="B18" s="52">
        <v>43313</v>
      </c>
      <c r="C18" s="26">
        <f t="shared" si="1"/>
        <v>1597480.5354033364</v>
      </c>
      <c r="D18" s="26">
        <f t="shared" si="2"/>
        <v>6513.7912744938048</v>
      </c>
      <c r="E18" s="32">
        <f>'5 15 17 Forecast Usage by Sched'!M19</f>
        <v>184091057.52748036</v>
      </c>
      <c r="F18" s="32"/>
      <c r="G18" s="75">
        <v>12</v>
      </c>
      <c r="H18" s="52">
        <f t="shared" si="0"/>
        <v>43313</v>
      </c>
      <c r="I18" s="26">
        <f t="shared" si="3"/>
        <v>145382.80725517194</v>
      </c>
      <c r="J18" s="26">
        <f t="shared" si="4"/>
        <v>599.8910026632193</v>
      </c>
      <c r="K18" s="32">
        <f>'5 15 17 Forecast Usage by Sched'!N19</f>
        <v>200012086.86312914</v>
      </c>
    </row>
    <row r="19" spans="1:11" x14ac:dyDescent="0.3">
      <c r="A19" s="75">
        <v>13</v>
      </c>
      <c r="B19" s="52">
        <v>43344</v>
      </c>
      <c r="C19" s="26">
        <f t="shared" si="1"/>
        <v>946218.26035061525</v>
      </c>
      <c r="D19" s="26">
        <f t="shared" si="2"/>
        <v>4190.1892008126797</v>
      </c>
      <c r="E19" s="32">
        <f>'5 15 17 Forecast Usage by Sched'!M20</f>
        <v>157560688.52248412</v>
      </c>
      <c r="F19" s="32"/>
      <c r="G19" s="75">
        <v>13</v>
      </c>
      <c r="H19" s="52">
        <f t="shared" si="0"/>
        <v>43344</v>
      </c>
      <c r="I19" s="26">
        <f t="shared" si="3"/>
        <v>81220.116297969536</v>
      </c>
      <c r="J19" s="26">
        <f t="shared" si="4"/>
        <v>373.27891365515251</v>
      </c>
      <c r="K19" s="32">
        <f>'5 15 17 Forecast Usage by Sched'!N20</f>
        <v>174421540.19150686</v>
      </c>
    </row>
    <row r="20" spans="1:11" x14ac:dyDescent="0.3">
      <c r="A20" s="75">
        <v>14</v>
      </c>
      <c r="B20" s="52">
        <v>43374</v>
      </c>
      <c r="C20" s="26">
        <f t="shared" si="1"/>
        <v>194311.98461350368</v>
      </c>
      <c r="D20" s="26">
        <f t="shared" si="2"/>
        <v>1878.7749255636163</v>
      </c>
      <c r="E20" s="32">
        <f>'5 15 17 Forecast Usage by Sched'!M21</f>
        <v>181198329.48622</v>
      </c>
      <c r="F20" s="32"/>
      <c r="G20" s="75">
        <v>14</v>
      </c>
      <c r="H20" s="52">
        <f t="shared" si="0"/>
        <v>43374</v>
      </c>
      <c r="I20" s="26">
        <f t="shared" si="3"/>
        <v>15611.175570707434</v>
      </c>
      <c r="J20" s="26">
        <f t="shared" si="4"/>
        <v>159.50844265293966</v>
      </c>
      <c r="K20" s="32">
        <f>'5 15 17 Forecast Usage by Sched'!N21</f>
        <v>177752565.32409468</v>
      </c>
    </row>
    <row r="21" spans="1:11" x14ac:dyDescent="0.3">
      <c r="B21" s="27"/>
      <c r="C21" s="27"/>
      <c r="D21" s="27"/>
      <c r="E21" s="27"/>
      <c r="F21" s="27"/>
      <c r="G21" s="75"/>
      <c r="H21" s="27"/>
      <c r="I21" s="27"/>
      <c r="J21" s="27"/>
      <c r="K21" s="27"/>
    </row>
    <row r="22" spans="1:11" x14ac:dyDescent="0.3">
      <c r="A22" s="75">
        <v>15</v>
      </c>
      <c r="B22" s="27" t="s">
        <v>4</v>
      </c>
      <c r="C22" s="27"/>
      <c r="D22" s="26">
        <f>SUM(D9:D21)</f>
        <v>188823.0139734454</v>
      </c>
      <c r="E22" s="33">
        <f>SUM(E9:E21)</f>
        <v>2452572967.4823837</v>
      </c>
      <c r="F22" s="33"/>
      <c r="G22" s="75">
        <v>15</v>
      </c>
      <c r="H22" s="27" t="s">
        <v>4</v>
      </c>
      <c r="I22" s="27"/>
      <c r="J22" s="26">
        <f>SUM(J9:J21)</f>
        <v>16357.278248012286</v>
      </c>
      <c r="K22" s="33">
        <f>SUM(K9:K21)</f>
        <v>2160028828.3738055</v>
      </c>
    </row>
    <row r="23" spans="1:11" x14ac:dyDescent="0.3">
      <c r="B23" s="27"/>
      <c r="C23" s="27"/>
      <c r="D23" s="26"/>
      <c r="E23" s="33"/>
      <c r="F23" s="33"/>
      <c r="G23" s="75"/>
      <c r="H23" s="27"/>
      <c r="I23" s="27"/>
      <c r="J23" s="26"/>
      <c r="K23" s="33"/>
    </row>
    <row r="24" spans="1:11" ht="28.2" customHeight="1" x14ac:dyDescent="0.3">
      <c r="A24" s="75">
        <v>16</v>
      </c>
      <c r="B24" s="133" t="s">
        <v>8</v>
      </c>
      <c r="C24" s="133"/>
      <c r="D24" s="28">
        <f>ROUND(D22/E22,5)</f>
        <v>8.0000000000000007E-5</v>
      </c>
      <c r="E24" s="33"/>
      <c r="F24" s="33"/>
      <c r="G24" s="75">
        <v>16</v>
      </c>
      <c r="H24" s="133" t="s">
        <v>8</v>
      </c>
      <c r="I24" s="133"/>
      <c r="J24" s="28">
        <f>ROUND(J22/K22,5)</f>
        <v>1.0000000000000001E-5</v>
      </c>
      <c r="K24" s="33"/>
    </row>
    <row r="25" spans="1:11" ht="28.2" customHeight="1" x14ac:dyDescent="0.3">
      <c r="A25" s="75">
        <v>17</v>
      </c>
      <c r="B25" s="133" t="s">
        <v>9</v>
      </c>
      <c r="C25" s="133"/>
      <c r="D25" s="28">
        <f>C7</f>
        <v>4.1599999999999996E-3</v>
      </c>
      <c r="E25" s="33"/>
      <c r="F25" s="33"/>
      <c r="G25" s="75">
        <v>17</v>
      </c>
      <c r="H25" s="133" t="s">
        <v>9</v>
      </c>
      <c r="I25" s="133"/>
      <c r="J25" s="28">
        <f>I7</f>
        <v>3.6999999999999999E-4</v>
      </c>
      <c r="K25" s="33"/>
    </row>
    <row r="26" spans="1:11" ht="28.95" customHeight="1" x14ac:dyDescent="0.3">
      <c r="A26" s="75">
        <v>18</v>
      </c>
      <c r="B26" s="133" t="s">
        <v>10</v>
      </c>
      <c r="C26" s="133"/>
      <c r="D26" s="28">
        <f>D24+D25</f>
        <v>4.2399999999999998E-3</v>
      </c>
      <c r="E26" s="34"/>
      <c r="F26" s="34"/>
      <c r="G26" s="75">
        <v>18</v>
      </c>
      <c r="H26" s="133" t="s">
        <v>10</v>
      </c>
      <c r="I26" s="133"/>
      <c r="J26" s="28">
        <f>J24+J25</f>
        <v>3.8000000000000002E-4</v>
      </c>
      <c r="K26" s="34"/>
    </row>
    <row r="27" spans="1:11" ht="28.95" customHeight="1" x14ac:dyDescent="0.3">
      <c r="A27" s="75">
        <v>19</v>
      </c>
      <c r="B27" s="135" t="s">
        <v>11</v>
      </c>
      <c r="C27" s="135"/>
      <c r="D27" s="29">
        <f>'Conversion Factor'!$E$114</f>
        <v>1.0489630000000001</v>
      </c>
      <c r="E27" s="33"/>
      <c r="F27" s="33"/>
      <c r="G27" s="75">
        <v>19</v>
      </c>
      <c r="H27" s="135" t="s">
        <v>11</v>
      </c>
      <c r="I27" s="135"/>
      <c r="J27" s="29">
        <f>D27</f>
        <v>1.0489630000000001</v>
      </c>
      <c r="K27" s="33"/>
    </row>
    <row r="28" spans="1:11" ht="30" customHeight="1" x14ac:dyDescent="0.3">
      <c r="A28" s="75">
        <v>20</v>
      </c>
      <c r="B28" s="27" t="s">
        <v>75</v>
      </c>
      <c r="C28" s="27"/>
      <c r="D28" s="28">
        <f>ROUND(D26*D27,5)</f>
        <v>4.45E-3</v>
      </c>
      <c r="E28" s="33"/>
      <c r="F28" s="33"/>
      <c r="G28" s="75">
        <v>20</v>
      </c>
      <c r="H28" s="27" t="s">
        <v>75</v>
      </c>
      <c r="I28" s="27"/>
      <c r="J28" s="28">
        <f>ROUND(J26*J27,5)</f>
        <v>4.0000000000000002E-4</v>
      </c>
      <c r="K28" s="33"/>
    </row>
    <row r="29" spans="1:11" ht="27.6" customHeight="1" x14ac:dyDescent="0.3">
      <c r="A29" s="75">
        <v>21</v>
      </c>
      <c r="B29" s="27" t="s">
        <v>68</v>
      </c>
      <c r="C29" s="27"/>
      <c r="D29" s="28">
        <f>'Earnings Test and 3% Test'!D55</f>
        <v>0</v>
      </c>
      <c r="E29" s="33"/>
      <c r="F29" s="33"/>
      <c r="G29" s="75">
        <v>21</v>
      </c>
      <c r="H29" s="27" t="s">
        <v>68</v>
      </c>
      <c r="I29" s="27"/>
      <c r="J29" s="28">
        <f>'Earnings Test and 3% Test'!E55</f>
        <v>0</v>
      </c>
      <c r="K29" s="33"/>
    </row>
    <row r="30" spans="1:11" ht="27.6" customHeight="1" x14ac:dyDescent="0.3">
      <c r="A30" s="75">
        <v>22</v>
      </c>
      <c r="B30" s="27" t="s">
        <v>69</v>
      </c>
      <c r="C30" s="27"/>
      <c r="D30" s="28">
        <f>D28+D29</f>
        <v>4.45E-3</v>
      </c>
      <c r="E30" s="33" t="s">
        <v>13</v>
      </c>
      <c r="F30" s="33"/>
      <c r="G30" s="75">
        <v>22</v>
      </c>
      <c r="H30" s="27" t="s">
        <v>69</v>
      </c>
      <c r="I30" s="27"/>
      <c r="J30" s="28">
        <f>J28+J29</f>
        <v>4.0000000000000002E-4</v>
      </c>
      <c r="K30" s="33" t="s">
        <v>13</v>
      </c>
    </row>
    <row r="31" spans="1:11" ht="28.2" customHeight="1" x14ac:dyDescent="0.3">
      <c r="A31" s="75">
        <v>23</v>
      </c>
      <c r="B31" s="27"/>
      <c r="C31" s="30" t="s">
        <v>72</v>
      </c>
      <c r="D31" s="28">
        <f>ROUND(D30*'Conversion Factor'!$E$108,5)</f>
        <v>4.2399999999999998E-3</v>
      </c>
      <c r="E31" s="33" t="s">
        <v>12</v>
      </c>
      <c r="F31" s="33"/>
      <c r="G31" s="75">
        <v>23</v>
      </c>
      <c r="H31" s="27"/>
      <c r="I31" s="30" t="s">
        <v>72</v>
      </c>
      <c r="J31" s="28">
        <f>ROUND(J30*'Conversion Factor'!$E$108,5)</f>
        <v>3.8000000000000002E-4</v>
      </c>
      <c r="K31" s="33" t="s">
        <v>12</v>
      </c>
    </row>
    <row r="32" spans="1:11" ht="29.4" customHeight="1" x14ac:dyDescent="0.3">
      <c r="A32" s="75">
        <v>24</v>
      </c>
      <c r="B32" s="27" t="s">
        <v>74</v>
      </c>
      <c r="C32" s="27"/>
      <c r="D32" s="26">
        <f>IF(D29=0,0,C71)</f>
        <v>0</v>
      </c>
      <c r="E32" s="33"/>
      <c r="F32" s="33"/>
      <c r="G32" s="75">
        <v>24</v>
      </c>
      <c r="H32" s="27" t="s">
        <v>74</v>
      </c>
      <c r="I32" s="27"/>
      <c r="J32" s="26">
        <f>IF(J29=0,0,I71)</f>
        <v>0</v>
      </c>
      <c r="K32" s="33"/>
    </row>
    <row r="33" spans="1:11" ht="18" customHeight="1" x14ac:dyDescent="0.3">
      <c r="B33" s="27"/>
      <c r="C33" s="27"/>
      <c r="D33" s="35"/>
      <c r="E33" s="27"/>
      <c r="F33" s="27"/>
      <c r="G33" s="27"/>
      <c r="H33" s="135"/>
      <c r="I33" s="135"/>
      <c r="J33" s="35"/>
      <c r="K33" s="27"/>
    </row>
    <row r="34" spans="1:11" ht="16.2" customHeight="1" x14ac:dyDescent="0.3">
      <c r="A34" s="53" t="s">
        <v>70</v>
      </c>
      <c r="B34" s="53"/>
      <c r="C34" s="27"/>
      <c r="D34" s="35"/>
      <c r="E34" s="27"/>
      <c r="F34" s="27"/>
      <c r="G34" s="53" t="s">
        <v>70</v>
      </c>
      <c r="H34" s="53"/>
      <c r="I34" s="27"/>
      <c r="J34" s="35"/>
      <c r="K34" s="27"/>
    </row>
    <row r="35" spans="1:11" ht="43.2" customHeight="1" x14ac:dyDescent="0.3">
      <c r="A35" s="83" t="s">
        <v>101</v>
      </c>
      <c r="B35" s="132" t="str">
        <f>"Deferral balance at the end of the month, Rate of "&amp;TEXT(D25,"$0.00000")&amp;" to recover the October 2017 balance of "&amp;TEXT(C8,"$000,000")&amp;" over 12 months.  See page 2 and 5 of Attachment A for October 2017 balance calculation."</f>
        <v>Deferral balance at the end of the month, Rate of $0.00416 to recover the October 2017 balance of $10,208,193 over 12 months.  See page 2 and 5 of Attachment A for October 2017 balance calculation.</v>
      </c>
      <c r="C35" s="132"/>
      <c r="D35" s="132"/>
      <c r="E35" s="132"/>
      <c r="F35" s="27"/>
      <c r="G35" s="83" t="s">
        <v>101</v>
      </c>
      <c r="H35" s="132" t="str">
        <f>"Deferral balance at the end of the month, Rate of "&amp;TEXT(J25,"$0.00000")&amp;" to recover the October 2017 balance of "&amp;TEXT(I8,"$000,000")&amp;" over 12 months.  See page 4 and 5 of Attachment A for October 2017 balance calculation."</f>
        <v>Deferral balance at the end of the month, Rate of $0.00037 to recover the October 2017 balance of $798,465 over 12 months.  See page 4 and 5 of Attachment A for October 2017 balance calculation.</v>
      </c>
      <c r="I35" s="132"/>
      <c r="J35" s="132"/>
      <c r="K35" s="132"/>
    </row>
    <row r="36" spans="1:11" ht="28.8" customHeight="1" x14ac:dyDescent="0.3">
      <c r="A36" s="83" t="s">
        <v>102</v>
      </c>
      <c r="B36" s="132" t="s">
        <v>103</v>
      </c>
      <c r="C36" s="132"/>
      <c r="D36" s="132"/>
      <c r="E36" s="132"/>
      <c r="F36" s="27"/>
      <c r="G36" s="83" t="s">
        <v>102</v>
      </c>
      <c r="H36" s="132" t="s">
        <v>103</v>
      </c>
      <c r="I36" s="132"/>
      <c r="J36" s="132"/>
      <c r="K36" s="132"/>
    </row>
    <row r="37" spans="1:11" ht="15.6" customHeight="1" x14ac:dyDescent="0.3">
      <c r="B37" s="57" t="s">
        <v>73</v>
      </c>
      <c r="C37" s="58"/>
      <c r="D37" s="58"/>
      <c r="E37" s="58"/>
      <c r="F37" s="27"/>
      <c r="H37" s="57" t="s">
        <v>73</v>
      </c>
      <c r="I37" s="80"/>
      <c r="J37" s="80"/>
      <c r="K37" s="80"/>
    </row>
    <row r="38" spans="1:11" ht="18" customHeight="1" x14ac:dyDescent="0.3">
      <c r="A38" s="102" t="s">
        <v>104</v>
      </c>
      <c r="B38" s="130" t="s">
        <v>147</v>
      </c>
      <c r="C38" s="130"/>
      <c r="D38" s="130"/>
      <c r="E38" s="130"/>
      <c r="F38" s="27"/>
      <c r="G38" s="102" t="s">
        <v>104</v>
      </c>
      <c r="H38" s="130" t="s">
        <v>147</v>
      </c>
      <c r="I38" s="130"/>
      <c r="J38" s="130"/>
      <c r="K38" s="130"/>
    </row>
    <row r="39" spans="1:11" ht="18" customHeight="1" x14ac:dyDescent="0.3">
      <c r="A39" s="102" t="s">
        <v>105</v>
      </c>
      <c r="B39" s="130" t="s">
        <v>146</v>
      </c>
      <c r="C39" s="130"/>
      <c r="D39" s="130"/>
      <c r="E39" s="130"/>
      <c r="F39" s="27"/>
      <c r="G39" s="102" t="s">
        <v>105</v>
      </c>
      <c r="H39" s="130" t="s">
        <v>146</v>
      </c>
      <c r="I39" s="130"/>
      <c r="J39" s="130"/>
      <c r="K39" s="130"/>
    </row>
    <row r="40" spans="1:11" ht="18" customHeight="1" x14ac:dyDescent="0.3">
      <c r="A40" s="102" t="s">
        <v>106</v>
      </c>
      <c r="B40" s="130" t="s">
        <v>107</v>
      </c>
      <c r="C40" s="130"/>
      <c r="D40" s="130"/>
      <c r="E40" s="130"/>
      <c r="F40" s="27"/>
      <c r="G40" s="102" t="s">
        <v>106</v>
      </c>
      <c r="H40" s="130" t="s">
        <v>148</v>
      </c>
      <c r="I40" s="130"/>
      <c r="J40" s="130"/>
      <c r="K40" s="130"/>
    </row>
    <row r="41" spans="1:11" ht="14.4" customHeight="1" x14ac:dyDescent="0.3">
      <c r="B41" s="61"/>
      <c r="C41" s="61"/>
      <c r="D41" s="35"/>
      <c r="E41" s="27"/>
      <c r="F41" s="27"/>
      <c r="G41" s="27"/>
      <c r="H41" s="61"/>
      <c r="I41" s="61"/>
      <c r="J41" s="35"/>
      <c r="K41" s="27"/>
    </row>
    <row r="42" spans="1:11" ht="27.6" customHeight="1" x14ac:dyDescent="0.35">
      <c r="B42" s="136" t="str">
        <f>B5</f>
        <v>Residential Electric</v>
      </c>
      <c r="C42" s="136"/>
      <c r="D42" s="136"/>
      <c r="E42" s="136"/>
      <c r="F42" s="59"/>
      <c r="G42" s="27"/>
      <c r="H42" s="136" t="str">
        <f>H5</f>
        <v>Non-Residential Electric</v>
      </c>
      <c r="I42" s="136"/>
      <c r="J42" s="136"/>
      <c r="K42" s="136"/>
    </row>
    <row r="43" spans="1:11" x14ac:dyDescent="0.3">
      <c r="B43" s="134" t="s">
        <v>127</v>
      </c>
      <c r="C43" s="134"/>
      <c r="D43" s="134"/>
      <c r="E43" s="134"/>
      <c r="F43" s="27"/>
      <c r="G43" s="27"/>
      <c r="H43" s="134" t="str">
        <f>B43</f>
        <v>Calculate Estimated Monthly Balances through October 2018</v>
      </c>
      <c r="I43" s="134"/>
      <c r="J43" s="134"/>
      <c r="K43" s="134"/>
    </row>
    <row r="44" spans="1:11" ht="27.6" customHeight="1" x14ac:dyDescent="0.3">
      <c r="A44" s="76" t="s">
        <v>94</v>
      </c>
      <c r="B44" s="27"/>
      <c r="C44" s="59" t="s">
        <v>7</v>
      </c>
      <c r="D44" s="59" t="s">
        <v>3</v>
      </c>
      <c r="E44" s="60" t="s">
        <v>71</v>
      </c>
      <c r="F44" s="27"/>
      <c r="G44" s="76" t="s">
        <v>94</v>
      </c>
      <c r="H44" s="27"/>
      <c r="I44" s="59" t="s">
        <v>7</v>
      </c>
      <c r="J44" s="59" t="s">
        <v>3</v>
      </c>
      <c r="K44" s="62" t="s">
        <v>71</v>
      </c>
    </row>
    <row r="45" spans="1:11" ht="43.2" x14ac:dyDescent="0.3">
      <c r="B45" s="27"/>
      <c r="C45" s="27"/>
      <c r="D45" s="56" t="s">
        <v>128</v>
      </c>
      <c r="E45" s="27"/>
      <c r="F45" s="27"/>
      <c r="G45" s="27"/>
      <c r="H45" s="27"/>
      <c r="I45" s="27"/>
      <c r="J45" s="56" t="str">
        <f>D45</f>
        <v>3.50 % Q1 2017 3.71% Q2 2017  3.96% Q3 2017</v>
      </c>
      <c r="K45" s="27"/>
    </row>
    <row r="46" spans="1:11" x14ac:dyDescent="0.3">
      <c r="A46" s="77">
        <v>1</v>
      </c>
      <c r="B46" s="52">
        <v>42705</v>
      </c>
      <c r="C46" s="26">
        <v>10288205.08</v>
      </c>
      <c r="D46" s="27"/>
      <c r="E46" s="27"/>
      <c r="F46" s="27"/>
      <c r="G46" s="77">
        <v>1</v>
      </c>
      <c r="H46" s="52">
        <f>B46</f>
        <v>42705</v>
      </c>
      <c r="I46" s="26">
        <v>1967777.19</v>
      </c>
      <c r="J46" s="27"/>
      <c r="K46" s="27"/>
    </row>
    <row r="47" spans="1:11" x14ac:dyDescent="0.3">
      <c r="A47" s="77">
        <v>2</v>
      </c>
      <c r="B47" s="52" t="s">
        <v>76</v>
      </c>
      <c r="C47" s="26">
        <f>-'Earnings Test and 3% Test'!E34</f>
        <v>-1253137.6664830979</v>
      </c>
      <c r="D47" s="27"/>
      <c r="E47" s="27"/>
      <c r="F47" s="27"/>
      <c r="G47" s="77">
        <v>2</v>
      </c>
      <c r="H47" s="52" t="s">
        <v>76</v>
      </c>
      <c r="I47" s="26">
        <f>-'Earnings Test and 3% Test'!E35</f>
        <v>-1222566.3555894373</v>
      </c>
      <c r="J47" s="27"/>
      <c r="K47" s="27"/>
    </row>
    <row r="48" spans="1:11" x14ac:dyDescent="0.3">
      <c r="A48" s="77">
        <v>3</v>
      </c>
      <c r="B48" s="52" t="s">
        <v>77</v>
      </c>
      <c r="C48" s="26">
        <f>C46+C47</f>
        <v>9035067.4135169014</v>
      </c>
      <c r="D48" s="27"/>
      <c r="E48" s="27"/>
      <c r="F48" s="27"/>
      <c r="G48" s="77">
        <v>3</v>
      </c>
      <c r="H48" s="52" t="s">
        <v>77</v>
      </c>
      <c r="I48" s="26">
        <f>I46+I47</f>
        <v>745210.83441056265</v>
      </c>
      <c r="J48" s="27"/>
      <c r="K48" s="27"/>
    </row>
    <row r="49" spans="1:11" x14ac:dyDescent="0.3">
      <c r="A49" s="77">
        <v>4</v>
      </c>
      <c r="B49" s="52">
        <v>42736</v>
      </c>
      <c r="C49" s="26">
        <f>C48+D49-E49</f>
        <v>9061419.6934729926</v>
      </c>
      <c r="D49" s="26">
        <f>(C48-E49/2)*0.035/12</f>
        <v>26352.279956090966</v>
      </c>
      <c r="E49" s="27"/>
      <c r="F49" s="27"/>
      <c r="G49" s="77">
        <v>4</v>
      </c>
      <c r="H49" s="52">
        <f>B49</f>
        <v>42736</v>
      </c>
      <c r="I49" s="26">
        <f>I48+J49-K49</f>
        <v>747384.36601092678</v>
      </c>
      <c r="J49" s="26">
        <f>(I48-K49/2)*0.035/12</f>
        <v>2173.5316003641415</v>
      </c>
      <c r="K49" s="27"/>
    </row>
    <row r="50" spans="1:11" x14ac:dyDescent="0.3">
      <c r="A50" s="77">
        <v>5</v>
      </c>
      <c r="B50" s="52">
        <v>42767</v>
      </c>
      <c r="C50" s="26">
        <f t="shared" ref="C50:C58" si="5">C49+D50-E50</f>
        <v>9087848.8342456222</v>
      </c>
      <c r="D50" s="26">
        <f>(C49-E50/2)*0.035/12</f>
        <v>26429.140772629562</v>
      </c>
      <c r="E50" s="27"/>
      <c r="F50" s="27"/>
      <c r="G50" s="77">
        <v>5</v>
      </c>
      <c r="H50" s="52">
        <f t="shared" ref="H50:H71" si="6">B50</f>
        <v>42767</v>
      </c>
      <c r="I50" s="26">
        <f t="shared" ref="I50:I58" si="7">I49+J50-K50</f>
        <v>749564.23707845865</v>
      </c>
      <c r="J50" s="26">
        <f t="shared" ref="J50:J51" si="8">(I49-K50/2)*0.035/12</f>
        <v>2179.8710675318703</v>
      </c>
      <c r="K50" s="27"/>
    </row>
    <row r="51" spans="1:11" x14ac:dyDescent="0.3">
      <c r="A51" s="77">
        <v>6</v>
      </c>
      <c r="B51" s="52">
        <v>42795</v>
      </c>
      <c r="C51" s="26">
        <f t="shared" si="5"/>
        <v>9114355.060012171</v>
      </c>
      <c r="D51" s="26">
        <f>(C50-E51/2)*0.035/12</f>
        <v>26506.225766549735</v>
      </c>
      <c r="E51" s="27"/>
      <c r="F51" s="27"/>
      <c r="G51" s="77">
        <v>6</v>
      </c>
      <c r="H51" s="52">
        <f t="shared" si="6"/>
        <v>42795</v>
      </c>
      <c r="I51" s="26">
        <f t="shared" si="7"/>
        <v>751750.46610327077</v>
      </c>
      <c r="J51" s="26">
        <f t="shared" si="8"/>
        <v>2186.2290248121712</v>
      </c>
      <c r="K51" s="27"/>
    </row>
    <row r="52" spans="1:11" x14ac:dyDescent="0.3">
      <c r="A52" s="77">
        <v>7</v>
      </c>
      <c r="B52" s="52">
        <v>42826</v>
      </c>
      <c r="C52" s="26">
        <f t="shared" si="5"/>
        <v>9142533.6077393759</v>
      </c>
      <c r="D52" s="26">
        <f>(C51-E52/2)*0.0371/12</f>
        <v>28178.547727204295</v>
      </c>
      <c r="E52" s="27"/>
      <c r="F52" s="27"/>
      <c r="G52" s="77">
        <v>7</v>
      </c>
      <c r="H52" s="52">
        <f t="shared" si="6"/>
        <v>42826</v>
      </c>
      <c r="I52" s="26">
        <f t="shared" si="7"/>
        <v>754074.62796097342</v>
      </c>
      <c r="J52" s="26">
        <f>(I51-K52/2)*0.0371/12</f>
        <v>2324.1618577026125</v>
      </c>
      <c r="K52" s="27"/>
    </row>
    <row r="53" spans="1:11" x14ac:dyDescent="0.3">
      <c r="A53" s="77">
        <v>8</v>
      </c>
      <c r="B53" s="52">
        <v>42856</v>
      </c>
      <c r="C53" s="26">
        <f t="shared" si="5"/>
        <v>9170799.2741433028</v>
      </c>
      <c r="D53" s="26">
        <f>(C52-E53/2)*0.0371/12</f>
        <v>28265.666403927575</v>
      </c>
      <c r="E53" s="27"/>
      <c r="F53" s="27"/>
      <c r="G53" s="77">
        <v>8</v>
      </c>
      <c r="H53" s="52">
        <f t="shared" si="6"/>
        <v>42856</v>
      </c>
      <c r="I53" s="26">
        <f t="shared" si="7"/>
        <v>756405.97535241942</v>
      </c>
      <c r="J53" s="26">
        <f t="shared" ref="J53:J54" si="9">(I52-K53/2)*0.0371/12</f>
        <v>2331.3473914460096</v>
      </c>
      <c r="K53" s="27"/>
    </row>
    <row r="54" spans="1:11" x14ac:dyDescent="0.3">
      <c r="A54" s="77">
        <v>9</v>
      </c>
      <c r="B54" s="52">
        <v>42887</v>
      </c>
      <c r="C54" s="26">
        <f t="shared" si="5"/>
        <v>9199152.328565862</v>
      </c>
      <c r="D54" s="26">
        <f>(C53-E54/2)*0.0371/12</f>
        <v>28353.054422559711</v>
      </c>
      <c r="E54" s="27"/>
      <c r="F54" s="27"/>
      <c r="G54" s="77">
        <v>9</v>
      </c>
      <c r="H54" s="52">
        <f t="shared" si="6"/>
        <v>42887</v>
      </c>
      <c r="I54" s="26">
        <f t="shared" si="7"/>
        <v>758744.53049288399</v>
      </c>
      <c r="J54" s="26">
        <f t="shared" si="9"/>
        <v>2338.5551404645635</v>
      </c>
      <c r="K54" s="27"/>
    </row>
    <row r="55" spans="1:11" x14ac:dyDescent="0.3">
      <c r="A55" s="77">
        <v>10</v>
      </c>
      <c r="B55" s="52">
        <v>42917</v>
      </c>
      <c r="C55" s="26">
        <f t="shared" si="5"/>
        <v>9229509.5312501285</v>
      </c>
      <c r="D55" s="26">
        <f>(C54-E55/2)*0.0396/12</f>
        <v>30357.202684267348</v>
      </c>
      <c r="E55" s="27"/>
      <c r="F55" s="27"/>
      <c r="G55" s="77">
        <v>10</v>
      </c>
      <c r="H55" s="52">
        <f t="shared" si="6"/>
        <v>42917</v>
      </c>
      <c r="I55" s="26">
        <f t="shared" si="7"/>
        <v>761248.38744351047</v>
      </c>
      <c r="J55" s="26">
        <f>(I54-K55/2)*0.0396/12</f>
        <v>2503.8569506265171</v>
      </c>
      <c r="K55" s="27"/>
    </row>
    <row r="56" spans="1:11" x14ac:dyDescent="0.3">
      <c r="A56" s="77">
        <v>11</v>
      </c>
      <c r="B56" s="52">
        <v>42948</v>
      </c>
      <c r="C56" s="26">
        <f t="shared" si="5"/>
        <v>9259966.9127032533</v>
      </c>
      <c r="D56" s="26">
        <f>(C55-E56/2)*0.0396/12</f>
        <v>30457.381453125428</v>
      </c>
      <c r="E56" s="27"/>
      <c r="F56" s="27"/>
      <c r="G56" s="77">
        <v>11</v>
      </c>
      <c r="H56" s="52">
        <f t="shared" si="6"/>
        <v>42948</v>
      </c>
      <c r="I56" s="26">
        <f t="shared" si="7"/>
        <v>763760.50712207402</v>
      </c>
      <c r="J56" s="26">
        <f t="shared" ref="J56:J58" si="10">(I55-K56/2)*0.0396/12</f>
        <v>2512.1196785635848</v>
      </c>
      <c r="K56" s="27"/>
    </row>
    <row r="57" spans="1:11" x14ac:dyDescent="0.3">
      <c r="A57" s="77">
        <v>12</v>
      </c>
      <c r="B57" s="52">
        <v>42979</v>
      </c>
      <c r="C57" s="26">
        <f t="shared" si="5"/>
        <v>9290524.8035151735</v>
      </c>
      <c r="D57" s="26">
        <f>(C56-E57/2)*0.0396/12</f>
        <v>30557.890811920737</v>
      </c>
      <c r="E57" s="27"/>
      <c r="F57" s="27"/>
      <c r="G57" s="77">
        <v>12</v>
      </c>
      <c r="H57" s="52">
        <f t="shared" si="6"/>
        <v>42979</v>
      </c>
      <c r="I57" s="26">
        <f t="shared" si="7"/>
        <v>766280.91679557692</v>
      </c>
      <c r="J57" s="26">
        <f t="shared" si="10"/>
        <v>2520.4096735028447</v>
      </c>
      <c r="K57" s="27"/>
    </row>
    <row r="58" spans="1:11" x14ac:dyDescent="0.3">
      <c r="A58" s="77">
        <v>13</v>
      </c>
      <c r="B58" s="54">
        <v>43009</v>
      </c>
      <c r="C58" s="55">
        <f t="shared" si="5"/>
        <v>9321183.5353667736</v>
      </c>
      <c r="D58" s="26">
        <f>(C57-E58/2)*0.0396/12</f>
        <v>30658.731851600078</v>
      </c>
      <c r="E58" s="27"/>
      <c r="F58" s="27"/>
      <c r="G58" s="77">
        <v>13</v>
      </c>
      <c r="H58" s="54">
        <f t="shared" si="6"/>
        <v>43009</v>
      </c>
      <c r="I58" s="55">
        <f t="shared" si="7"/>
        <v>768809.64382100233</v>
      </c>
      <c r="J58" s="26">
        <f t="shared" si="10"/>
        <v>2528.727025425404</v>
      </c>
      <c r="K58" s="27"/>
    </row>
    <row r="59" spans="1:11" x14ac:dyDescent="0.3">
      <c r="A59" s="85">
        <v>14</v>
      </c>
      <c r="B59" s="100" t="s">
        <v>143</v>
      </c>
      <c r="C59" s="55">
        <f>'Prior Year Amortization'!F20</f>
        <v>887008.97999999824</v>
      </c>
      <c r="D59" s="26"/>
      <c r="E59" s="27"/>
      <c r="F59" s="27"/>
      <c r="G59" s="85">
        <v>14</v>
      </c>
      <c r="H59" s="100" t="str">
        <f t="shared" si="6"/>
        <v xml:space="preserve">Prior Year Carryover Balance </v>
      </c>
      <c r="I59" s="55">
        <f>'Prior Year Amortization'!F39</f>
        <v>29654.920000000799</v>
      </c>
      <c r="J59" s="26"/>
      <c r="K59" s="27"/>
    </row>
    <row r="60" spans="1:11" x14ac:dyDescent="0.3">
      <c r="A60" s="85">
        <v>15</v>
      </c>
      <c r="B60" s="52">
        <v>43040</v>
      </c>
      <c r="C60" s="26">
        <f>C58+D60+C59-E60</f>
        <v>9276301.9282297455</v>
      </c>
      <c r="D60" s="26">
        <f>(C58+C59-E60/2)*0.0396/12</f>
        <v>32096.456678414874</v>
      </c>
      <c r="E60" s="26">
        <f t="shared" ref="E60:E71" si="11">E9*D$31</f>
        <v>963987.04381544096</v>
      </c>
      <c r="F60" s="27"/>
      <c r="G60" s="85">
        <v>15</v>
      </c>
      <c r="H60" s="52">
        <f t="shared" si="6"/>
        <v>43040</v>
      </c>
      <c r="I60" s="26">
        <f>I58+J60+I59-K60</f>
        <v>735053.46545790124</v>
      </c>
      <c r="J60" s="26">
        <f>(I58+I59-K60/2)*0.0396/12</f>
        <v>2526.1366228824359</v>
      </c>
      <c r="K60" s="26">
        <f t="shared" ref="K60:K71" si="12">K9*J$31</f>
        <v>65937.234985984294</v>
      </c>
    </row>
    <row r="61" spans="1:11" x14ac:dyDescent="0.3">
      <c r="A61" s="85">
        <v>16</v>
      </c>
      <c r="B61" s="52">
        <v>43070</v>
      </c>
      <c r="C61" s="26">
        <f t="shared" ref="C61:C71" si="13">C60+D61-E61</f>
        <v>8093324.3238864494</v>
      </c>
      <c r="D61" s="26">
        <f>(C60-E61/2)*0.0396/12</f>
        <v>28612.672406520967</v>
      </c>
      <c r="E61" s="26">
        <f t="shared" si="11"/>
        <v>1211590.276749817</v>
      </c>
      <c r="G61" s="85">
        <v>16</v>
      </c>
      <c r="H61" s="52">
        <f t="shared" si="6"/>
        <v>43070</v>
      </c>
      <c r="I61" s="26">
        <f t="shared" ref="I61:I71" si="14">I60+J61-K61</f>
        <v>665395.64528334618</v>
      </c>
      <c r="J61" s="26">
        <f>(I60-K61/2)*0.0396/12</f>
        <v>2306.9345906484887</v>
      </c>
      <c r="K61" s="26">
        <f t="shared" si="12"/>
        <v>71964.754765203557</v>
      </c>
    </row>
    <row r="62" spans="1:11" ht="14.4" customHeight="1" x14ac:dyDescent="0.3">
      <c r="A62" s="85">
        <v>17</v>
      </c>
      <c r="B62" s="52">
        <v>43101</v>
      </c>
      <c r="C62" s="26">
        <f t="shared" si="13"/>
        <v>6943662.430441265</v>
      </c>
      <c r="D62" s="26">
        <f t="shared" ref="D62:D71" si="15">(C61-E62/2)*0.0396/12</f>
        <v>24770.157384955557</v>
      </c>
      <c r="E62" s="26">
        <f t="shared" si="11"/>
        <v>1174432.0508301395</v>
      </c>
      <c r="G62" s="85">
        <v>17</v>
      </c>
      <c r="H62" s="52">
        <f t="shared" si="6"/>
        <v>43101</v>
      </c>
      <c r="I62" s="26">
        <f t="shared" si="14"/>
        <v>595889.03353714943</v>
      </c>
      <c r="J62" s="26">
        <f t="shared" ref="J62:J71" si="16">(I61-K62/2)*0.0396/12</f>
        <v>2077.6915290309166</v>
      </c>
      <c r="K62" s="26">
        <f t="shared" si="12"/>
        <v>71584.303275227678</v>
      </c>
    </row>
    <row r="63" spans="1:11" x14ac:dyDescent="0.3">
      <c r="A63" s="85">
        <v>18</v>
      </c>
      <c r="B63" s="52">
        <v>43132</v>
      </c>
      <c r="C63" s="26">
        <f t="shared" si="13"/>
        <v>6024588.742737595</v>
      </c>
      <c r="D63" s="26">
        <f t="shared" si="15"/>
        <v>21362.366530969022</v>
      </c>
      <c r="E63" s="26">
        <f t="shared" si="11"/>
        <v>940436.05423463858</v>
      </c>
      <c r="G63" s="85">
        <v>18</v>
      </c>
      <c r="H63" s="52">
        <f t="shared" si="6"/>
        <v>43132</v>
      </c>
      <c r="I63" s="26">
        <f t="shared" si="14"/>
        <v>536315.98075339396</v>
      </c>
      <c r="J63" s="26">
        <f t="shared" si="16"/>
        <v>1865.0609230563539</v>
      </c>
      <c r="K63" s="26">
        <f t="shared" si="12"/>
        <v>61438.113706811841</v>
      </c>
    </row>
    <row r="64" spans="1:11" x14ac:dyDescent="0.3">
      <c r="A64" s="85">
        <v>19</v>
      </c>
      <c r="B64" s="52">
        <v>43160</v>
      </c>
      <c r="C64" s="26">
        <f t="shared" si="13"/>
        <v>5120803.3611045331</v>
      </c>
      <c r="D64" s="26">
        <f t="shared" si="15"/>
        <v>18359.603625357671</v>
      </c>
      <c r="E64" s="26">
        <f t="shared" si="11"/>
        <v>922144.98525842046</v>
      </c>
      <c r="G64" s="85">
        <v>19</v>
      </c>
      <c r="H64" s="52">
        <f t="shared" si="6"/>
        <v>43160</v>
      </c>
      <c r="I64" s="26">
        <f t="shared" si="14"/>
        <v>472937.03785570466</v>
      </c>
      <c r="J64" s="26">
        <f t="shared" si="16"/>
        <v>1662.5243155842988</v>
      </c>
      <c r="K64" s="26">
        <f t="shared" si="12"/>
        <v>65041.467213273616</v>
      </c>
    </row>
    <row r="65" spans="1:11" x14ac:dyDescent="0.3">
      <c r="A65" s="85">
        <v>20</v>
      </c>
      <c r="B65" s="52">
        <v>43191</v>
      </c>
      <c r="C65" s="26">
        <f t="shared" si="13"/>
        <v>4369287.9071447933</v>
      </c>
      <c r="D65" s="26">
        <f t="shared" si="15"/>
        <v>15632.856379585071</v>
      </c>
      <c r="E65" s="26">
        <f t="shared" si="11"/>
        <v>767148.31033932534</v>
      </c>
      <c r="G65" s="85">
        <v>20</v>
      </c>
      <c r="H65" s="52">
        <f t="shared" si="6"/>
        <v>43191</v>
      </c>
      <c r="I65" s="26">
        <f t="shared" si="14"/>
        <v>412667.43886303529</v>
      </c>
      <c r="J65" s="26">
        <f t="shared" si="16"/>
        <v>1458.8403000907711</v>
      </c>
      <c r="K65" s="26">
        <f t="shared" si="12"/>
        <v>61728.43929276018</v>
      </c>
    </row>
    <row r="66" spans="1:11" x14ac:dyDescent="0.3">
      <c r="A66" s="85">
        <v>21</v>
      </c>
      <c r="B66" s="52">
        <v>43221</v>
      </c>
      <c r="C66" s="26">
        <f t="shared" si="13"/>
        <v>3680808.3896987988</v>
      </c>
      <c r="D66" s="26">
        <f t="shared" si="15"/>
        <v>13260.778605093525</v>
      </c>
      <c r="E66" s="26">
        <f t="shared" si="11"/>
        <v>701740.29605108779</v>
      </c>
      <c r="G66" s="85">
        <v>21</v>
      </c>
      <c r="H66" s="52">
        <f t="shared" si="6"/>
        <v>43221</v>
      </c>
      <c r="I66" s="26">
        <f t="shared" si="14"/>
        <v>348375.14780571661</v>
      </c>
      <c r="J66" s="26">
        <f t="shared" si="16"/>
        <v>1253.6517426281046</v>
      </c>
      <c r="K66" s="26">
        <f t="shared" si="12"/>
        <v>65545.942799946773</v>
      </c>
    </row>
    <row r="67" spans="1:11" x14ac:dyDescent="0.3">
      <c r="A67" s="85">
        <v>22</v>
      </c>
      <c r="B67" s="52">
        <v>43252</v>
      </c>
      <c r="C67" s="26">
        <f t="shared" si="13"/>
        <v>3016918.2135076732</v>
      </c>
      <c r="D67" s="26">
        <f t="shared" si="15"/>
        <v>11033.044372076753</v>
      </c>
      <c r="E67" s="26">
        <f t="shared" si="11"/>
        <v>674923.22056320228</v>
      </c>
      <c r="G67" s="85">
        <v>22</v>
      </c>
      <c r="H67" s="52">
        <f t="shared" si="6"/>
        <v>43252</v>
      </c>
      <c r="I67" s="26">
        <f t="shared" si="14"/>
        <v>281791.83568873082</v>
      </c>
      <c r="J67" s="26">
        <f t="shared" si="16"/>
        <v>1038.0627192790278</v>
      </c>
      <c r="K67" s="26">
        <f t="shared" si="12"/>
        <v>67621.374836264818</v>
      </c>
    </row>
    <row r="68" spans="1:11" x14ac:dyDescent="0.3">
      <c r="A68" s="85">
        <v>23</v>
      </c>
      <c r="B68" s="52">
        <v>43282</v>
      </c>
      <c r="C68" s="26">
        <f t="shared" si="13"/>
        <v>2199888.9419428203</v>
      </c>
      <c r="D68" s="26">
        <f t="shared" si="15"/>
        <v>8593.5524449591339</v>
      </c>
      <c r="E68" s="26">
        <f t="shared" si="11"/>
        <v>825622.82400981185</v>
      </c>
      <c r="G68" s="85">
        <v>23</v>
      </c>
      <c r="H68" s="52">
        <f t="shared" si="6"/>
        <v>43282</v>
      </c>
      <c r="I68" s="26">
        <f t="shared" si="14"/>
        <v>202470.98230202371</v>
      </c>
      <c r="J68" s="26">
        <f t="shared" si="16"/>
        <v>797.71741594843013</v>
      </c>
      <c r="K68" s="26">
        <f t="shared" si="12"/>
        <v>80118.570802655566</v>
      </c>
    </row>
    <row r="69" spans="1:11" x14ac:dyDescent="0.3">
      <c r="A69" s="85">
        <v>24</v>
      </c>
      <c r="B69" s="52">
        <v>43313</v>
      </c>
      <c r="C69" s="26">
        <f t="shared" si="13"/>
        <v>1425314.5904962525</v>
      </c>
      <c r="D69" s="26">
        <f t="shared" si="15"/>
        <v>5971.7324699490537</v>
      </c>
      <c r="E69" s="26">
        <f t="shared" si="11"/>
        <v>780546.08391651674</v>
      </c>
      <c r="G69" s="85">
        <v>24</v>
      </c>
      <c r="H69" s="52">
        <f t="shared" si="6"/>
        <v>43313</v>
      </c>
      <c r="I69" s="26">
        <f t="shared" si="14"/>
        <v>127009.13595716812</v>
      </c>
      <c r="J69" s="26">
        <f t="shared" si="16"/>
        <v>542.74666313349633</v>
      </c>
      <c r="K69" s="26">
        <f t="shared" si="12"/>
        <v>76004.593007989082</v>
      </c>
    </row>
    <row r="70" spans="1:11" x14ac:dyDescent="0.3">
      <c r="A70" s="85">
        <v>25</v>
      </c>
      <c r="B70" s="52">
        <v>43344</v>
      </c>
      <c r="C70" s="26">
        <f t="shared" si="13"/>
        <v>760858.51473265421</v>
      </c>
      <c r="D70" s="26">
        <f t="shared" si="15"/>
        <v>3601.2435717343346</v>
      </c>
      <c r="E70" s="26">
        <f t="shared" si="11"/>
        <v>668057.31933533261</v>
      </c>
      <c r="G70" s="85">
        <v>25</v>
      </c>
      <c r="H70" s="52">
        <f t="shared" si="6"/>
        <v>43344</v>
      </c>
      <c r="I70" s="26">
        <f t="shared" si="14"/>
        <v>61038.718527354096</v>
      </c>
      <c r="J70" s="26">
        <f t="shared" si="16"/>
        <v>309.76784295857999</v>
      </c>
      <c r="K70" s="26">
        <f t="shared" si="12"/>
        <v>66280.185272772607</v>
      </c>
    </row>
    <row r="71" spans="1:11" x14ac:dyDescent="0.3">
      <c r="A71" s="85">
        <v>26</v>
      </c>
      <c r="B71" s="54">
        <v>43374</v>
      </c>
      <c r="C71" s="55">
        <f t="shared" si="13"/>
        <v>-6179.2327033864567</v>
      </c>
      <c r="D71" s="26">
        <f t="shared" si="15"/>
        <v>1243.1695855321639</v>
      </c>
      <c r="E71" s="26">
        <f t="shared" si="11"/>
        <v>768280.91702157282</v>
      </c>
      <c r="G71" s="77">
        <v>26</v>
      </c>
      <c r="H71" s="54">
        <f t="shared" si="6"/>
        <v>43374</v>
      </c>
      <c r="I71" s="55">
        <f t="shared" si="14"/>
        <v>-6417.2793831198214</v>
      </c>
      <c r="J71" s="26">
        <f t="shared" si="16"/>
        <v>89.976912682061155</v>
      </c>
      <c r="K71" s="26">
        <f t="shared" si="12"/>
        <v>67545.974823155979</v>
      </c>
    </row>
    <row r="72" spans="1:11" x14ac:dyDescent="0.3">
      <c r="B72" s="27"/>
      <c r="C72" s="27"/>
      <c r="D72" s="27"/>
      <c r="E72" s="27"/>
    </row>
    <row r="73" spans="1:11" x14ac:dyDescent="0.3">
      <c r="A73" s="87">
        <v>27</v>
      </c>
      <c r="B73" s="30" t="s">
        <v>95</v>
      </c>
      <c r="C73" s="27"/>
      <c r="D73" s="26">
        <f>SUM(D49:D72)</f>
        <v>470653.7559050236</v>
      </c>
      <c r="E73" s="26">
        <f>SUM(E60:E71)</f>
        <v>10398909.382125305</v>
      </c>
      <c r="G73" s="87">
        <v>27</v>
      </c>
      <c r="H73" s="30" t="s">
        <v>95</v>
      </c>
      <c r="I73" s="27"/>
      <c r="J73" s="26">
        <f>SUM(J49:J72)</f>
        <v>39527.920988362683</v>
      </c>
      <c r="K73" s="26">
        <f>SUM(K60:K71)</f>
        <v>820810.95478204591</v>
      </c>
    </row>
    <row r="74" spans="1:11" x14ac:dyDescent="0.3">
      <c r="A74" s="87"/>
      <c r="B74" s="30"/>
      <c r="C74" s="27"/>
      <c r="D74" s="26"/>
      <c r="E74" s="26"/>
      <c r="G74" s="87"/>
      <c r="H74" s="30"/>
      <c r="I74" s="27"/>
      <c r="J74" s="26"/>
      <c r="K74" s="26"/>
    </row>
    <row r="75" spans="1:11" x14ac:dyDescent="0.3">
      <c r="B75" s="44" t="s">
        <v>100</v>
      </c>
      <c r="H75" s="44" t="s">
        <v>99</v>
      </c>
    </row>
    <row r="76" spans="1:11" x14ac:dyDescent="0.3">
      <c r="A76" s="87">
        <v>28</v>
      </c>
      <c r="B76" t="s">
        <v>129</v>
      </c>
      <c r="C76" s="81">
        <f>C46</f>
        <v>10288205.08</v>
      </c>
      <c r="G76" s="87">
        <v>28</v>
      </c>
      <c r="H76" t="s">
        <v>129</v>
      </c>
      <c r="I76" s="81">
        <f>I46</f>
        <v>1967777.19</v>
      </c>
    </row>
    <row r="77" spans="1:11" x14ac:dyDescent="0.3">
      <c r="A77" s="87">
        <v>29</v>
      </c>
      <c r="B77" t="s">
        <v>96</v>
      </c>
      <c r="C77" s="81">
        <f>C47</f>
        <v>-1253137.6664830979</v>
      </c>
      <c r="G77" s="87">
        <v>29</v>
      </c>
      <c r="H77" t="s">
        <v>96</v>
      </c>
      <c r="I77" s="81">
        <f>I47</f>
        <v>-1222566.3555894373</v>
      </c>
    </row>
    <row r="78" spans="1:11" x14ac:dyDescent="0.3">
      <c r="A78" s="87">
        <v>30</v>
      </c>
      <c r="B78" t="s">
        <v>142</v>
      </c>
      <c r="C78" s="81">
        <f>C59</f>
        <v>887008.97999999824</v>
      </c>
      <c r="G78" s="87">
        <v>30</v>
      </c>
      <c r="H78" t="s">
        <v>142</v>
      </c>
      <c r="I78" s="81">
        <f>I59</f>
        <v>29654.920000000799</v>
      </c>
    </row>
    <row r="79" spans="1:11" x14ac:dyDescent="0.3">
      <c r="A79" s="87">
        <v>31</v>
      </c>
      <c r="B79" t="s">
        <v>141</v>
      </c>
      <c r="C79" s="81">
        <f>D73</f>
        <v>470653.7559050236</v>
      </c>
      <c r="G79" s="87">
        <v>31</v>
      </c>
      <c r="H79" t="s">
        <v>141</v>
      </c>
      <c r="I79" s="81">
        <f>J73</f>
        <v>39527.920988362683</v>
      </c>
    </row>
    <row r="80" spans="1:11" x14ac:dyDescent="0.3">
      <c r="A80" s="87">
        <v>32</v>
      </c>
      <c r="B80" t="s">
        <v>111</v>
      </c>
      <c r="C80" s="81">
        <f>(D30-D31)*E22-C71</f>
        <v>521219.55587468733</v>
      </c>
      <c r="G80" s="87">
        <v>32</v>
      </c>
      <c r="H80" t="s">
        <v>111</v>
      </c>
      <c r="I80" s="81">
        <f>(J30-J31)*K22-I71</f>
        <v>49617.855950595927</v>
      </c>
    </row>
    <row r="81" spans="1:9" x14ac:dyDescent="0.3">
      <c r="A81" s="87">
        <v>33</v>
      </c>
      <c r="B81" t="s">
        <v>109</v>
      </c>
      <c r="C81" s="82">
        <f>SUM(C76:C80)</f>
        <v>10913949.70529661</v>
      </c>
      <c r="G81" s="87">
        <v>33</v>
      </c>
      <c r="H81" t="s">
        <v>110</v>
      </c>
      <c r="I81" s="82">
        <f>SUM(I76:I80)</f>
        <v>864011.53134952206</v>
      </c>
    </row>
    <row r="82" spans="1:9" x14ac:dyDescent="0.3">
      <c r="A82" s="87">
        <v>34</v>
      </c>
      <c r="B82" t="s">
        <v>97</v>
      </c>
      <c r="C82" s="81">
        <f>D30*E22</f>
        <v>10913949.705296608</v>
      </c>
      <c r="G82" s="87">
        <v>34</v>
      </c>
      <c r="H82" t="s">
        <v>97</v>
      </c>
      <c r="I82" s="81">
        <f>J30*K22</f>
        <v>864011.53134952229</v>
      </c>
    </row>
    <row r="83" spans="1:9" x14ac:dyDescent="0.3">
      <c r="A83" s="87">
        <v>35</v>
      </c>
      <c r="B83" t="s">
        <v>98</v>
      </c>
      <c r="C83" s="81">
        <f>C81-C82</f>
        <v>0</v>
      </c>
      <c r="G83" s="87">
        <v>35</v>
      </c>
      <c r="H83" t="s">
        <v>98</v>
      </c>
      <c r="I83" s="81">
        <f>I81-I82</f>
        <v>0</v>
      </c>
    </row>
  </sheetData>
  <customSheetViews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H24:I24"/>
    <mergeCell ref="B5:E5"/>
    <mergeCell ref="H5:K5"/>
    <mergeCell ref="H1:K1"/>
    <mergeCell ref="H2:K2"/>
    <mergeCell ref="H3:K3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B38:E38"/>
    <mergeCell ref="B39:E39"/>
    <mergeCell ref="B40:E40"/>
    <mergeCell ref="B1:E1"/>
    <mergeCell ref="B2:E2"/>
    <mergeCell ref="B3:E3"/>
    <mergeCell ref="B35:E35"/>
    <mergeCell ref="B36:E36"/>
    <mergeCell ref="B24:C24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9</oddFooter>
  </headerFooter>
  <rowBreaks count="1" manualBreakCount="1">
    <brk id="41" max="10" man="1"/>
  </rowBreaks>
  <colBreaks count="1" manualBreakCount="1">
    <brk id="6" max="80" man="1"/>
  </col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39"/>
  <sheetViews>
    <sheetView tabSelected="1" topLeftCell="A16" workbookViewId="0">
      <selection sqref="A1:A2"/>
    </sheetView>
  </sheetViews>
  <sheetFormatPr defaultRowHeight="14.4" x14ac:dyDescent="0.3"/>
  <cols>
    <col min="1" max="1" width="4.109375" customWidth="1"/>
    <col min="3" max="3" width="16.21875" customWidth="1"/>
    <col min="4" max="4" width="10.5546875" bestFit="1" customWidth="1"/>
    <col min="5" max="5" width="12.44140625" customWidth="1"/>
    <col min="6" max="6" width="16.21875" customWidth="1"/>
    <col min="7" max="7" width="8.21875" customWidth="1"/>
    <col min="8" max="8" width="13.6640625" customWidth="1"/>
    <col min="9" max="9" width="0.77734375" customWidth="1"/>
    <col min="10" max="10" width="4.33203125" customWidth="1"/>
  </cols>
  <sheetData>
    <row r="1" spans="1:9" x14ac:dyDescent="0.3">
      <c r="B1" s="131" t="s">
        <v>0</v>
      </c>
      <c r="C1" s="131"/>
      <c r="D1" s="131"/>
      <c r="E1" s="131"/>
      <c r="F1" s="131"/>
      <c r="G1" s="131"/>
      <c r="H1" s="131"/>
    </row>
    <row r="2" spans="1:9" x14ac:dyDescent="0.3">
      <c r="B2" s="131" t="s">
        <v>130</v>
      </c>
      <c r="C2" s="131"/>
      <c r="D2" s="131"/>
      <c r="E2" s="131"/>
      <c r="F2" s="131"/>
      <c r="G2" s="131"/>
      <c r="H2" s="131"/>
    </row>
    <row r="3" spans="1:9" x14ac:dyDescent="0.3">
      <c r="B3" s="131" t="s">
        <v>131</v>
      </c>
      <c r="C3" s="131"/>
      <c r="D3" s="131"/>
      <c r="E3" s="131"/>
      <c r="F3" s="131"/>
      <c r="G3" s="131"/>
      <c r="H3" s="131"/>
    </row>
    <row r="5" spans="1:9" x14ac:dyDescent="0.3">
      <c r="B5" s="131" t="s">
        <v>133</v>
      </c>
      <c r="C5" s="131"/>
      <c r="D5" s="131"/>
      <c r="E5" s="131"/>
      <c r="F5" s="131"/>
      <c r="G5" s="131"/>
      <c r="H5" s="131"/>
    </row>
    <row r="7" spans="1:9" ht="39.6" customHeight="1" x14ac:dyDescent="0.3">
      <c r="A7" s="92" t="s">
        <v>94</v>
      </c>
      <c r="B7" s="87" t="s">
        <v>2</v>
      </c>
      <c r="C7" s="86" t="s">
        <v>134</v>
      </c>
      <c r="D7" s="87" t="s">
        <v>3</v>
      </c>
      <c r="E7" s="87" t="s">
        <v>71</v>
      </c>
      <c r="F7" s="86" t="s">
        <v>132</v>
      </c>
      <c r="G7" s="86" t="s">
        <v>135</v>
      </c>
      <c r="H7" s="86" t="s">
        <v>136</v>
      </c>
    </row>
    <row r="9" spans="1:9" x14ac:dyDescent="0.3">
      <c r="A9" s="87">
        <v>1</v>
      </c>
      <c r="B9" s="93">
        <v>42675</v>
      </c>
      <c r="C9" s="95">
        <v>6937368.4299999997</v>
      </c>
      <c r="D9" s="97">
        <f>ROUND(((C9+C9+E9)/2)*G9/12,2)</f>
        <v>19546.05</v>
      </c>
      <c r="E9" s="95">
        <v>-471732.79</v>
      </c>
      <c r="F9" s="96">
        <f>C9+D9+E9</f>
        <v>6485181.6899999995</v>
      </c>
      <c r="G9" s="94">
        <v>3.5000000000000003E-2</v>
      </c>
      <c r="I9" s="96"/>
    </row>
    <row r="10" spans="1:9" x14ac:dyDescent="0.3">
      <c r="A10" s="87">
        <v>2</v>
      </c>
      <c r="B10" s="93">
        <v>42705</v>
      </c>
      <c r="C10" s="95">
        <f>F9</f>
        <v>6485181.6899999995</v>
      </c>
      <c r="D10" s="97">
        <f t="shared" ref="D10:D20" si="0">ROUND(((C10+C10+E10)/2)*G10/12,2)</f>
        <v>17880.78</v>
      </c>
      <c r="E10" s="95">
        <v>-709256.61</v>
      </c>
      <c r="F10" s="96">
        <f t="shared" ref="F10:F20" si="1">C10+D10+E10</f>
        <v>5793805.8599999994</v>
      </c>
      <c r="G10" s="37">
        <f>G9</f>
        <v>3.5000000000000003E-2</v>
      </c>
    </row>
    <row r="11" spans="1:9" x14ac:dyDescent="0.3">
      <c r="A11" s="87">
        <v>3</v>
      </c>
      <c r="B11" s="93">
        <v>42736</v>
      </c>
      <c r="C11" s="95">
        <f t="shared" ref="C11:C20" si="2">F10</f>
        <v>5793805.8599999994</v>
      </c>
      <c r="D11" s="97">
        <f t="shared" si="0"/>
        <v>15691.25</v>
      </c>
      <c r="E11" s="95">
        <v>-827894.31</v>
      </c>
      <c r="F11" s="96">
        <f t="shared" si="1"/>
        <v>4981602.7999999989</v>
      </c>
      <c r="G11" s="94">
        <v>3.5000000000000003E-2</v>
      </c>
    </row>
    <row r="12" spans="1:9" x14ac:dyDescent="0.3">
      <c r="A12" s="87">
        <v>4</v>
      </c>
      <c r="B12" s="93">
        <v>42767</v>
      </c>
      <c r="C12" s="95">
        <f t="shared" si="2"/>
        <v>4981602.7999999989</v>
      </c>
      <c r="D12" s="97">
        <f t="shared" si="0"/>
        <v>13642.28</v>
      </c>
      <c r="E12" s="95">
        <v>-608499.29</v>
      </c>
      <c r="F12" s="96">
        <f t="shared" si="1"/>
        <v>4386745.7899999991</v>
      </c>
      <c r="G12" s="37">
        <f>G11</f>
        <v>3.5000000000000003E-2</v>
      </c>
    </row>
    <row r="13" spans="1:9" x14ac:dyDescent="0.3">
      <c r="A13" s="87">
        <v>5</v>
      </c>
      <c r="B13" s="93">
        <v>42795</v>
      </c>
      <c r="C13" s="95">
        <f t="shared" si="2"/>
        <v>4386745.7899999991</v>
      </c>
      <c r="D13" s="97">
        <f t="shared" si="0"/>
        <v>12002.52</v>
      </c>
      <c r="E13" s="95">
        <v>-543189.74</v>
      </c>
      <c r="F13" s="96">
        <f t="shared" si="1"/>
        <v>3855558.5699999984</v>
      </c>
      <c r="G13" s="37">
        <f>G12</f>
        <v>3.5000000000000003E-2</v>
      </c>
    </row>
    <row r="14" spans="1:9" x14ac:dyDescent="0.3">
      <c r="A14" s="87">
        <v>6</v>
      </c>
      <c r="B14" s="93">
        <v>42826</v>
      </c>
      <c r="C14" s="95">
        <f t="shared" si="2"/>
        <v>3855558.5699999984</v>
      </c>
      <c r="D14" s="97">
        <f t="shared" si="0"/>
        <v>11245.64</v>
      </c>
      <c r="E14" s="95">
        <v>-436307.33</v>
      </c>
      <c r="F14" s="96">
        <f t="shared" si="1"/>
        <v>3430496.8799999985</v>
      </c>
      <c r="G14" s="94">
        <v>3.7100000000000001E-2</v>
      </c>
    </row>
    <row r="15" spans="1:9" x14ac:dyDescent="0.3">
      <c r="A15" s="87">
        <v>7</v>
      </c>
      <c r="B15" s="93">
        <v>42856</v>
      </c>
      <c r="C15" s="95">
        <f t="shared" si="2"/>
        <v>3430496.8799999985</v>
      </c>
      <c r="D15" s="97">
        <f t="shared" si="0"/>
        <v>9979.67</v>
      </c>
      <c r="E15" s="95">
        <v>-405139.61</v>
      </c>
      <c r="F15" s="96">
        <f t="shared" si="1"/>
        <v>3035336.9399999985</v>
      </c>
      <c r="G15" s="37">
        <f>G14</f>
        <v>3.7100000000000001E-2</v>
      </c>
    </row>
    <row r="16" spans="1:9" x14ac:dyDescent="0.3">
      <c r="A16" s="87">
        <v>8</v>
      </c>
      <c r="B16" s="93">
        <v>42887</v>
      </c>
      <c r="C16" s="95">
        <f t="shared" si="2"/>
        <v>3035336.9399999985</v>
      </c>
      <c r="D16" s="97">
        <f t="shared" si="0"/>
        <v>8806.51</v>
      </c>
      <c r="E16" s="95">
        <v>-373737.16</v>
      </c>
      <c r="F16" s="96">
        <f t="shared" si="1"/>
        <v>2670406.2899999982</v>
      </c>
      <c r="G16" s="37">
        <f>G15</f>
        <v>3.7100000000000001E-2</v>
      </c>
    </row>
    <row r="17" spans="1:8" x14ac:dyDescent="0.3">
      <c r="A17" s="87">
        <v>9</v>
      </c>
      <c r="B17" s="93">
        <v>42917</v>
      </c>
      <c r="C17" s="95">
        <f t="shared" si="2"/>
        <v>2670406.2899999982</v>
      </c>
      <c r="D17" s="97">
        <f t="shared" si="0"/>
        <v>8003.16</v>
      </c>
      <c r="E17" s="98">
        <v>-490414.06</v>
      </c>
      <c r="F17" s="96">
        <f t="shared" si="1"/>
        <v>2187995.3899999983</v>
      </c>
      <c r="G17" s="94">
        <v>3.9600000000000003E-2</v>
      </c>
      <c r="H17" s="46"/>
    </row>
    <row r="18" spans="1:8" x14ac:dyDescent="0.3">
      <c r="A18" s="87">
        <v>10</v>
      </c>
      <c r="B18" s="93">
        <v>42948</v>
      </c>
      <c r="C18" s="95">
        <f t="shared" si="2"/>
        <v>2187995.3899999983</v>
      </c>
      <c r="D18" s="97">
        <f t="shared" si="0"/>
        <v>6452.27</v>
      </c>
      <c r="E18" s="98">
        <f>-ROUND(H18*0.00251,2)</f>
        <v>-465526.05</v>
      </c>
      <c r="F18" s="96">
        <f t="shared" si="1"/>
        <v>1728921.6099999982</v>
      </c>
      <c r="G18" s="37">
        <f>G17</f>
        <v>3.9600000000000003E-2</v>
      </c>
      <c r="H18" s="46">
        <f>'5 15 17 Forecast Usage by Sched'!M7</f>
        <v>185468546.99806559</v>
      </c>
    </row>
    <row r="19" spans="1:8" x14ac:dyDescent="0.3">
      <c r="A19" s="87">
        <v>11</v>
      </c>
      <c r="B19" s="93">
        <v>42979</v>
      </c>
      <c r="C19" s="95">
        <f t="shared" si="2"/>
        <v>1728921.6099999982</v>
      </c>
      <c r="D19" s="97">
        <f t="shared" si="0"/>
        <v>5059.3100000000004</v>
      </c>
      <c r="E19" s="98">
        <f t="shared" ref="E19:E20" si="3">-ROUND(H19*0.00251,2)</f>
        <v>-391596.78</v>
      </c>
      <c r="F19" s="96">
        <f t="shared" si="1"/>
        <v>1342384.1399999983</v>
      </c>
      <c r="G19" s="37">
        <f>G18</f>
        <v>3.9600000000000003E-2</v>
      </c>
      <c r="H19" s="46">
        <f>'5 15 17 Forecast Usage by Sched'!M8</f>
        <v>156014655.15072188</v>
      </c>
    </row>
    <row r="20" spans="1:8" x14ac:dyDescent="0.3">
      <c r="A20" s="87">
        <v>12</v>
      </c>
      <c r="B20" s="93">
        <v>43009</v>
      </c>
      <c r="C20" s="95">
        <f t="shared" si="2"/>
        <v>1342384.1399999983</v>
      </c>
      <c r="D20" s="97">
        <f t="shared" si="0"/>
        <v>3672.44</v>
      </c>
      <c r="E20" s="98">
        <f t="shared" si="3"/>
        <v>-459047.6</v>
      </c>
      <c r="F20" s="99">
        <f t="shared" si="1"/>
        <v>887008.97999999824</v>
      </c>
      <c r="G20" s="37">
        <f>G19</f>
        <v>3.9600000000000003E-2</v>
      </c>
      <c r="H20" s="46">
        <f>'5 15 17 Forecast Usage by Sched'!M9</f>
        <v>182887491.37639776</v>
      </c>
    </row>
    <row r="24" spans="1:8" x14ac:dyDescent="0.3">
      <c r="B24" s="131" t="s">
        <v>139</v>
      </c>
      <c r="C24" s="131"/>
      <c r="D24" s="131"/>
      <c r="E24" s="131"/>
      <c r="F24" s="131"/>
      <c r="G24" s="131"/>
      <c r="H24" s="131"/>
    </row>
    <row r="26" spans="1:8" ht="43.2" x14ac:dyDescent="0.3">
      <c r="A26" s="92" t="s">
        <v>94</v>
      </c>
      <c r="B26" s="87" t="s">
        <v>2</v>
      </c>
      <c r="C26" s="86" t="s">
        <v>138</v>
      </c>
      <c r="D26" s="87" t="s">
        <v>3</v>
      </c>
      <c r="E26" s="87" t="s">
        <v>71</v>
      </c>
      <c r="F26" s="86" t="s">
        <v>140</v>
      </c>
      <c r="G26" s="86" t="s">
        <v>135</v>
      </c>
      <c r="H26" s="86" t="s">
        <v>136</v>
      </c>
    </row>
    <row r="28" spans="1:8" x14ac:dyDescent="0.3">
      <c r="A28" s="87">
        <v>13</v>
      </c>
      <c r="B28" s="93">
        <v>42675</v>
      </c>
      <c r="C28" s="95">
        <v>-2886111.92</v>
      </c>
      <c r="D28" s="97">
        <f>ROUND(((C28+C28+E28)/2)*G28/12,2)</f>
        <v>-8072.84</v>
      </c>
      <c r="E28" s="95">
        <v>236565.55</v>
      </c>
      <c r="F28" s="96">
        <f>C28+D28+E28</f>
        <v>-2657619.21</v>
      </c>
      <c r="G28" s="94">
        <v>3.5000000000000003E-2</v>
      </c>
    </row>
    <row r="29" spans="1:8" x14ac:dyDescent="0.3">
      <c r="A29" s="87">
        <v>14</v>
      </c>
      <c r="B29" s="93">
        <v>42705</v>
      </c>
      <c r="C29" s="95">
        <f>F28</f>
        <v>-2657619.21</v>
      </c>
      <c r="D29" s="97">
        <f t="shared" ref="D29:D39" si="4">ROUND(((C29+C29+E29)/2)*G29/12,2)</f>
        <v>-7372.11</v>
      </c>
      <c r="E29" s="95">
        <v>260075.72</v>
      </c>
      <c r="F29" s="96">
        <f t="shared" ref="F29:F39" si="5">C29+D29+E29</f>
        <v>-2404915.5999999996</v>
      </c>
      <c r="G29" s="37">
        <f>G28</f>
        <v>3.5000000000000003E-2</v>
      </c>
    </row>
    <row r="30" spans="1:8" x14ac:dyDescent="0.3">
      <c r="A30" s="87">
        <v>15</v>
      </c>
      <c r="B30" s="93">
        <v>42736</v>
      </c>
      <c r="C30" s="95">
        <f t="shared" ref="C30:C39" si="6">F29</f>
        <v>-2404915.5999999996</v>
      </c>
      <c r="D30" s="97">
        <f t="shared" si="4"/>
        <v>-6644.79</v>
      </c>
      <c r="E30" s="95">
        <v>253402.31</v>
      </c>
      <c r="F30" s="96">
        <f t="shared" si="5"/>
        <v>-2158158.0799999996</v>
      </c>
      <c r="G30" s="94">
        <v>3.5000000000000003E-2</v>
      </c>
    </row>
    <row r="31" spans="1:8" x14ac:dyDescent="0.3">
      <c r="A31" s="87">
        <v>16</v>
      </c>
      <c r="B31" s="93">
        <v>42767</v>
      </c>
      <c r="C31" s="95">
        <f t="shared" si="6"/>
        <v>-2158158.0799999996</v>
      </c>
      <c r="D31" s="97">
        <f t="shared" si="4"/>
        <v>-5943.78</v>
      </c>
      <c r="E31" s="95">
        <v>240583.55</v>
      </c>
      <c r="F31" s="96">
        <f t="shared" si="5"/>
        <v>-1923518.3099999994</v>
      </c>
      <c r="G31" s="37">
        <f>G30</f>
        <v>3.5000000000000003E-2</v>
      </c>
    </row>
    <row r="32" spans="1:8" x14ac:dyDescent="0.3">
      <c r="A32" s="91">
        <v>17</v>
      </c>
      <c r="B32" s="93">
        <v>42795</v>
      </c>
      <c r="C32" s="95">
        <f t="shared" si="6"/>
        <v>-1923518.3099999994</v>
      </c>
      <c r="D32" s="97">
        <f t="shared" si="4"/>
        <v>-5262.78</v>
      </c>
      <c r="E32" s="95">
        <v>238273.34</v>
      </c>
      <c r="F32" s="96">
        <f t="shared" si="5"/>
        <v>-1690507.7499999993</v>
      </c>
      <c r="G32" s="37">
        <f>G31</f>
        <v>3.5000000000000003E-2</v>
      </c>
    </row>
    <row r="33" spans="1:8" x14ac:dyDescent="0.3">
      <c r="A33" s="91">
        <v>18</v>
      </c>
      <c r="B33" s="93">
        <v>42826</v>
      </c>
      <c r="C33" s="95">
        <f t="shared" si="6"/>
        <v>-1690507.7499999993</v>
      </c>
      <c r="D33" s="97">
        <f t="shared" si="4"/>
        <v>-4886.58</v>
      </c>
      <c r="E33" s="95">
        <v>219883.34</v>
      </c>
      <c r="F33" s="96">
        <f t="shared" si="5"/>
        <v>-1475510.9899999993</v>
      </c>
      <c r="G33" s="94">
        <v>3.7100000000000001E-2</v>
      </c>
    </row>
    <row r="34" spans="1:8" x14ac:dyDescent="0.3">
      <c r="A34" s="91">
        <v>19</v>
      </c>
      <c r="B34" s="93">
        <v>42856</v>
      </c>
      <c r="C34" s="95">
        <f t="shared" si="6"/>
        <v>-1475510.9899999993</v>
      </c>
      <c r="D34" s="97">
        <f t="shared" si="4"/>
        <v>-4205.21</v>
      </c>
      <c r="E34" s="95">
        <v>230670.06</v>
      </c>
      <c r="F34" s="96">
        <f t="shared" si="5"/>
        <v>-1249046.1399999992</v>
      </c>
      <c r="G34" s="37">
        <f>G33</f>
        <v>3.7100000000000001E-2</v>
      </c>
    </row>
    <row r="35" spans="1:8" x14ac:dyDescent="0.3">
      <c r="A35" s="91">
        <v>20</v>
      </c>
      <c r="B35" s="93">
        <v>42887</v>
      </c>
      <c r="C35" s="95">
        <f t="shared" si="6"/>
        <v>-1249046.1399999992</v>
      </c>
      <c r="D35" s="97">
        <f t="shared" si="4"/>
        <v>-3473.01</v>
      </c>
      <c r="E35" s="95">
        <v>251400.38</v>
      </c>
      <c r="F35" s="96">
        <f t="shared" si="5"/>
        <v>-1001118.7699999992</v>
      </c>
      <c r="G35" s="37">
        <f>G34</f>
        <v>3.7100000000000001E-2</v>
      </c>
    </row>
    <row r="36" spans="1:8" x14ac:dyDescent="0.3">
      <c r="A36" s="91">
        <v>21</v>
      </c>
      <c r="B36" s="93">
        <v>42917</v>
      </c>
      <c r="C36" s="95">
        <f t="shared" si="6"/>
        <v>-1001118.7699999992</v>
      </c>
      <c r="D36" s="97">
        <f t="shared" si="4"/>
        <v>-2838.41</v>
      </c>
      <c r="E36" s="98">
        <v>281986.8</v>
      </c>
      <c r="F36" s="96">
        <f t="shared" si="5"/>
        <v>-721970.37999999919</v>
      </c>
      <c r="G36" s="94">
        <v>3.9600000000000003E-2</v>
      </c>
      <c r="H36" s="46"/>
    </row>
    <row r="37" spans="1:8" x14ac:dyDescent="0.3">
      <c r="A37" s="91">
        <v>22</v>
      </c>
      <c r="B37" s="93">
        <v>42948</v>
      </c>
      <c r="C37" s="95">
        <f t="shared" si="6"/>
        <v>-721970.37999999919</v>
      </c>
      <c r="D37" s="97">
        <f t="shared" si="4"/>
        <v>-1928.41</v>
      </c>
      <c r="E37" s="98">
        <f>-ROUND(H37*-0.00136,2)</f>
        <v>275205.75</v>
      </c>
      <c r="F37" s="96">
        <f t="shared" si="5"/>
        <v>-448693.03999999922</v>
      </c>
      <c r="G37" s="37">
        <f>G36</f>
        <v>3.9600000000000003E-2</v>
      </c>
      <c r="H37" s="46">
        <f>'5 15 17 Forecast Usage by Sched'!N7</f>
        <v>202357171.12351078</v>
      </c>
    </row>
    <row r="38" spans="1:8" x14ac:dyDescent="0.3">
      <c r="A38" s="91">
        <v>23</v>
      </c>
      <c r="B38" s="93">
        <v>42979</v>
      </c>
      <c r="C38" s="95">
        <f t="shared" si="6"/>
        <v>-448693.03999999922</v>
      </c>
      <c r="D38" s="97">
        <f t="shared" si="4"/>
        <v>-1089.3</v>
      </c>
      <c r="E38" s="98">
        <f t="shared" ref="E38:E39" si="7">-ROUND(H38*-0.00136,2)</f>
        <v>237203.06</v>
      </c>
      <c r="F38" s="96">
        <f t="shared" si="5"/>
        <v>-212579.27999999921</v>
      </c>
      <c r="G38" s="37">
        <f>G37</f>
        <v>3.9600000000000003E-2</v>
      </c>
      <c r="H38" s="46">
        <f>'5 15 17 Forecast Usage by Sched'!N8</f>
        <v>174414016.88083726</v>
      </c>
    </row>
    <row r="39" spans="1:8" x14ac:dyDescent="0.3">
      <c r="A39" s="91">
        <v>24</v>
      </c>
      <c r="B39" s="93">
        <v>43009</v>
      </c>
      <c r="C39" s="95">
        <f t="shared" si="6"/>
        <v>-212579.27999999921</v>
      </c>
      <c r="D39" s="97">
        <f t="shared" si="4"/>
        <v>-301.33</v>
      </c>
      <c r="E39" s="98">
        <f t="shared" si="7"/>
        <v>242535.53</v>
      </c>
      <c r="F39" s="99">
        <f t="shared" si="5"/>
        <v>29654.920000000799</v>
      </c>
      <c r="G39" s="37">
        <f>G38</f>
        <v>3.9600000000000003E-2</v>
      </c>
      <c r="H39" s="46">
        <f>'5 15 17 Forecast Usage by Sched'!N9</f>
        <v>178334948.15797266</v>
      </c>
    </row>
  </sheetData>
  <mergeCells count="5">
    <mergeCell ref="B1:H1"/>
    <mergeCell ref="B2:H2"/>
    <mergeCell ref="B3:H3"/>
    <mergeCell ref="B5:H5"/>
    <mergeCell ref="B24:H24"/>
  </mergeCells>
  <pageMargins left="0.7" right="0.7" top="0.75" bottom="0.75" header="0.3" footer="0.3"/>
  <pageSetup orientation="portrait" r:id="rId1"/>
  <headerFooter>
    <oddFooter>&amp;CATTACHMENT A&amp;RPage 5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65"/>
  <sheetViews>
    <sheetView tabSelected="1" topLeftCell="A18" zoomScaleNormal="100" workbookViewId="0">
      <selection sqref="A1:A2"/>
    </sheetView>
  </sheetViews>
  <sheetFormatPr defaultRowHeight="14.4" x14ac:dyDescent="0.3"/>
  <cols>
    <col min="1" max="1" width="7.44140625" style="75" customWidth="1"/>
    <col min="2" max="2" width="30.44140625" customWidth="1"/>
    <col min="4" max="4" width="15.33203125" customWidth="1"/>
    <col min="5" max="5" width="15" customWidth="1"/>
    <col min="6" max="6" width="7.44140625" customWidth="1"/>
    <col min="7" max="7" width="15.44140625" hidden="1" customWidth="1"/>
    <col min="8" max="8" width="9.6640625" hidden="1" customWidth="1"/>
    <col min="9" max="9" width="10.109375" customWidth="1"/>
    <col min="10" max="10" width="20.44140625" customWidth="1"/>
    <col min="11" max="11" width="17.109375" customWidth="1"/>
    <col min="12" max="12" width="16.33203125" customWidth="1"/>
    <col min="13" max="13" width="14" customWidth="1"/>
    <col min="14" max="14" width="15" customWidth="1"/>
    <col min="15" max="15" width="4.5546875" customWidth="1"/>
    <col min="16" max="16" width="25.33203125" customWidth="1"/>
    <col min="17" max="17" width="16.6640625" customWidth="1"/>
    <col min="18" max="18" width="17" customWidth="1"/>
    <col min="19" max="19" width="12.44140625" customWidth="1"/>
    <col min="20" max="20" width="13.5546875" customWidth="1"/>
  </cols>
  <sheetData>
    <row r="1" spans="1:8" x14ac:dyDescent="0.3">
      <c r="B1" s="131" t="s">
        <v>0</v>
      </c>
      <c r="C1" s="131"/>
      <c r="D1" s="131"/>
      <c r="E1" s="131"/>
      <c r="F1" s="131"/>
      <c r="G1" s="131"/>
      <c r="H1" s="131"/>
    </row>
    <row r="2" spans="1:8" x14ac:dyDescent="0.3">
      <c r="B2" s="131" t="s">
        <v>41</v>
      </c>
      <c r="C2" s="131"/>
      <c r="D2" s="131"/>
      <c r="E2" s="131"/>
      <c r="F2" s="131"/>
      <c r="G2" s="131"/>
      <c r="H2" s="131"/>
    </row>
    <row r="3" spans="1:8" x14ac:dyDescent="0.3">
      <c r="B3" s="131" t="s">
        <v>116</v>
      </c>
      <c r="C3" s="131"/>
      <c r="D3" s="131"/>
      <c r="E3" s="131"/>
      <c r="F3" s="131"/>
      <c r="G3" s="131"/>
      <c r="H3" s="131"/>
    </row>
    <row r="5" spans="1:8" x14ac:dyDescent="0.3">
      <c r="B5" s="78" t="s">
        <v>117</v>
      </c>
      <c r="C5" s="78"/>
      <c r="D5" s="78"/>
      <c r="E5" s="78"/>
      <c r="F5" s="78"/>
    </row>
    <row r="7" spans="1:8" x14ac:dyDescent="0.3">
      <c r="A7" s="75" t="s">
        <v>94</v>
      </c>
      <c r="D7" s="31" t="s">
        <v>42</v>
      </c>
      <c r="E7" s="31"/>
      <c r="F7" s="75"/>
      <c r="G7" s="31" t="s">
        <v>43</v>
      </c>
      <c r="H7" s="43"/>
    </row>
    <row r="9" spans="1:8" x14ac:dyDescent="0.3">
      <c r="A9" s="75">
        <v>1</v>
      </c>
      <c r="B9" t="s">
        <v>44</v>
      </c>
      <c r="D9" s="38">
        <v>1442726000</v>
      </c>
      <c r="G9" s="38">
        <v>272971000</v>
      </c>
      <c r="H9" s="38"/>
    </row>
    <row r="11" spans="1:8" x14ac:dyDescent="0.3">
      <c r="A11" s="75">
        <v>2</v>
      </c>
      <c r="B11" t="s">
        <v>45</v>
      </c>
      <c r="D11" s="38">
        <v>108405000</v>
      </c>
      <c r="G11" s="38">
        <v>16783000</v>
      </c>
      <c r="H11" s="38"/>
    </row>
    <row r="12" spans="1:8" x14ac:dyDescent="0.3">
      <c r="D12" s="38"/>
    </row>
    <row r="13" spans="1:8" x14ac:dyDescent="0.3">
      <c r="A13" s="75">
        <v>3</v>
      </c>
      <c r="B13" t="s">
        <v>46</v>
      </c>
      <c r="D13" s="36">
        <f>D11/D9</f>
        <v>7.5139007684064743E-2</v>
      </c>
      <c r="G13" s="36">
        <f>G11/G9</f>
        <v>6.1482721607789836E-2</v>
      </c>
      <c r="H13" s="36"/>
    </row>
    <row r="14" spans="1:8" x14ac:dyDescent="0.3">
      <c r="A14" s="75">
        <v>4</v>
      </c>
      <c r="B14" t="s">
        <v>47</v>
      </c>
      <c r="D14" s="36">
        <f>0.0732*10/365+0.0729*355/365</f>
        <v>7.2908219178082212E-2</v>
      </c>
      <c r="G14" s="36">
        <v>7.3200000000000001E-2</v>
      </c>
      <c r="H14" s="36"/>
    </row>
    <row r="15" spans="1:8" x14ac:dyDescent="0.3">
      <c r="A15" s="75">
        <v>5</v>
      </c>
      <c r="B15" t="s">
        <v>48</v>
      </c>
      <c r="D15" s="37">
        <f>D13-D14</f>
        <v>2.2307885059825311E-3</v>
      </c>
      <c r="G15" s="37">
        <f>G13-G14</f>
        <v>-1.1717278392210165E-2</v>
      </c>
      <c r="H15" s="37"/>
    </row>
    <row r="17" spans="1:10" x14ac:dyDescent="0.3">
      <c r="A17" s="75">
        <v>6</v>
      </c>
      <c r="B17" t="s">
        <v>49</v>
      </c>
      <c r="D17" s="38">
        <f>IF(D15&gt;0,D9*D15,0)</f>
        <v>3218416.5780821531</v>
      </c>
      <c r="G17" s="38">
        <f>IF(G15&gt;0,G9*G15,0)</f>
        <v>0</v>
      </c>
      <c r="H17" s="38"/>
    </row>
    <row r="18" spans="1:10" x14ac:dyDescent="0.3">
      <c r="A18" s="75">
        <v>7</v>
      </c>
      <c r="B18" t="s">
        <v>50</v>
      </c>
      <c r="D18" s="39">
        <f>'Conversion Factor'!E112</f>
        <v>0.61965999999999999</v>
      </c>
      <c r="G18" s="39">
        <v>0.61944999999999995</v>
      </c>
      <c r="H18" s="39"/>
    </row>
    <row r="19" spans="1:10" x14ac:dyDescent="0.3">
      <c r="A19" s="75">
        <v>8</v>
      </c>
      <c r="B19" t="s">
        <v>51</v>
      </c>
      <c r="D19" s="38">
        <f>D17/D18</f>
        <v>5193842.7171064019</v>
      </c>
      <c r="G19" s="38">
        <f>G17/G18</f>
        <v>0</v>
      </c>
      <c r="H19" s="38"/>
      <c r="I19" s="38"/>
    </row>
    <row r="20" spans="1:10" ht="15" thickBot="1" x14ac:dyDescent="0.35">
      <c r="A20" s="75">
        <v>9</v>
      </c>
      <c r="B20" t="s">
        <v>52</v>
      </c>
      <c r="D20" s="40">
        <v>0.5</v>
      </c>
      <c r="G20" s="40">
        <v>0.5</v>
      </c>
      <c r="H20" s="40"/>
    </row>
    <row r="21" spans="1:10" ht="15.6" thickTop="1" thickBot="1" x14ac:dyDescent="0.35">
      <c r="A21" s="75">
        <v>10</v>
      </c>
      <c r="B21" t="s">
        <v>118</v>
      </c>
      <c r="D21" s="41">
        <f>D19*D20</f>
        <v>2596921.358553201</v>
      </c>
      <c r="G21" s="41">
        <v>0</v>
      </c>
      <c r="H21" s="49"/>
    </row>
    <row r="22" spans="1:10" ht="15" thickTop="1" x14ac:dyDescent="0.3"/>
    <row r="24" spans="1:10" x14ac:dyDescent="0.3">
      <c r="B24" s="78" t="s">
        <v>119</v>
      </c>
      <c r="C24" s="78"/>
      <c r="D24" s="78"/>
      <c r="E24" s="78"/>
      <c r="F24" s="78"/>
      <c r="G24" s="78"/>
      <c r="H24" s="78"/>
    </row>
    <row r="26" spans="1:10" x14ac:dyDescent="0.3">
      <c r="A26" s="75">
        <v>11</v>
      </c>
      <c r="B26" t="s">
        <v>53</v>
      </c>
      <c r="D26" s="65">
        <v>223399000</v>
      </c>
      <c r="E26" s="36">
        <f>D26/D30</f>
        <v>0.50617426611200234</v>
      </c>
      <c r="F26" s="36"/>
      <c r="G26" s="65">
        <v>116284996</v>
      </c>
      <c r="H26" s="36">
        <f>G26/G30</f>
        <v>0.75882679845758572</v>
      </c>
      <c r="J26" t="s">
        <v>120</v>
      </c>
    </row>
    <row r="27" spans="1:10" x14ac:dyDescent="0.3">
      <c r="D27" s="66"/>
      <c r="G27" s="66"/>
      <c r="I27" s="36"/>
    </row>
    <row r="28" spans="1:10" x14ac:dyDescent="0.3">
      <c r="A28" s="75">
        <v>12</v>
      </c>
      <c r="B28" t="s">
        <v>54</v>
      </c>
      <c r="D28" s="65">
        <v>217949000</v>
      </c>
      <c r="E28" s="36">
        <f>D28/D30</f>
        <v>0.49382573388799766</v>
      </c>
      <c r="F28" s="36"/>
      <c r="G28" s="65">
        <f>33950044+3372711-364618</f>
        <v>36958137</v>
      </c>
      <c r="H28" s="36">
        <f>G28/G30</f>
        <v>0.24117320154241431</v>
      </c>
    </row>
    <row r="29" spans="1:10" x14ac:dyDescent="0.3">
      <c r="I29" s="36"/>
    </row>
    <row r="30" spans="1:10" x14ac:dyDescent="0.3">
      <c r="A30" s="75">
        <v>13</v>
      </c>
      <c r="B30" t="s">
        <v>55</v>
      </c>
      <c r="D30" s="38">
        <f>D26+D28</f>
        <v>441348000</v>
      </c>
      <c r="E30" s="37">
        <f>E26+E28</f>
        <v>1</v>
      </c>
      <c r="F30" s="37"/>
      <c r="G30" s="38">
        <f>G26+G28</f>
        <v>153243133</v>
      </c>
      <c r="H30" s="37">
        <f>H26+H28</f>
        <v>1</v>
      </c>
    </row>
    <row r="31" spans="1:10" x14ac:dyDescent="0.3">
      <c r="I31" s="37"/>
    </row>
    <row r="32" spans="1:10" x14ac:dyDescent="0.3">
      <c r="A32" s="84"/>
      <c r="D32" s="140" t="s">
        <v>113</v>
      </c>
      <c r="E32" s="140" t="s">
        <v>112</v>
      </c>
      <c r="I32" s="37"/>
    </row>
    <row r="33" spans="1:10" x14ac:dyDescent="0.3">
      <c r="B33" s="44" t="s">
        <v>56</v>
      </c>
      <c r="D33" s="140"/>
      <c r="E33" s="140"/>
    </row>
    <row r="34" spans="1:10" x14ac:dyDescent="0.3">
      <c r="A34" s="75">
        <v>14</v>
      </c>
      <c r="B34" t="s">
        <v>58</v>
      </c>
      <c r="D34" s="38">
        <f>D21*E26</f>
        <v>1314494.7628162506</v>
      </c>
      <c r="E34" s="38">
        <f>D34*'Conversion Factor'!E108</f>
        <v>1253137.6664830979</v>
      </c>
      <c r="G34" s="38">
        <f>G21*H26</f>
        <v>0</v>
      </c>
    </row>
    <row r="35" spans="1:10" x14ac:dyDescent="0.3">
      <c r="A35" s="75">
        <v>15</v>
      </c>
      <c r="B35" t="s">
        <v>78</v>
      </c>
      <c r="D35" s="38">
        <f>D21*E28</f>
        <v>1282426.5957369504</v>
      </c>
      <c r="E35" s="38">
        <f>D35*'Conversion Factor'!E108</f>
        <v>1222566.3555894373</v>
      </c>
      <c r="G35" s="38">
        <f>G21*H28</f>
        <v>0</v>
      </c>
    </row>
    <row r="36" spans="1:10" x14ac:dyDescent="0.3">
      <c r="A36" s="75">
        <v>16</v>
      </c>
      <c r="B36" t="s">
        <v>57</v>
      </c>
      <c r="D36" s="42">
        <f>SUM(D34:D35)</f>
        <v>2596921.358553201</v>
      </c>
      <c r="E36" s="42">
        <f>SUM(E34:E35)</f>
        <v>2475704.022072535</v>
      </c>
      <c r="G36" s="42">
        <f>SUM(G34:G35)</f>
        <v>0</v>
      </c>
    </row>
    <row r="38" spans="1:10" ht="32.4" customHeight="1" x14ac:dyDescent="0.3">
      <c r="A38" s="75" t="s">
        <v>94</v>
      </c>
      <c r="B38" s="79" t="s">
        <v>62</v>
      </c>
      <c r="D38" s="85" t="s">
        <v>121</v>
      </c>
      <c r="E38" s="85" t="s">
        <v>122</v>
      </c>
      <c r="F38" s="85"/>
      <c r="J38" s="103"/>
    </row>
    <row r="39" spans="1:10" ht="32.4" customHeight="1" x14ac:dyDescent="0.3">
      <c r="A39" s="90">
        <v>1</v>
      </c>
      <c r="B39" s="141" t="s">
        <v>123</v>
      </c>
      <c r="C39" s="141"/>
      <c r="D39" s="89">
        <f>D26</f>
        <v>223399000</v>
      </c>
      <c r="E39" s="89">
        <f>D28</f>
        <v>217949000</v>
      </c>
      <c r="F39" s="89"/>
      <c r="J39" s="89"/>
    </row>
    <row r="41" spans="1:10" x14ac:dyDescent="0.3">
      <c r="A41" s="85">
        <v>2</v>
      </c>
      <c r="B41" t="s">
        <v>149</v>
      </c>
      <c r="D41" s="72">
        <f>'Electric 2017 Rate Calc'!E22</f>
        <v>2452572967.4823837</v>
      </c>
      <c r="E41" s="72">
        <f>'Electric 2017 Rate Calc'!K22</f>
        <v>2160028828.3738055</v>
      </c>
      <c r="F41" s="88"/>
      <c r="G41" s="72" t="e">
        <f>#REF!</f>
        <v>#REF!</v>
      </c>
      <c r="J41" t="s">
        <v>93</v>
      </c>
    </row>
    <row r="42" spans="1:10" ht="13.8" customHeight="1" x14ac:dyDescent="0.3"/>
    <row r="43" spans="1:10" x14ac:dyDescent="0.3">
      <c r="A43" s="85">
        <v>3</v>
      </c>
      <c r="B43" t="s">
        <v>59</v>
      </c>
      <c r="D43" s="47">
        <f>'Electric 2017 Rate Calc'!D28</f>
        <v>4.45E-3</v>
      </c>
      <c r="E43" s="47">
        <f>'Electric 2017 Rate Calc'!J28</f>
        <v>4.0000000000000002E-4</v>
      </c>
    </row>
    <row r="44" spans="1:10" ht="11.4" customHeight="1" x14ac:dyDescent="0.3"/>
    <row r="45" spans="1:10" ht="11.4" customHeight="1" x14ac:dyDescent="0.3">
      <c r="A45" s="75">
        <v>4</v>
      </c>
      <c r="B45" t="s">
        <v>126</v>
      </c>
      <c r="D45" s="47">
        <v>2.63E-3</v>
      </c>
      <c r="E45" s="47">
        <v>0</v>
      </c>
    </row>
    <row r="46" spans="1:10" ht="14.4" customHeight="1" x14ac:dyDescent="0.3"/>
    <row r="47" spans="1:10" ht="14.4" customHeight="1" x14ac:dyDescent="0.3">
      <c r="A47" s="85">
        <v>5</v>
      </c>
      <c r="B47" t="s">
        <v>60</v>
      </c>
      <c r="D47" s="47">
        <f>D43-D45</f>
        <v>1.82E-3</v>
      </c>
      <c r="E47" s="47">
        <f>E43-E45</f>
        <v>4.0000000000000002E-4</v>
      </c>
    </row>
    <row r="48" spans="1:10" ht="15" customHeight="1" x14ac:dyDescent="0.3"/>
    <row r="49" spans="1:8" ht="15" customHeight="1" x14ac:dyDescent="0.3">
      <c r="A49" s="75">
        <v>6</v>
      </c>
      <c r="B49" t="s">
        <v>61</v>
      </c>
      <c r="D49" s="45">
        <f>D47*D41</f>
        <v>4463682.8008179385</v>
      </c>
      <c r="E49" s="45">
        <f>E47*E41</f>
        <v>864011.53134952229</v>
      </c>
      <c r="F49" s="45"/>
      <c r="G49" s="45" t="e">
        <f>#REF!+#REF!</f>
        <v>#REF!</v>
      </c>
    </row>
    <row r="50" spans="1:8" ht="12.6" customHeight="1" x14ac:dyDescent="0.3">
      <c r="D50" s="45"/>
      <c r="G50" s="45"/>
    </row>
    <row r="51" spans="1:8" ht="12.6" customHeight="1" x14ac:dyDescent="0.3">
      <c r="A51" s="75">
        <v>7</v>
      </c>
      <c r="B51" t="s">
        <v>63</v>
      </c>
      <c r="D51" s="48">
        <f>D49/D39</f>
        <v>1.9980764465453913E-2</v>
      </c>
      <c r="E51" s="48">
        <f>E49/E39</f>
        <v>3.9642830724138317E-3</v>
      </c>
      <c r="F51" s="48"/>
      <c r="G51" s="48"/>
    </row>
    <row r="52" spans="1:8" ht="13.2" customHeight="1" x14ac:dyDescent="0.3"/>
    <row r="53" spans="1:8" ht="13.2" customHeight="1" x14ac:dyDescent="0.3">
      <c r="A53" s="75">
        <v>8</v>
      </c>
      <c r="B53" t="s">
        <v>124</v>
      </c>
      <c r="D53" s="38">
        <f>IF(D51&gt;0.03,D26*0.03-D49,0)</f>
        <v>0</v>
      </c>
      <c r="E53" s="38">
        <f>IF(E47&gt;0.03,D28*0.03-E49,0)</f>
        <v>0</v>
      </c>
      <c r="G53" s="38"/>
    </row>
    <row r="54" spans="1:8" ht="12.6" customHeight="1" x14ac:dyDescent="0.3"/>
    <row r="55" spans="1:8" ht="12.6" customHeight="1" x14ac:dyDescent="0.3">
      <c r="A55" s="75">
        <v>9</v>
      </c>
      <c r="B55" t="s">
        <v>64</v>
      </c>
      <c r="D55" s="47">
        <f>ROUND(D53/D41,5)</f>
        <v>0</v>
      </c>
      <c r="E55" s="47">
        <f>ROUND(E53/E41,5)</f>
        <v>0</v>
      </c>
    </row>
    <row r="56" spans="1:8" ht="6" customHeight="1" x14ac:dyDescent="0.3"/>
    <row r="57" spans="1:8" x14ac:dyDescent="0.3">
      <c r="A57" s="75">
        <v>10</v>
      </c>
      <c r="B57" t="s">
        <v>65</v>
      </c>
      <c r="D57" s="47">
        <f>D43+D55</f>
        <v>4.45E-3</v>
      </c>
      <c r="E57" s="47">
        <f>E43+E55</f>
        <v>4.0000000000000002E-4</v>
      </c>
    </row>
    <row r="58" spans="1:8" ht="13.8" customHeight="1" x14ac:dyDescent="0.3"/>
    <row r="59" spans="1:8" ht="13.8" customHeight="1" x14ac:dyDescent="0.3">
      <c r="A59" s="75">
        <v>11</v>
      </c>
      <c r="B59" t="s">
        <v>66</v>
      </c>
      <c r="D59" s="45">
        <f>(D57-D45)*D41</f>
        <v>4463682.8008179385</v>
      </c>
      <c r="E59" s="45">
        <f>(E57-E45)*E41</f>
        <v>864011.53134952229</v>
      </c>
      <c r="F59" s="45"/>
      <c r="G59" s="50" t="e">
        <f>#REF!+#REF!</f>
        <v>#REF!</v>
      </c>
    </row>
    <row r="60" spans="1:8" ht="14.4" customHeight="1" x14ac:dyDescent="0.3">
      <c r="D60" s="50"/>
      <c r="G60" s="50"/>
    </row>
    <row r="61" spans="1:8" ht="14.4" customHeight="1" x14ac:dyDescent="0.3">
      <c r="A61" s="75">
        <v>12</v>
      </c>
      <c r="B61" t="s">
        <v>67</v>
      </c>
      <c r="D61" s="48">
        <f>D59/D39</f>
        <v>1.9980764465453913E-2</v>
      </c>
      <c r="E61" s="48">
        <f t="shared" ref="E61" si="0">E59/E39</f>
        <v>3.9642830724138317E-3</v>
      </c>
      <c r="F61" s="48"/>
    </row>
    <row r="62" spans="1:8" ht="16.2" customHeight="1" x14ac:dyDescent="0.3"/>
    <row r="63" spans="1:8" ht="16.2" customHeight="1" x14ac:dyDescent="0.3">
      <c r="B63" t="s">
        <v>70</v>
      </c>
    </row>
    <row r="64" spans="1:8" ht="32.4" customHeight="1" x14ac:dyDescent="0.3">
      <c r="B64" s="139" t="s">
        <v>145</v>
      </c>
      <c r="C64" s="139"/>
      <c r="D64" s="139"/>
      <c r="E64" s="139"/>
      <c r="F64" s="139"/>
      <c r="G64" s="139"/>
      <c r="H64" s="139"/>
    </row>
    <row r="65" spans="1:8" ht="49.2" customHeight="1" x14ac:dyDescent="0.3">
      <c r="A65" s="85"/>
      <c r="B65" s="138" t="s">
        <v>125</v>
      </c>
      <c r="C65" s="138"/>
      <c r="D65" s="138"/>
      <c r="E65" s="138"/>
      <c r="F65" s="138"/>
      <c r="G65" s="138"/>
      <c r="H65" s="138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8">
    <mergeCell ref="B65:H65"/>
    <mergeCell ref="B64:H64"/>
    <mergeCell ref="B1:H1"/>
    <mergeCell ref="B2:H2"/>
    <mergeCell ref="B3:H3"/>
    <mergeCell ref="E32:E33"/>
    <mergeCell ref="D32:D33"/>
    <mergeCell ref="B39:C39"/>
  </mergeCells>
  <printOptions horizontalCentered="1"/>
  <pageMargins left="0.7" right="0.7" top="0.75" bottom="0.75" header="0.3" footer="0.3"/>
  <pageSetup scale="95" firstPageNumber="6" orientation="portrait" useFirstPageNumber="1" r:id="rId3"/>
  <headerFooter>
    <oddFooter>&amp;CATTACHMENT A&amp;RPage &amp;P of 9</oddFooter>
  </headerFooter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16"/>
  <sheetViews>
    <sheetView tabSelected="1" topLeftCell="A89" workbookViewId="0">
      <selection sqref="A1:A2"/>
    </sheetView>
  </sheetViews>
  <sheetFormatPr defaultRowHeight="14.4" x14ac:dyDescent="0.3"/>
  <cols>
    <col min="1" max="1" width="6.44140625" customWidth="1"/>
    <col min="2" max="2" width="2.109375" customWidth="1"/>
    <col min="3" max="3" width="37.33203125" customWidth="1"/>
    <col min="5" max="5" width="11.44140625" bestFit="1" customWidth="1"/>
    <col min="6" max="6" width="2.33203125" customWidth="1"/>
  </cols>
  <sheetData>
    <row r="1" spans="1:5" ht="14.4" hidden="1" customHeight="1" x14ac:dyDescent="0.3">
      <c r="A1" s="1" t="s">
        <v>14</v>
      </c>
      <c r="B1" s="1"/>
      <c r="C1" s="1"/>
      <c r="D1" s="1"/>
      <c r="E1" s="2"/>
    </row>
    <row r="2" spans="1:5" hidden="1" x14ac:dyDescent="0.3">
      <c r="A2" s="143" t="s">
        <v>15</v>
      </c>
      <c r="B2" s="143"/>
      <c r="C2" s="143"/>
      <c r="D2" s="143"/>
      <c r="E2" s="143"/>
    </row>
    <row r="3" spans="1:5" hidden="1" x14ac:dyDescent="0.3">
      <c r="A3" s="143" t="s">
        <v>16</v>
      </c>
      <c r="B3" s="143"/>
      <c r="C3" s="143"/>
      <c r="D3" s="143"/>
      <c r="E3" s="143"/>
    </row>
    <row r="4" spans="1:5" ht="15.6" hidden="1" x14ac:dyDescent="0.3">
      <c r="A4" s="143" t="s">
        <v>17</v>
      </c>
      <c r="B4" s="146"/>
      <c r="C4" s="143"/>
      <c r="D4" s="143"/>
      <c r="E4" s="143"/>
    </row>
    <row r="5" spans="1:5" hidden="1" x14ac:dyDescent="0.3">
      <c r="A5" s="3"/>
      <c r="B5" s="3"/>
      <c r="C5" s="3"/>
      <c r="D5" s="3"/>
      <c r="E5" s="4"/>
    </row>
    <row r="6" spans="1:5" hidden="1" x14ac:dyDescent="0.3">
      <c r="A6" s="5" t="s">
        <v>18</v>
      </c>
      <c r="B6" s="5"/>
      <c r="C6" s="5"/>
      <c r="D6" s="5"/>
      <c r="E6" s="6"/>
    </row>
    <row r="7" spans="1:5" hidden="1" x14ac:dyDescent="0.3">
      <c r="A7" s="7" t="s">
        <v>19</v>
      </c>
      <c r="B7" s="5"/>
      <c r="C7" s="7" t="s">
        <v>20</v>
      </c>
      <c r="D7" s="8"/>
      <c r="E7" s="9" t="s">
        <v>21</v>
      </c>
    </row>
    <row r="8" spans="1:5" hidden="1" x14ac:dyDescent="0.3">
      <c r="A8" s="3"/>
      <c r="B8" s="3"/>
      <c r="C8" s="3"/>
      <c r="D8" s="3"/>
      <c r="E8" s="4"/>
    </row>
    <row r="9" spans="1:5" hidden="1" x14ac:dyDescent="0.3">
      <c r="A9" s="10">
        <v>1</v>
      </c>
      <c r="B9" s="3"/>
      <c r="C9" s="11" t="s">
        <v>22</v>
      </c>
      <c r="D9" s="3"/>
      <c r="E9" s="12">
        <v>1</v>
      </c>
    </row>
    <row r="10" spans="1:5" hidden="1" x14ac:dyDescent="0.3">
      <c r="A10" s="10"/>
      <c r="B10" s="3"/>
      <c r="C10" s="3"/>
      <c r="D10" s="3"/>
      <c r="E10" s="12"/>
    </row>
    <row r="11" spans="1:5" hidden="1" x14ac:dyDescent="0.3">
      <c r="A11" s="10"/>
      <c r="B11" s="3"/>
      <c r="C11" s="13" t="s">
        <v>23</v>
      </c>
      <c r="D11" s="14"/>
      <c r="E11" s="12"/>
    </row>
    <row r="12" spans="1:5" hidden="1" x14ac:dyDescent="0.3">
      <c r="A12" s="10">
        <v>2</v>
      </c>
      <c r="B12" s="3"/>
      <c r="C12" s="14" t="s">
        <v>24</v>
      </c>
      <c r="D12" s="14"/>
      <c r="E12" s="14">
        <v>4.849E-3</v>
      </c>
    </row>
    <row r="13" spans="1:5" hidden="1" x14ac:dyDescent="0.3">
      <c r="A13" s="10"/>
      <c r="B13" s="3"/>
      <c r="C13" s="14"/>
      <c r="D13" s="14"/>
      <c r="E13" s="14"/>
    </row>
    <row r="14" spans="1:5" hidden="1" x14ac:dyDescent="0.3">
      <c r="A14" s="10">
        <v>3</v>
      </c>
      <c r="B14" s="3"/>
      <c r="C14" s="14" t="s">
        <v>25</v>
      </c>
      <c r="D14" s="14"/>
      <c r="E14" s="14">
        <v>2E-3</v>
      </c>
    </row>
    <row r="15" spans="1:5" hidden="1" x14ac:dyDescent="0.3">
      <c r="A15" s="10"/>
      <c r="B15" s="3"/>
      <c r="C15" s="14"/>
      <c r="D15" s="14"/>
      <c r="E15" s="14"/>
    </row>
    <row r="16" spans="1:5" hidden="1" x14ac:dyDescent="0.3">
      <c r="A16" s="10">
        <v>4</v>
      </c>
      <c r="B16" s="3"/>
      <c r="C16" s="14" t="s">
        <v>26</v>
      </c>
      <c r="D16" s="14"/>
      <c r="E16" s="14">
        <v>3.8545999999999997E-2</v>
      </c>
    </row>
    <row r="17" spans="1:5" hidden="1" x14ac:dyDescent="0.3">
      <c r="A17" s="10"/>
      <c r="B17" s="3"/>
      <c r="C17" s="14"/>
      <c r="D17" s="14"/>
      <c r="E17" s="14"/>
    </row>
    <row r="18" spans="1:5" ht="15" hidden="1" thickBot="1" x14ac:dyDescent="0.35">
      <c r="A18" s="10">
        <v>5</v>
      </c>
      <c r="B18" s="3"/>
      <c r="C18" s="14" t="s">
        <v>27</v>
      </c>
      <c r="D18" s="14"/>
      <c r="E18" s="22">
        <f>SUM(E12:E16)</f>
        <v>4.5394999999999998E-2</v>
      </c>
    </row>
    <row r="19" spans="1:5" hidden="1" x14ac:dyDescent="0.3">
      <c r="A19" s="10"/>
      <c r="B19" s="3"/>
      <c r="C19" s="14"/>
      <c r="D19" s="14"/>
      <c r="E19" s="16"/>
    </row>
    <row r="20" spans="1:5" hidden="1" x14ac:dyDescent="0.3">
      <c r="A20" s="10">
        <v>6</v>
      </c>
      <c r="B20" s="3"/>
      <c r="C20" s="14" t="s">
        <v>28</v>
      </c>
      <c r="D20" s="14"/>
      <c r="E20" s="16">
        <f>E9-E18</f>
        <v>0.95460500000000004</v>
      </c>
    </row>
    <row r="21" spans="1:5" hidden="1" x14ac:dyDescent="0.3">
      <c r="A21" s="3"/>
      <c r="B21" s="3"/>
      <c r="C21" s="14"/>
      <c r="D21" s="14"/>
      <c r="E21" s="16"/>
    </row>
    <row r="22" spans="1:5" hidden="1" x14ac:dyDescent="0.3">
      <c r="A22" s="10">
        <v>7</v>
      </c>
      <c r="B22" s="3"/>
      <c r="C22" s="14" t="s">
        <v>29</v>
      </c>
      <c r="D22" s="17"/>
      <c r="E22" s="18">
        <f>ROUND(E20*0.35,6)</f>
        <v>0.33411200000000002</v>
      </c>
    </row>
    <row r="23" spans="1:5" hidden="1" x14ac:dyDescent="0.3">
      <c r="A23" s="3"/>
      <c r="B23" s="3"/>
      <c r="C23" s="14"/>
      <c r="D23" s="14"/>
      <c r="E23" s="16"/>
    </row>
    <row r="24" spans="1:5" ht="15" hidden="1" thickBot="1" x14ac:dyDescent="0.35">
      <c r="A24" s="10">
        <v>8</v>
      </c>
      <c r="B24" s="3"/>
      <c r="C24" s="13" t="s">
        <v>30</v>
      </c>
      <c r="D24" s="14"/>
      <c r="E24" s="19">
        <f>ROUND(E20-E22,5)</f>
        <v>0.62048999999999999</v>
      </c>
    </row>
    <row r="25" spans="1:5" hidden="1" x14ac:dyDescent="0.3">
      <c r="A25" s="20"/>
      <c r="B25" s="20"/>
      <c r="C25" s="20"/>
      <c r="D25" s="20"/>
      <c r="E25" s="20"/>
    </row>
    <row r="26" spans="1:5" hidden="1" x14ac:dyDescent="0.3">
      <c r="C26" t="s">
        <v>31</v>
      </c>
    </row>
    <row r="27" spans="1:5" hidden="1" x14ac:dyDescent="0.3">
      <c r="C27" t="s">
        <v>32</v>
      </c>
    </row>
    <row r="28" spans="1:5" hidden="1" x14ac:dyDescent="0.3">
      <c r="C28" t="s">
        <v>38</v>
      </c>
      <c r="E28">
        <f>1/E20</f>
        <v>1.0475537002215576</v>
      </c>
    </row>
    <row r="29" spans="1:5" hidden="1" x14ac:dyDescent="0.3"/>
    <row r="30" spans="1:5" ht="14.4" hidden="1" customHeight="1" x14ac:dyDescent="0.3">
      <c r="A30" s="1" t="s">
        <v>14</v>
      </c>
      <c r="B30" s="1"/>
      <c r="C30" s="1"/>
      <c r="D30" s="1">
        <f>D28+D29</f>
        <v>0</v>
      </c>
      <c r="E30" s="2"/>
    </row>
    <row r="31" spans="1:5" hidden="1" x14ac:dyDescent="0.3">
      <c r="A31" s="143" t="s">
        <v>15</v>
      </c>
      <c r="B31" s="143"/>
      <c r="C31" s="143"/>
      <c r="D31" s="143"/>
      <c r="E31" s="143"/>
    </row>
    <row r="32" spans="1:5" hidden="1" x14ac:dyDescent="0.3">
      <c r="A32" s="143" t="s">
        <v>16</v>
      </c>
      <c r="B32" s="143"/>
      <c r="C32" s="143"/>
      <c r="D32" s="143"/>
      <c r="E32" s="143"/>
    </row>
    <row r="33" spans="1:5" ht="15.6" hidden="1" x14ac:dyDescent="0.3">
      <c r="A33" s="143" t="s">
        <v>33</v>
      </c>
      <c r="B33" s="146"/>
      <c r="C33" s="143"/>
      <c r="D33" s="143"/>
      <c r="E33" s="143"/>
    </row>
    <row r="34" spans="1:5" hidden="1" x14ac:dyDescent="0.3">
      <c r="A34" s="3"/>
      <c r="B34" s="3"/>
      <c r="C34" s="3"/>
      <c r="D34" s="3"/>
      <c r="E34" s="4"/>
    </row>
    <row r="35" spans="1:5" hidden="1" x14ac:dyDescent="0.3">
      <c r="A35" s="5" t="s">
        <v>18</v>
      </c>
      <c r="B35" s="5"/>
      <c r="C35" s="5"/>
      <c r="D35" s="5"/>
      <c r="E35" s="6"/>
    </row>
    <row r="36" spans="1:5" hidden="1" x14ac:dyDescent="0.3">
      <c r="A36" s="7" t="s">
        <v>19</v>
      </c>
      <c r="B36" s="5"/>
      <c r="C36" s="7" t="s">
        <v>20</v>
      </c>
      <c r="D36" s="8"/>
      <c r="E36" s="9" t="s">
        <v>21</v>
      </c>
    </row>
    <row r="37" spans="1:5" hidden="1" x14ac:dyDescent="0.3">
      <c r="A37" s="3"/>
      <c r="B37" s="3"/>
      <c r="C37" s="3"/>
      <c r="D37" s="3"/>
      <c r="E37" s="4"/>
    </row>
    <row r="38" spans="1:5" hidden="1" x14ac:dyDescent="0.3">
      <c r="A38" s="10">
        <v>1</v>
      </c>
      <c r="B38" s="3"/>
      <c r="C38" s="11" t="s">
        <v>22</v>
      </c>
      <c r="D38" s="3"/>
      <c r="E38" s="12">
        <v>1</v>
      </c>
    </row>
    <row r="39" spans="1:5" hidden="1" x14ac:dyDescent="0.3">
      <c r="A39" s="10"/>
      <c r="B39" s="3"/>
      <c r="C39" s="3"/>
      <c r="D39" s="3"/>
      <c r="E39" s="12"/>
    </row>
    <row r="40" spans="1:5" hidden="1" x14ac:dyDescent="0.3">
      <c r="A40" s="10"/>
      <c r="B40" s="3"/>
      <c r="C40" s="13" t="s">
        <v>23</v>
      </c>
      <c r="D40" s="14"/>
      <c r="E40" s="12"/>
    </row>
    <row r="41" spans="1:5" hidden="1" x14ac:dyDescent="0.3">
      <c r="A41" s="10">
        <v>2</v>
      </c>
      <c r="B41" s="3"/>
      <c r="C41" s="14" t="s">
        <v>24</v>
      </c>
      <c r="D41" s="14"/>
      <c r="E41" s="14">
        <v>4.4488865114927787E-3</v>
      </c>
    </row>
    <row r="42" spans="1:5" hidden="1" x14ac:dyDescent="0.3">
      <c r="A42" s="10"/>
      <c r="B42" s="3"/>
      <c r="C42" s="14"/>
      <c r="D42" s="14"/>
      <c r="E42" s="14"/>
    </row>
    <row r="43" spans="1:5" hidden="1" x14ac:dyDescent="0.3">
      <c r="A43" s="10">
        <v>3</v>
      </c>
      <c r="B43" s="3"/>
      <c r="C43" s="14" t="s">
        <v>25</v>
      </c>
      <c r="D43" s="14"/>
      <c r="E43" s="14">
        <v>2E-3</v>
      </c>
    </row>
    <row r="44" spans="1:5" hidden="1" x14ac:dyDescent="0.3">
      <c r="A44" s="10"/>
      <c r="B44" s="3"/>
      <c r="C44" s="14"/>
      <c r="D44" s="14"/>
      <c r="E44" s="14"/>
    </row>
    <row r="45" spans="1:5" hidden="1" x14ac:dyDescent="0.3">
      <c r="A45" s="10">
        <v>4</v>
      </c>
      <c r="B45" s="3"/>
      <c r="C45" s="14" t="s">
        <v>26</v>
      </c>
      <c r="D45" s="14"/>
      <c r="E45" s="14">
        <v>3.8561676829863833E-2</v>
      </c>
    </row>
    <row r="46" spans="1:5" hidden="1" x14ac:dyDescent="0.3">
      <c r="A46" s="10"/>
      <c r="B46" s="3"/>
      <c r="C46" s="14"/>
      <c r="D46" s="14"/>
      <c r="E46" s="14"/>
    </row>
    <row r="47" spans="1:5" hidden="1" x14ac:dyDescent="0.3">
      <c r="A47" s="10">
        <v>5</v>
      </c>
      <c r="B47" s="3"/>
      <c r="C47" s="14" t="s">
        <v>34</v>
      </c>
      <c r="D47" s="14"/>
      <c r="E47" s="14">
        <v>0</v>
      </c>
    </row>
    <row r="48" spans="1:5" hidden="1" x14ac:dyDescent="0.3">
      <c r="A48" s="10"/>
      <c r="B48" s="3"/>
      <c r="C48" s="14"/>
      <c r="D48" s="14"/>
      <c r="E48" s="14"/>
    </row>
    <row r="49" spans="1:5" hidden="1" x14ac:dyDescent="0.3">
      <c r="A49" s="10">
        <v>6</v>
      </c>
      <c r="B49" s="3"/>
      <c r="C49" s="14" t="s">
        <v>27</v>
      </c>
      <c r="D49" s="14"/>
      <c r="E49" s="15">
        <f>SUM(E41:E47)</f>
        <v>4.5010563341356613E-2</v>
      </c>
    </row>
    <row r="50" spans="1:5" hidden="1" x14ac:dyDescent="0.3">
      <c r="A50" s="3"/>
      <c r="B50" s="3"/>
      <c r="C50" s="14"/>
      <c r="D50" s="14"/>
      <c r="E50" s="16"/>
    </row>
    <row r="51" spans="1:5" hidden="1" x14ac:dyDescent="0.3">
      <c r="A51" s="10">
        <v>7</v>
      </c>
      <c r="B51" s="3"/>
      <c r="C51" s="14" t="s">
        <v>28</v>
      </c>
      <c r="D51" s="14"/>
      <c r="E51" s="16">
        <f>E38-E49</f>
        <v>0.95498943665864333</v>
      </c>
    </row>
    <row r="52" spans="1:5" hidden="1" x14ac:dyDescent="0.3">
      <c r="A52" s="3"/>
      <c r="B52" s="3"/>
      <c r="C52" s="14"/>
      <c r="D52" s="14"/>
      <c r="E52" s="16"/>
    </row>
    <row r="53" spans="1:5" hidden="1" x14ac:dyDescent="0.3">
      <c r="A53" s="10">
        <v>8</v>
      </c>
      <c r="B53" s="3"/>
      <c r="C53" s="14" t="s">
        <v>29</v>
      </c>
      <c r="D53" s="17"/>
      <c r="E53" s="18">
        <f>ROUND(E51*0.35,6)</f>
        <v>0.33424599999999999</v>
      </c>
    </row>
    <row r="54" spans="1:5" hidden="1" x14ac:dyDescent="0.3">
      <c r="A54" s="3"/>
      <c r="B54" s="3"/>
      <c r="C54" s="14"/>
      <c r="D54" s="14"/>
      <c r="E54" s="16"/>
    </row>
    <row r="55" spans="1:5" ht="15" hidden="1" thickBot="1" x14ac:dyDescent="0.35">
      <c r="A55" s="10">
        <v>9</v>
      </c>
      <c r="B55" s="3"/>
      <c r="C55" s="13" t="s">
        <v>30</v>
      </c>
      <c r="D55" s="14"/>
      <c r="E55" s="21">
        <f>ROUND(E51-E53,5)</f>
        <v>0.62073999999999996</v>
      </c>
    </row>
    <row r="56" spans="1:5" hidden="1" x14ac:dyDescent="0.3">
      <c r="A56" s="20"/>
      <c r="B56" s="20"/>
      <c r="C56" s="20"/>
      <c r="D56" s="20"/>
      <c r="E56" s="20"/>
    </row>
    <row r="57" spans="1:5" hidden="1" x14ac:dyDescent="0.3">
      <c r="C57" t="s">
        <v>31</v>
      </c>
    </row>
    <row r="58" spans="1:5" hidden="1" x14ac:dyDescent="0.3">
      <c r="C58" t="s">
        <v>35</v>
      </c>
    </row>
    <row r="59" spans="1:5" hidden="1" x14ac:dyDescent="0.3">
      <c r="C59" t="s">
        <v>38</v>
      </c>
      <c r="E59">
        <f>1/E51</f>
        <v>1.0471320012699215</v>
      </c>
    </row>
    <row r="60" spans="1:5" hidden="1" x14ac:dyDescent="0.3"/>
    <row r="61" spans="1:5" hidden="1" x14ac:dyDescent="0.3">
      <c r="A61" s="142" t="s">
        <v>15</v>
      </c>
      <c r="B61" s="142"/>
      <c r="C61" s="142"/>
      <c r="D61" s="142"/>
      <c r="E61" s="142"/>
    </row>
    <row r="62" spans="1:5" hidden="1" x14ac:dyDescent="0.3">
      <c r="A62" s="143" t="s">
        <v>16</v>
      </c>
      <c r="B62" s="143"/>
      <c r="C62" s="143"/>
      <c r="D62" s="143"/>
      <c r="E62" s="143"/>
    </row>
    <row r="63" spans="1:5" ht="15.6" hidden="1" customHeight="1" x14ac:dyDescent="0.3">
      <c r="A63" s="144" t="s">
        <v>36</v>
      </c>
      <c r="B63" s="145"/>
      <c r="C63" s="144"/>
      <c r="D63" s="144"/>
      <c r="E63" s="144"/>
    </row>
    <row r="64" spans="1:5" hidden="1" x14ac:dyDescent="0.3">
      <c r="A64" s="3"/>
      <c r="B64" s="3"/>
      <c r="C64" s="3"/>
      <c r="D64" s="3"/>
      <c r="E64" s="4"/>
    </row>
    <row r="65" spans="1:5" hidden="1" x14ac:dyDescent="0.3">
      <c r="A65" s="5" t="s">
        <v>18</v>
      </c>
      <c r="B65" s="5"/>
      <c r="C65" s="5"/>
      <c r="D65" s="5"/>
      <c r="E65" s="6"/>
    </row>
    <row r="66" spans="1:5" hidden="1" x14ac:dyDescent="0.3">
      <c r="A66" s="7" t="s">
        <v>19</v>
      </c>
      <c r="B66" s="5"/>
      <c r="C66" s="7" t="s">
        <v>20</v>
      </c>
      <c r="D66" s="8"/>
      <c r="E66" s="9" t="s">
        <v>21</v>
      </c>
    </row>
    <row r="67" spans="1:5" hidden="1" x14ac:dyDescent="0.3">
      <c r="A67" s="3"/>
      <c r="B67" s="3"/>
      <c r="C67" s="3"/>
      <c r="D67" s="3"/>
      <c r="E67" s="4"/>
    </row>
    <row r="68" spans="1:5" hidden="1" x14ac:dyDescent="0.3">
      <c r="A68" s="10">
        <v>1</v>
      </c>
      <c r="B68" s="3"/>
      <c r="C68" s="11" t="s">
        <v>22</v>
      </c>
      <c r="D68" s="3"/>
      <c r="E68" s="12">
        <v>1</v>
      </c>
    </row>
    <row r="69" spans="1:5" hidden="1" x14ac:dyDescent="0.3">
      <c r="A69" s="10"/>
      <c r="B69" s="3"/>
      <c r="C69" s="3"/>
      <c r="D69" s="3"/>
      <c r="E69" s="12"/>
    </row>
    <row r="70" spans="1:5" hidden="1" x14ac:dyDescent="0.3">
      <c r="A70" s="10"/>
      <c r="B70" s="3"/>
      <c r="C70" s="13" t="s">
        <v>23</v>
      </c>
      <c r="D70" s="14"/>
      <c r="E70" s="12"/>
    </row>
    <row r="71" spans="1:5" hidden="1" x14ac:dyDescent="0.3">
      <c r="A71" s="10">
        <v>2</v>
      </c>
      <c r="B71" s="3"/>
      <c r="C71" s="14" t="s">
        <v>24</v>
      </c>
      <c r="D71" s="14"/>
      <c r="E71" s="14">
        <v>5.8552999999999999E-3</v>
      </c>
    </row>
    <row r="72" spans="1:5" hidden="1" x14ac:dyDescent="0.3">
      <c r="A72" s="10"/>
      <c r="B72" s="3"/>
      <c r="C72" s="14"/>
      <c r="D72" s="14"/>
      <c r="E72" s="14"/>
    </row>
    <row r="73" spans="1:5" hidden="1" x14ac:dyDescent="0.3">
      <c r="A73" s="10">
        <v>3</v>
      </c>
      <c r="B73" s="3"/>
      <c r="C73" s="14" t="s">
        <v>25</v>
      </c>
      <c r="D73" s="14"/>
      <c r="E73" s="14">
        <v>2E-3</v>
      </c>
    </row>
    <row r="74" spans="1:5" hidden="1" x14ac:dyDescent="0.3">
      <c r="A74" s="10"/>
      <c r="B74" s="3"/>
      <c r="C74" s="14"/>
      <c r="D74" s="14"/>
      <c r="E74" s="14"/>
    </row>
    <row r="75" spans="1:5" hidden="1" x14ac:dyDescent="0.3">
      <c r="A75" s="10">
        <v>4</v>
      </c>
      <c r="B75" s="3"/>
      <c r="C75" s="14" t="s">
        <v>26</v>
      </c>
      <c r="D75" s="14"/>
      <c r="E75" s="14">
        <v>3.8507300000000001E-2</v>
      </c>
    </row>
    <row r="76" spans="1:5" hidden="1" x14ac:dyDescent="0.3">
      <c r="A76" s="10"/>
      <c r="B76" s="3"/>
      <c r="C76" s="14"/>
      <c r="D76" s="14"/>
      <c r="E76" s="14"/>
    </row>
    <row r="77" spans="1:5" hidden="1" x14ac:dyDescent="0.3">
      <c r="A77" s="10">
        <v>5</v>
      </c>
      <c r="B77" s="3"/>
      <c r="C77" s="14" t="s">
        <v>27</v>
      </c>
      <c r="D77" s="14"/>
      <c r="E77" s="15">
        <f>SUM(E71:E75)</f>
        <v>4.6362600000000004E-2</v>
      </c>
    </row>
    <row r="78" spans="1:5" hidden="1" x14ac:dyDescent="0.3">
      <c r="A78" s="10"/>
      <c r="B78" s="3"/>
      <c r="C78" s="14"/>
      <c r="D78" s="14"/>
      <c r="E78" s="16"/>
    </row>
    <row r="79" spans="1:5" hidden="1" x14ac:dyDescent="0.3">
      <c r="A79" s="10">
        <v>6</v>
      </c>
      <c r="B79" s="3"/>
      <c r="C79" s="14" t="s">
        <v>28</v>
      </c>
      <c r="D79" s="14"/>
      <c r="E79" s="16">
        <f>E68-E77</f>
        <v>0.95363739999999997</v>
      </c>
    </row>
    <row r="80" spans="1:5" hidden="1" x14ac:dyDescent="0.3">
      <c r="A80" s="3"/>
      <c r="B80" s="3"/>
      <c r="C80" s="14"/>
      <c r="D80" s="14"/>
      <c r="E80" s="16"/>
    </row>
    <row r="81" spans="1:5" hidden="1" x14ac:dyDescent="0.3">
      <c r="A81" s="10">
        <v>7</v>
      </c>
      <c r="B81" s="3"/>
      <c r="C81" s="14" t="s">
        <v>29</v>
      </c>
      <c r="D81" s="17"/>
      <c r="E81" s="18">
        <f>ROUND(E79*0.35,6)</f>
        <v>0.33377299999999999</v>
      </c>
    </row>
    <row r="82" spans="1:5" hidden="1" x14ac:dyDescent="0.3">
      <c r="A82" s="3"/>
      <c r="B82" s="3"/>
      <c r="C82" s="14"/>
      <c r="D82" s="14"/>
      <c r="E82" s="16"/>
    </row>
    <row r="83" spans="1:5" ht="15" hidden="1" thickBot="1" x14ac:dyDescent="0.35">
      <c r="A83" s="10">
        <v>8</v>
      </c>
      <c r="B83" s="3"/>
      <c r="C83" s="13" t="s">
        <v>30</v>
      </c>
      <c r="D83" s="14"/>
      <c r="E83" s="23">
        <f>ROUND(E79-E81,6)</f>
        <v>0.61986399999999997</v>
      </c>
    </row>
    <row r="84" spans="1:5" hidden="1" x14ac:dyDescent="0.3"/>
    <row r="85" spans="1:5" hidden="1" x14ac:dyDescent="0.3">
      <c r="C85" t="s">
        <v>37</v>
      </c>
    </row>
    <row r="86" spans="1:5" hidden="1" x14ac:dyDescent="0.3">
      <c r="C86" t="s">
        <v>35</v>
      </c>
    </row>
    <row r="87" spans="1:5" hidden="1" x14ac:dyDescent="0.3">
      <c r="C87" t="s">
        <v>38</v>
      </c>
      <c r="E87">
        <f>1/E79</f>
        <v>1.0486165915892141</v>
      </c>
    </row>
    <row r="88" spans="1:5" hidden="1" x14ac:dyDescent="0.3"/>
    <row r="89" spans="1:5" x14ac:dyDescent="0.3">
      <c r="A89" s="1" t="s">
        <v>14</v>
      </c>
      <c r="B89" s="1"/>
      <c r="C89" s="1"/>
      <c r="D89" s="1"/>
      <c r="E89" s="2"/>
    </row>
    <row r="90" spans="1:5" x14ac:dyDescent="0.3">
      <c r="A90" s="1" t="s">
        <v>15</v>
      </c>
      <c r="B90" s="1"/>
      <c r="C90" s="1"/>
      <c r="D90" s="1"/>
      <c r="E90" s="2"/>
    </row>
    <row r="91" spans="1:5" x14ac:dyDescent="0.3">
      <c r="A91" s="1" t="s">
        <v>16</v>
      </c>
      <c r="B91" s="1"/>
      <c r="C91" s="1"/>
      <c r="D91" s="1"/>
      <c r="E91" s="2"/>
    </row>
    <row r="92" spans="1:5" x14ac:dyDescent="0.3">
      <c r="A92" s="1" t="s">
        <v>115</v>
      </c>
      <c r="B92" s="1"/>
      <c r="C92" s="1"/>
      <c r="D92" s="1"/>
      <c r="E92" s="2"/>
    </row>
    <row r="93" spans="1:5" x14ac:dyDescent="0.3">
      <c r="A93" s="3"/>
      <c r="B93" s="3"/>
      <c r="C93" s="3"/>
      <c r="D93" s="3"/>
      <c r="E93" s="4"/>
    </row>
    <row r="94" spans="1:5" x14ac:dyDescent="0.3">
      <c r="A94" s="5" t="s">
        <v>18</v>
      </c>
      <c r="B94" s="5"/>
      <c r="C94" s="5"/>
      <c r="D94" s="5"/>
      <c r="E94" s="6"/>
    </row>
    <row r="95" spans="1:5" x14ac:dyDescent="0.3">
      <c r="A95" s="7" t="s">
        <v>19</v>
      </c>
      <c r="B95" s="5"/>
      <c r="C95" s="7" t="s">
        <v>20</v>
      </c>
      <c r="D95" s="8"/>
      <c r="E95" s="9" t="s">
        <v>21</v>
      </c>
    </row>
    <row r="96" spans="1:5" x14ac:dyDescent="0.3">
      <c r="A96" s="3"/>
      <c r="B96" s="3"/>
      <c r="C96" s="3"/>
      <c r="D96" s="3"/>
      <c r="E96" s="4"/>
    </row>
    <row r="97" spans="1:5" x14ac:dyDescent="0.3">
      <c r="A97" s="10">
        <v>1</v>
      </c>
      <c r="B97" s="3"/>
      <c r="C97" s="11" t="s">
        <v>22</v>
      </c>
      <c r="D97" s="3"/>
      <c r="E97" s="12">
        <v>1</v>
      </c>
    </row>
    <row r="98" spans="1:5" x14ac:dyDescent="0.3">
      <c r="A98" s="10"/>
      <c r="B98" s="3"/>
      <c r="C98" s="3"/>
      <c r="D98" s="3"/>
      <c r="E98" s="12"/>
    </row>
    <row r="99" spans="1:5" x14ac:dyDescent="0.3">
      <c r="A99" s="10"/>
      <c r="B99" s="3"/>
      <c r="C99" s="13" t="s">
        <v>23</v>
      </c>
      <c r="D99" s="14"/>
      <c r="E99" s="12"/>
    </row>
    <row r="100" spans="1:5" x14ac:dyDescent="0.3">
      <c r="A100" s="10">
        <v>2</v>
      </c>
      <c r="B100" s="3"/>
      <c r="C100" s="14" t="s">
        <v>24</v>
      </c>
      <c r="D100" s="14"/>
      <c r="E100" s="101">
        <v>6.1828076488528987E-3</v>
      </c>
    </row>
    <row r="101" spans="1:5" x14ac:dyDescent="0.3">
      <c r="A101" s="10"/>
      <c r="B101" s="3"/>
      <c r="C101" s="14"/>
      <c r="D101" s="14"/>
      <c r="E101" s="101"/>
    </row>
    <row r="102" spans="1:5" x14ac:dyDescent="0.3">
      <c r="A102" s="10">
        <v>3</v>
      </c>
      <c r="B102" s="3"/>
      <c r="C102" s="14" t="s">
        <v>25</v>
      </c>
      <c r="D102" s="14"/>
      <c r="E102" s="101">
        <v>2E-3</v>
      </c>
    </row>
    <row r="103" spans="1:5" x14ac:dyDescent="0.3">
      <c r="A103" s="10"/>
      <c r="B103" s="3"/>
      <c r="C103" s="14"/>
      <c r="D103" s="14"/>
      <c r="E103" s="101"/>
    </row>
    <row r="104" spans="1:5" x14ac:dyDescent="0.3">
      <c r="A104" s="10">
        <v>4</v>
      </c>
      <c r="B104" s="3"/>
      <c r="C104" s="14" t="s">
        <v>26</v>
      </c>
      <c r="D104" s="14"/>
      <c r="E104" s="101">
        <v>3.8494515128529326E-2</v>
      </c>
    </row>
    <row r="105" spans="1:5" x14ac:dyDescent="0.3">
      <c r="A105" s="10"/>
      <c r="B105" s="3"/>
      <c r="C105" s="14"/>
      <c r="D105" s="14"/>
      <c r="E105" s="14"/>
    </row>
    <row r="106" spans="1:5" x14ac:dyDescent="0.3">
      <c r="A106" s="10">
        <v>5</v>
      </c>
      <c r="B106" s="3"/>
      <c r="C106" s="14" t="s">
        <v>27</v>
      </c>
      <c r="D106" s="14"/>
      <c r="E106" s="15">
        <f>SUM(E100:E105)</f>
        <v>4.6677322777382221E-2</v>
      </c>
    </row>
    <row r="107" spans="1:5" x14ac:dyDescent="0.3">
      <c r="A107" s="3"/>
      <c r="B107" s="3"/>
      <c r="C107" s="14"/>
      <c r="D107" s="14"/>
      <c r="E107" s="16"/>
    </row>
    <row r="108" spans="1:5" x14ac:dyDescent="0.3">
      <c r="A108" s="10">
        <v>6</v>
      </c>
      <c r="B108" s="3"/>
      <c r="C108" s="14" t="s">
        <v>28</v>
      </c>
      <c r="D108" s="14"/>
      <c r="E108" s="16">
        <f>E97-E106</f>
        <v>0.95332267722261776</v>
      </c>
    </row>
    <row r="109" spans="1:5" x14ac:dyDescent="0.3">
      <c r="A109" s="3"/>
      <c r="B109" s="3"/>
      <c r="C109" s="14"/>
      <c r="D109" s="14"/>
      <c r="E109" s="16"/>
    </row>
    <row r="110" spans="1:5" x14ac:dyDescent="0.3">
      <c r="A110" s="10">
        <v>7</v>
      </c>
      <c r="B110" s="3"/>
      <c r="C110" s="14" t="s">
        <v>29</v>
      </c>
      <c r="D110" s="17"/>
      <c r="E110" s="18">
        <f>ROUND(E108*0.35,6)</f>
        <v>0.33366299999999999</v>
      </c>
    </row>
    <row r="111" spans="1:5" x14ac:dyDescent="0.3">
      <c r="A111" s="3"/>
      <c r="B111" s="3"/>
      <c r="C111" s="14"/>
      <c r="D111" s="14"/>
      <c r="E111" s="16"/>
    </row>
    <row r="112" spans="1:5" ht="15" thickBot="1" x14ac:dyDescent="0.35">
      <c r="A112" s="10">
        <v>8</v>
      </c>
      <c r="B112" s="3"/>
      <c r="C112" s="13" t="s">
        <v>30</v>
      </c>
      <c r="D112" s="14"/>
      <c r="E112" s="24">
        <f>ROUND(E108-E110,6)</f>
        <v>0.61965999999999999</v>
      </c>
    </row>
    <row r="113" spans="1:5" ht="15" thickTop="1" x14ac:dyDescent="0.3">
      <c r="A113" s="3"/>
      <c r="B113" s="3"/>
      <c r="C113" s="3"/>
      <c r="D113" s="3"/>
      <c r="E113" s="4"/>
    </row>
    <row r="114" spans="1:5" x14ac:dyDescent="0.3">
      <c r="A114" s="75">
        <v>9</v>
      </c>
      <c r="C114" t="s">
        <v>38</v>
      </c>
      <c r="E114">
        <f>ROUND(1/E108,6)</f>
        <v>1.0489630000000001</v>
      </c>
    </row>
    <row r="116" spans="1:5" x14ac:dyDescent="0.3">
      <c r="A116" t="s">
        <v>144</v>
      </c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9">
    <mergeCell ref="A61:E61"/>
    <mergeCell ref="A62:E62"/>
    <mergeCell ref="A63:E63"/>
    <mergeCell ref="A32:E32"/>
    <mergeCell ref="A2:E2"/>
    <mergeCell ref="A3:E3"/>
    <mergeCell ref="A4:E4"/>
    <mergeCell ref="A31:E31"/>
    <mergeCell ref="A33:E33"/>
  </mergeCells>
  <printOptions horizontalCentered="1"/>
  <pageMargins left="0.7" right="0.7" top="0.75" bottom="0.75" header="0.3" footer="0.3"/>
  <pageSetup orientation="portrait" r:id="rId3"/>
  <headerFooter>
    <oddFooter>&amp;CATTACHMENT A&amp;RPage 8 of 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M38"/>
  <sheetViews>
    <sheetView tabSelected="1" topLeftCell="A9" workbookViewId="0">
      <selection sqref="A1:A2"/>
    </sheetView>
  </sheetViews>
  <sheetFormatPr defaultRowHeight="14.4" x14ac:dyDescent="0.3"/>
  <cols>
    <col min="1" max="1" width="2.109375" customWidth="1"/>
    <col min="2" max="2" width="23.33203125" customWidth="1"/>
    <col min="3" max="3" width="8.44140625" customWidth="1"/>
    <col min="4" max="4" width="13.77734375" customWidth="1"/>
    <col min="5" max="5" width="10" customWidth="1"/>
    <col min="6" max="7" width="11.5546875" customWidth="1"/>
    <col min="8" max="8" width="12.6640625" customWidth="1"/>
    <col min="9" max="9" width="12.21875" customWidth="1"/>
    <col min="10" max="10" width="12.33203125" customWidth="1"/>
    <col min="11" max="11" width="2.5546875" customWidth="1"/>
    <col min="12" max="12" width="13.21875" customWidth="1"/>
    <col min="13" max="13" width="8.109375" customWidth="1"/>
  </cols>
  <sheetData>
    <row r="1" spans="2:13" x14ac:dyDescent="0.3">
      <c r="B1" t="s">
        <v>0</v>
      </c>
    </row>
    <row r="2" spans="2:13" x14ac:dyDescent="0.3">
      <c r="B2" t="s">
        <v>150</v>
      </c>
    </row>
    <row r="3" spans="2:13" x14ac:dyDescent="0.3">
      <c r="B3" t="s">
        <v>151</v>
      </c>
    </row>
    <row r="4" spans="2:13" x14ac:dyDescent="0.3">
      <c r="B4" t="s">
        <v>42</v>
      </c>
    </row>
    <row r="6" spans="2:13" x14ac:dyDescent="0.3">
      <c r="D6" s="104" t="s">
        <v>152</v>
      </c>
      <c r="E6" s="104" t="s">
        <v>153</v>
      </c>
      <c r="F6" s="104" t="s">
        <v>154</v>
      </c>
      <c r="G6" s="104" t="s">
        <v>155</v>
      </c>
      <c r="H6" s="104" t="s">
        <v>156</v>
      </c>
      <c r="I6" s="104" t="s">
        <v>156</v>
      </c>
      <c r="J6" s="104" t="s">
        <v>157</v>
      </c>
      <c r="L6" s="104" t="s">
        <v>154</v>
      </c>
    </row>
    <row r="7" spans="2:13" x14ac:dyDescent="0.3">
      <c r="B7" s="105" t="s">
        <v>158</v>
      </c>
      <c r="C7" s="105" t="s">
        <v>159</v>
      </c>
      <c r="D7" s="104" t="s">
        <v>160</v>
      </c>
      <c r="E7" s="104" t="s">
        <v>152</v>
      </c>
      <c r="F7" s="104" t="s">
        <v>152</v>
      </c>
      <c r="G7" s="104" t="s">
        <v>152</v>
      </c>
      <c r="H7" s="104" t="s">
        <v>152</v>
      </c>
      <c r="I7" s="104" t="s">
        <v>152</v>
      </c>
      <c r="J7" s="104" t="s">
        <v>161</v>
      </c>
      <c r="L7" s="104" t="s">
        <v>162</v>
      </c>
    </row>
    <row r="8" spans="2:13" x14ac:dyDescent="0.3">
      <c r="B8" s="106" t="s">
        <v>163</v>
      </c>
      <c r="C8" s="106" t="s">
        <v>164</v>
      </c>
      <c r="D8" s="107" t="s">
        <v>165</v>
      </c>
      <c r="E8" s="107" t="s">
        <v>161</v>
      </c>
      <c r="F8" s="107" t="s">
        <v>166</v>
      </c>
      <c r="G8" s="107" t="s">
        <v>167</v>
      </c>
      <c r="H8" s="107" t="s">
        <v>166</v>
      </c>
      <c r="I8" s="107" t="s">
        <v>161</v>
      </c>
      <c r="J8" s="108" t="s">
        <v>168</v>
      </c>
      <c r="L8" s="109" t="s">
        <v>166</v>
      </c>
    </row>
    <row r="9" spans="2:13" x14ac:dyDescent="0.3">
      <c r="B9" s="105" t="s">
        <v>169</v>
      </c>
      <c r="C9" s="105" t="s">
        <v>170</v>
      </c>
      <c r="D9" s="105" t="s">
        <v>171</v>
      </c>
      <c r="E9" s="105" t="s">
        <v>172</v>
      </c>
      <c r="F9" s="105" t="s">
        <v>173</v>
      </c>
      <c r="G9" s="105" t="s">
        <v>174</v>
      </c>
      <c r="H9" s="105" t="s">
        <v>175</v>
      </c>
      <c r="I9" s="105" t="s">
        <v>176</v>
      </c>
      <c r="J9" s="109" t="s">
        <v>177</v>
      </c>
    </row>
    <row r="10" spans="2:13" x14ac:dyDescent="0.3">
      <c r="B10" s="110"/>
      <c r="C10" s="105"/>
    </row>
    <row r="11" spans="2:13" x14ac:dyDescent="0.3">
      <c r="B11" s="110" t="s">
        <v>121</v>
      </c>
      <c r="C11" s="111" t="s">
        <v>178</v>
      </c>
      <c r="D11" s="112">
        <v>2452572967</v>
      </c>
      <c r="E11" s="113">
        <v>2.63E-3</v>
      </c>
      <c r="F11" s="45">
        <f>D11*E11</f>
        <v>6450266.9032100001</v>
      </c>
      <c r="G11" s="65">
        <f>H11-F11</f>
        <v>4463682.7999400003</v>
      </c>
      <c r="H11" s="38">
        <f>D11*I11</f>
        <v>10913949.70315</v>
      </c>
      <c r="I11" s="114">
        <v>4.45E-3</v>
      </c>
      <c r="J11" s="115">
        <f>ROUND(I11-E11,5)</f>
        <v>1.82E-3</v>
      </c>
      <c r="L11" s="45">
        <v>223399000</v>
      </c>
      <c r="M11" s="126">
        <f>G11/L11</f>
        <v>1.9980764461524001E-2</v>
      </c>
    </row>
    <row r="12" spans="2:13" x14ac:dyDescent="0.3">
      <c r="B12" s="110"/>
      <c r="C12" s="105"/>
      <c r="F12" s="45"/>
      <c r="G12" s="45"/>
      <c r="H12" s="38"/>
      <c r="I12" s="114"/>
      <c r="J12" s="115"/>
      <c r="L12" s="45"/>
      <c r="M12" s="36"/>
    </row>
    <row r="13" spans="2:13" x14ac:dyDescent="0.3">
      <c r="B13" s="110" t="s">
        <v>179</v>
      </c>
      <c r="C13" s="116" t="s">
        <v>180</v>
      </c>
      <c r="D13" s="112">
        <v>625621443</v>
      </c>
      <c r="E13" s="113">
        <v>-1.4300000000000001E-3</v>
      </c>
      <c r="F13" s="45">
        <f t="shared" ref="F13:F17" si="0">D13*E13</f>
        <v>-894638.66349000006</v>
      </c>
      <c r="G13" s="45">
        <f>H13-F13</f>
        <v>1144887.2406900001</v>
      </c>
      <c r="H13" s="38">
        <f>D13*I13</f>
        <v>250248.5772</v>
      </c>
      <c r="I13" s="114">
        <v>4.0000000000000002E-4</v>
      </c>
      <c r="J13" s="115">
        <f t="shared" ref="J13:J17" si="1">I13-E13</f>
        <v>1.83E-3</v>
      </c>
      <c r="L13" s="45">
        <v>76257000</v>
      </c>
      <c r="M13" s="36">
        <f t="shared" ref="M13:M25" si="2">G13/L13</f>
        <v>1.5013536340139267E-2</v>
      </c>
    </row>
    <row r="14" spans="2:13" x14ac:dyDescent="0.3">
      <c r="B14" s="110"/>
      <c r="C14" s="105"/>
      <c r="F14" s="45"/>
      <c r="G14" s="45"/>
      <c r="H14" s="38"/>
      <c r="I14" s="114"/>
      <c r="J14" s="115"/>
      <c r="L14" s="45"/>
      <c r="M14" s="36"/>
    </row>
    <row r="15" spans="2:13" x14ac:dyDescent="0.3">
      <c r="B15" s="110" t="s">
        <v>181</v>
      </c>
      <c r="C15" s="111" t="s">
        <v>182</v>
      </c>
      <c r="D15" s="112">
        <v>1405378196</v>
      </c>
      <c r="E15" s="113">
        <v>-1.4300000000000001E-3</v>
      </c>
      <c r="F15" s="45">
        <f t="shared" si="0"/>
        <v>-2009690.8202800001</v>
      </c>
      <c r="G15" s="45">
        <f>H15-F15</f>
        <v>2571842.0986800003</v>
      </c>
      <c r="H15" s="38">
        <f>D15*I15</f>
        <v>562151.27840000007</v>
      </c>
      <c r="I15" s="114">
        <v>4.0000000000000002E-4</v>
      </c>
      <c r="J15" s="115">
        <f t="shared" si="1"/>
        <v>1.83E-3</v>
      </c>
      <c r="L15" s="45">
        <v>130500000</v>
      </c>
      <c r="M15" s="36">
        <f t="shared" si="2"/>
        <v>1.9707602288735634E-2</v>
      </c>
    </row>
    <row r="16" spans="2:13" x14ac:dyDescent="0.3">
      <c r="B16" s="110"/>
      <c r="C16" s="105"/>
      <c r="F16" s="45"/>
      <c r="G16" s="45"/>
      <c r="H16" s="38"/>
      <c r="I16" s="114"/>
      <c r="J16" s="115"/>
      <c r="L16" s="45"/>
      <c r="M16" s="36"/>
    </row>
    <row r="17" spans="2:13" x14ac:dyDescent="0.3">
      <c r="B17" s="110" t="s">
        <v>183</v>
      </c>
      <c r="C17" s="111" t="s">
        <v>184</v>
      </c>
      <c r="D17" s="112">
        <v>129029189</v>
      </c>
      <c r="E17" s="113">
        <v>-1.4300000000000001E-3</v>
      </c>
      <c r="F17" s="45">
        <f t="shared" si="0"/>
        <v>-184511.74027000001</v>
      </c>
      <c r="G17" s="45">
        <f>H17-F17</f>
        <v>236123.41587000003</v>
      </c>
      <c r="H17" s="38">
        <f>D17*I17</f>
        <v>51611.675600000002</v>
      </c>
      <c r="I17" s="114">
        <v>4.0000000000000002E-4</v>
      </c>
      <c r="J17" s="115">
        <f t="shared" si="1"/>
        <v>1.83E-3</v>
      </c>
      <c r="L17" s="45">
        <v>11192000</v>
      </c>
      <c r="M17" s="36">
        <f t="shared" si="2"/>
        <v>2.1097517500893496E-2</v>
      </c>
    </row>
    <row r="18" spans="2:13" x14ac:dyDescent="0.3">
      <c r="B18" s="110"/>
      <c r="C18" s="111"/>
      <c r="D18" s="112"/>
      <c r="E18" s="113"/>
      <c r="F18" s="45"/>
      <c r="G18" s="45"/>
      <c r="H18" s="38"/>
      <c r="I18" s="114"/>
      <c r="J18" s="115"/>
      <c r="L18" s="45"/>
      <c r="M18" s="36"/>
    </row>
    <row r="19" spans="2:13" x14ac:dyDescent="0.3">
      <c r="B19" s="110" t="s">
        <v>185</v>
      </c>
      <c r="C19" s="111">
        <v>25</v>
      </c>
      <c r="D19" s="117" t="s">
        <v>186</v>
      </c>
      <c r="E19" s="113"/>
      <c r="F19" s="45"/>
      <c r="G19" s="45"/>
      <c r="H19" s="38"/>
      <c r="I19" s="114"/>
      <c r="J19" s="115"/>
      <c r="L19" s="45">
        <v>66995000</v>
      </c>
      <c r="M19" s="36">
        <v>0</v>
      </c>
    </row>
    <row r="20" spans="2:13" x14ac:dyDescent="0.3">
      <c r="B20" s="110"/>
      <c r="C20" s="111"/>
      <c r="D20" s="117"/>
      <c r="E20" s="113"/>
      <c r="F20" s="45"/>
      <c r="G20" s="45"/>
      <c r="H20" s="38"/>
      <c r="I20" s="114"/>
      <c r="J20" s="115"/>
      <c r="L20" s="45"/>
      <c r="M20" s="36"/>
    </row>
    <row r="21" spans="2:13" x14ac:dyDescent="0.3">
      <c r="B21" s="110" t="s">
        <v>187</v>
      </c>
      <c r="C21" s="111" t="s">
        <v>188</v>
      </c>
      <c r="D21" s="117" t="s">
        <v>186</v>
      </c>
      <c r="E21" s="113"/>
      <c r="F21" s="45"/>
      <c r="G21" s="45"/>
      <c r="H21" s="38"/>
      <c r="I21" s="114"/>
      <c r="J21" s="115"/>
      <c r="L21" s="65">
        <v>7218000</v>
      </c>
      <c r="M21" s="36">
        <v>0</v>
      </c>
    </row>
    <row r="22" spans="2:13" x14ac:dyDescent="0.3">
      <c r="B22" s="110"/>
      <c r="C22" s="105"/>
      <c r="L22" s="45"/>
      <c r="M22" s="36"/>
    </row>
    <row r="23" spans="2:13" x14ac:dyDescent="0.3">
      <c r="B23" s="118" t="s">
        <v>57</v>
      </c>
      <c r="C23" s="105"/>
      <c r="D23" s="112">
        <f>SUM(D11:D17)</f>
        <v>4612601795</v>
      </c>
      <c r="F23" s="38">
        <f>SUM(F11:F17)</f>
        <v>3361425.6791699999</v>
      </c>
      <c r="G23" s="38">
        <f>SUM(G11:G17)</f>
        <v>8416535.5551800001</v>
      </c>
      <c r="H23" s="38">
        <f>SUM(H11:H17)</f>
        <v>11777961.23435</v>
      </c>
      <c r="L23" s="119">
        <f>SUM(L11:L21)</f>
        <v>515561000</v>
      </c>
      <c r="M23" s="36">
        <f t="shared" si="2"/>
        <v>1.6325004325734492E-2</v>
      </c>
    </row>
    <row r="25" spans="2:13" x14ac:dyDescent="0.3">
      <c r="B25" t="s">
        <v>189</v>
      </c>
      <c r="D25" s="112">
        <f>SUM(D13:D17)</f>
        <v>2160028828</v>
      </c>
      <c r="F25" s="38">
        <f>SUM(F13:F17)</f>
        <v>-3088841.2240400002</v>
      </c>
      <c r="G25" s="119">
        <f t="shared" ref="G25:H25" si="3">SUM(G13:G17)</f>
        <v>3952852.7552400003</v>
      </c>
      <c r="H25" s="38">
        <f t="shared" si="3"/>
        <v>864011.53120000008</v>
      </c>
      <c r="L25" s="38">
        <f t="shared" ref="L25" si="4">SUM(L13:L17)</f>
        <v>217949000</v>
      </c>
      <c r="M25" s="126">
        <f t="shared" si="2"/>
        <v>1.8136595053154639E-2</v>
      </c>
    </row>
    <row r="27" spans="2:13" x14ac:dyDescent="0.3">
      <c r="G27" s="36"/>
      <c r="H27" s="104" t="s">
        <v>190</v>
      </c>
      <c r="J27" s="89" t="s">
        <v>191</v>
      </c>
      <c r="K27" s="120"/>
    </row>
    <row r="28" spans="2:13" x14ac:dyDescent="0.3">
      <c r="G28" s="121"/>
      <c r="H28" s="122" t="s">
        <v>192</v>
      </c>
      <c r="I28" s="123">
        <v>8.5</v>
      </c>
      <c r="J28" s="123">
        <f>I28</f>
        <v>8.5</v>
      </c>
      <c r="K28" s="120"/>
      <c r="L28" s="96"/>
    </row>
    <row r="29" spans="2:13" x14ac:dyDescent="0.3">
      <c r="G29" s="36"/>
      <c r="H29" s="122" t="s">
        <v>193</v>
      </c>
      <c r="I29" s="47">
        <v>7.986E-2</v>
      </c>
      <c r="J29" s="123">
        <f>ROUND(800*I29,2)</f>
        <v>63.89</v>
      </c>
    </row>
    <row r="30" spans="2:13" x14ac:dyDescent="0.3">
      <c r="H30" s="122" t="s">
        <v>194</v>
      </c>
      <c r="I30" s="47">
        <v>9.1939999999999994E-2</v>
      </c>
      <c r="J30" s="123">
        <f>ROUND(138*I30,2)</f>
        <v>12.69</v>
      </c>
    </row>
    <row r="31" spans="2:13" x14ac:dyDescent="0.3">
      <c r="H31" s="122" t="s">
        <v>195</v>
      </c>
      <c r="I31" s="47">
        <v>0.10675999999999999</v>
      </c>
      <c r="J31" s="123">
        <f>ROUND(0*I31,2)</f>
        <v>0</v>
      </c>
    </row>
    <row r="32" spans="2:13" x14ac:dyDescent="0.3">
      <c r="H32" s="104" t="s">
        <v>196</v>
      </c>
      <c r="J32" s="124">
        <f>SUM(J28:J31)</f>
        <v>85.08</v>
      </c>
    </row>
    <row r="33" spans="8:12" x14ac:dyDescent="0.3">
      <c r="H33" s="122" t="s">
        <v>197</v>
      </c>
      <c r="I33" s="115">
        <f>J11</f>
        <v>1.82E-3</v>
      </c>
      <c r="J33" s="123">
        <f>ROUND(I33*938,2)</f>
        <v>1.71</v>
      </c>
    </row>
    <row r="34" spans="8:12" x14ac:dyDescent="0.3">
      <c r="H34" s="104" t="s">
        <v>198</v>
      </c>
      <c r="J34" s="124">
        <f>J32+J33</f>
        <v>86.789999999999992</v>
      </c>
      <c r="L34" s="120"/>
    </row>
    <row r="35" spans="8:12" x14ac:dyDescent="0.3">
      <c r="H35" s="104" t="s">
        <v>199</v>
      </c>
      <c r="J35" s="36">
        <f>J33/J32</f>
        <v>2.0098730606488011E-2</v>
      </c>
    </row>
    <row r="36" spans="8:12" x14ac:dyDescent="0.3">
      <c r="J36" s="125"/>
    </row>
    <row r="37" spans="8:12" x14ac:dyDescent="0.3">
      <c r="J37" s="125"/>
    </row>
    <row r="38" spans="8:12" x14ac:dyDescent="0.3">
      <c r="J38" s="96"/>
      <c r="L38" s="36"/>
    </row>
  </sheetData>
  <printOptions horizontalCentered="1"/>
  <pageMargins left="0.45" right="0.45" top="0.75" bottom="0.75" header="0.3" footer="0.55000000000000004"/>
  <pageSetup scale="90" orientation="landscape" r:id="rId1"/>
  <headerFooter>
    <oddFooter>&amp;CATTACHMENT A&amp;RPage 9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7B837391B43C40BB419ACE91278EB2" ma:contentTypeVersion="104" ma:contentTypeDescription="" ma:contentTypeScope="" ma:versionID="be9dac51bf4f7b15c7a9843203da27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170939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CC6FB46-95B2-4F87-9B2F-F487D4943A7A}"/>
</file>

<file path=customXml/itemProps2.xml><?xml version="1.0" encoding="utf-8"?>
<ds:datastoreItem xmlns:ds="http://schemas.openxmlformats.org/officeDocument/2006/customXml" ds:itemID="{1DFE4C82-ACA9-474A-9F5C-89B73345F928}"/>
</file>

<file path=customXml/itemProps3.xml><?xml version="1.0" encoding="utf-8"?>
<ds:datastoreItem xmlns:ds="http://schemas.openxmlformats.org/officeDocument/2006/customXml" ds:itemID="{0423F930-C55E-44AE-816F-361326FC1913}"/>
</file>

<file path=customXml/itemProps4.xml><?xml version="1.0" encoding="utf-8"?>
<ds:datastoreItem xmlns:ds="http://schemas.openxmlformats.org/officeDocument/2006/customXml" ds:itemID="{36B079FE-8893-4ABC-9318-C583E6ACD7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5 15 17 Forecast Usage by Sched</vt:lpstr>
      <vt:lpstr>Electric 2017 Rate Calc</vt:lpstr>
      <vt:lpstr>Prior Year Amortization</vt:lpstr>
      <vt:lpstr>Earnings Test and 3% Test</vt:lpstr>
      <vt:lpstr>Conversion Factor</vt:lpstr>
      <vt:lpstr>Bill Impact</vt:lpstr>
      <vt:lpstr>'Conversion Factor'!Print_Area</vt:lpstr>
      <vt:lpstr>'Earnings Test and 3% Test'!Print_Area</vt:lpstr>
      <vt:lpstr>'Electric 2017 Rate Calc'!Print_Area</vt:lpstr>
      <vt:lpstr>'Earnings Test and 3% Test'!Print_Titles</vt:lpstr>
      <vt:lpstr>'Electric 2017 Rate Calc'!Print_Titles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2017-08-29T18:24:53Z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0x0101006E56B4D1795A2E4DB2F0B01679ED314A009C7B837391B43C40BB419ACE91278EB2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