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280" windowHeight="10545" activeTab="4"/>
  </bookViews>
  <sheets>
    <sheet name="References" sheetId="4" r:id="rId1"/>
    <sheet name="G-48 DF Calc" sheetId="1" r:id="rId2"/>
    <sheet name="Rate Schedule G-48" sheetId="3" r:id="rId3"/>
    <sheet name=" Staff G-48 Price Out" sheetId="2" r:id="rId4"/>
    <sheet name="Disposal Schedule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1" hidden="1">#REF!</definedName>
    <definedName name="_132Graph_h" hidden="1">#REF!</definedName>
    <definedName name="_ACT1" localSheetId="1">[4]Hidden!#REF!</definedName>
    <definedName name="_ACT1" localSheetId="0">[5]Hidden!#REF!</definedName>
    <definedName name="_ACT1">[4]Hidden!#REF!</definedName>
    <definedName name="_ACT2" localSheetId="1">[4]Hidden!#REF!</definedName>
    <definedName name="_ACT2" localSheetId="0">[5]Hidden!#REF!</definedName>
    <definedName name="_ACT2">[4]Hidden!#REF!</definedName>
    <definedName name="_ACT3" localSheetId="1">[4]Hidden!#REF!</definedName>
    <definedName name="_ACT3" localSheetId="0">[5]Hidden!#REF!</definedName>
    <definedName name="_ACT3">[4]Hidden!#REF!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1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1" hidden="1">#REF!</definedName>
    <definedName name="_max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1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1">[4]Hidden!#REF!</definedName>
    <definedName name="ACCT" localSheetId="0">[5]Hidden!#REF!</definedName>
    <definedName name="ACCT">[4]Hidden!#REF!</definedName>
    <definedName name="ACCT.ConsolSum">[1]Hidden!$Q$11</definedName>
    <definedName name="ACT_CUR" localSheetId="1">[4]Hidden!#REF!</definedName>
    <definedName name="ACT_CUR" localSheetId="0">[5]Hidden!#REF!</definedName>
    <definedName name="ACT_CUR">[4]Hidden!#REF!</definedName>
    <definedName name="ACT_YTD" localSheetId="1">[4]Hidden!#REF!</definedName>
    <definedName name="ACT_YTD" localSheetId="0">[5]Hidden!#REF!</definedName>
    <definedName name="ACT_YTD">[4]Hidden!#REF!</definedName>
    <definedName name="AmountCount" localSheetId="1">#REF!</definedName>
    <definedName name="AmountCount" localSheetId="2">#REF!</definedName>
    <definedName name="AmountCount" localSheetId="0">#REF!</definedName>
    <definedName name="AmountCount">#REF!</definedName>
    <definedName name="AmountCount1" localSheetId="1">#REF!</definedName>
    <definedName name="AmountCount1">#REF!</definedName>
    <definedName name="AmountTotal" localSheetId="1">#REF!</definedName>
    <definedName name="AmountTotal" localSheetId="2">#REF!</definedName>
    <definedName name="AmountTotal" localSheetId="0">#REF!</definedName>
    <definedName name="AmountTotal">#REF!</definedName>
    <definedName name="AmountTotal1" localSheetId="1">#REF!</definedName>
    <definedName name="AmountTotal1">#REF!</definedName>
    <definedName name="BookRev" localSheetId="0">'[6]Pacific Regulated - Price Out'!$F$50</definedName>
    <definedName name="BookRev">'[7]Pacific Regulated - Price Out'!$F$50</definedName>
    <definedName name="BookRev_com" localSheetId="0">'[6]Pacific Regulated - Price Out'!$F$214</definedName>
    <definedName name="BookRev_com">'[7]Pacific Regulated - Price Out'!$F$214</definedName>
    <definedName name="BookRev_mfr" localSheetId="0">'[6]Pacific Regulated - Price Out'!$F$222</definedName>
    <definedName name="BookRev_mfr">'[7]Pacific Regulated - Price Out'!$F$222</definedName>
    <definedName name="BookRev_ro" localSheetId="0">'[6]Pacific Regulated - Price Out'!$F$282</definedName>
    <definedName name="BookRev_ro">'[7]Pacific Regulated - Price Out'!$F$282</definedName>
    <definedName name="BookRev_rr" localSheetId="0">'[6]Pacific Regulated - Price Out'!$F$59</definedName>
    <definedName name="BookRev_rr">'[7]Pacific Regulated - Price Out'!$F$59</definedName>
    <definedName name="BookRev_yw" localSheetId="0">'[6]Pacific Regulated - Price Out'!$F$70</definedName>
    <definedName name="BookRev_yw">'[7]Pacific Regulated - Price Out'!$F$70</definedName>
    <definedName name="BREMAIR_COST_of_SERVICE_STUDY" localSheetId="1">#REF!</definedName>
    <definedName name="BREMAIR_COST_of_SERVICE_STUDY" localSheetId="2">#REF!</definedName>
    <definedName name="BREMAIR_COST_of_SERVICE_STUDY" localSheetId="0">#REF!</definedName>
    <definedName name="BREMAIR_COST_of_SERVICE_STUDY">#REF!</definedName>
    <definedName name="BUD_CUR" localSheetId="1">[4]Hidden!#REF!</definedName>
    <definedName name="BUD_CUR" localSheetId="2">[4]Hidden!#REF!</definedName>
    <definedName name="BUD_CUR" localSheetId="0">[5]Hidden!#REF!</definedName>
    <definedName name="BUD_CUR">[4]Hidden!#REF!</definedName>
    <definedName name="BUD_YTD" localSheetId="1">[4]Hidden!#REF!</definedName>
    <definedName name="BUD_YTD" localSheetId="2">[4]Hidden!#REF!</definedName>
    <definedName name="BUD_YTD" localSheetId="0">[5]Hidden!#REF!</definedName>
    <definedName name="BUD_YTD">[4]Hidden!#REF!</definedName>
    <definedName name="CalRecyTons" localSheetId="0">'[8]Recycl Tons, Commodity Value'!$L$23</definedName>
    <definedName name="CalRecyTons">'[9]Recycl Tons, Commodity Value'!$L$23</definedName>
    <definedName name="CheckTotals" localSheetId="1">#REF!</definedName>
    <definedName name="CheckTotals" localSheetId="2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RCTable" localSheetId="1">#REF!</definedName>
    <definedName name="CRCTable" localSheetId="2">#REF!</definedName>
    <definedName name="CRCTable" localSheetId="0">#REF!</definedName>
    <definedName name="CRCTable">#REF!</definedName>
    <definedName name="CRCTableOLD" localSheetId="1">#REF!</definedName>
    <definedName name="CRCTableOLD" localSheetId="2">#REF!</definedName>
    <definedName name="CRCTableOLD" localSheetId="0">#REF!</definedName>
    <definedName name="CRCTableOLD">#REF!</definedName>
    <definedName name="CriteriaType">[10]ControlPanel!$Z$2:$Z$5</definedName>
    <definedName name="CurrentMonth">'[11]38000 Other Rev'!$H$8</definedName>
    <definedName name="Cutomers" localSheetId="1">#REF!</definedName>
    <definedName name="Cutomers" localSheetId="2">#REF!</definedName>
    <definedName name="Cutomers" localSheetId="0">#REF!</definedName>
    <definedName name="Cutomers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atabase1" localSheetId="1">#REF!</definedName>
    <definedName name="Database1" localSheetId="2">#REF!</definedName>
    <definedName name="Database1" localSheetId="0">#REF!</definedName>
    <definedName name="Database1">#REF!</definedName>
    <definedName name="DateFrom">'[11]38000 Other Rev'!$G$12</definedName>
    <definedName name="DateTo">'[11]38000 Other Rev'!$G$13</definedName>
    <definedName name="DEPT" localSheetId="1">[4]Hidden!#REF!</definedName>
    <definedName name="DEPT" localSheetId="2">[4]Hidden!#REF!</definedName>
    <definedName name="DEPT" localSheetId="0">[5]Hidden!#REF!</definedName>
    <definedName name="DEPT">[4]Hidden!#REF!</definedName>
    <definedName name="Dist">[12]Data!$E$3</definedName>
    <definedName name="District" localSheetId="2">'[13]Vashon BS'!#REF!</definedName>
    <definedName name="District" localSheetId="0">'[14]Vashon BS'!#REF!</definedName>
    <definedName name="DistrictNum" localSheetId="1">#REF!</definedName>
    <definedName name="DistrictNum" localSheetId="2">#REF!</definedName>
    <definedName name="DistrictNum" localSheetId="0">#REF!</definedName>
    <definedName name="DistrictNum">#REF!</definedName>
    <definedName name="drlFilter">[1]Settings!$D$27</definedName>
    <definedName name="End" localSheetId="1">#REF!</definedName>
    <definedName name="End" localSheetId="2">#REF!</definedName>
    <definedName name="End" localSheetId="0">#REF!</definedName>
    <definedName name="End">#REF!</definedName>
    <definedName name="EntrieShownLimit">'[11]38000 Other Rev'!$D$6</definedName>
    <definedName name="ExcludeIC" localSheetId="1">'[11]2025 BS'!#REF!</definedName>
    <definedName name="ExcludeIC" localSheetId="2">'[13]Vashon BS'!#REF!</definedName>
    <definedName name="ExcludeIC" localSheetId="0">'[14]Vashon BS'!#REF!</definedName>
    <definedName name="ExcludeIC">'[11]2025 BS'!#REF!</definedName>
    <definedName name="FBTable" localSheetId="1">#REF!</definedName>
    <definedName name="FBTable" localSheetId="2">#REF!</definedName>
    <definedName name="FBTable" localSheetId="0">#REF!</definedName>
    <definedName name="FBTable">#REF!</definedName>
    <definedName name="FBTableOld" localSheetId="1">#REF!</definedName>
    <definedName name="FBTableOld" localSheetId="2">#REF!</definedName>
    <definedName name="FBTableOld" localSheetId="0">#REF!</definedName>
    <definedName name="FBTableOld">#REF!</definedName>
    <definedName name="filter">[1]Settings!$B$14:$H$25</definedName>
    <definedName name="FundsApprPend" localSheetId="1">[12]Data!#REF!</definedName>
    <definedName name="FundsApprPend" localSheetId="0">[12]Data!#REF!</definedName>
    <definedName name="FundsApprPend">[12]Data!#REF!</definedName>
    <definedName name="FundsBudUnbud" localSheetId="1">[12]Data!#REF!</definedName>
    <definedName name="FundsBudUnbud" localSheetId="0">[12]Data!#REF!</definedName>
    <definedName name="FundsBudUnbud">[12]Data!#REF!</definedName>
    <definedName name="GLMappingStart" localSheetId="1">#REF!</definedName>
    <definedName name="GLMappingStart" localSheetId="2">#REF!</definedName>
    <definedName name="GLMappingStart" localSheetId="0">#REF!</definedName>
    <definedName name="GLMappingStart">#REF!</definedName>
    <definedName name="GLMappingStart1" localSheetId="1">#REF!</definedName>
    <definedName name="GLMappingStart1">#REF!</definedName>
    <definedName name="Import_Range" localSheetId="1">[12]Data!#REF!</definedName>
    <definedName name="Import_Range" localSheetId="0">[12]Data!#REF!</definedName>
    <definedName name="Import_Range">[12]Data!#REF!</definedName>
    <definedName name="IncomeStmnt" localSheetId="1">#REF!</definedName>
    <definedName name="IncomeStmnt" localSheetId="2">#REF!</definedName>
    <definedName name="IncomeStmnt" localSheetId="0">#REF!</definedName>
    <definedName name="IncomeStmnt">#REF!</definedName>
    <definedName name="INPUT" localSheetId="1">#REF!</definedName>
    <definedName name="INPUT" localSheetId="2">#REF!</definedName>
    <definedName name="INPUT" localSheetId="0">#REF!</definedName>
    <definedName name="INPUT">#REF!</definedName>
    <definedName name="Insurance" localSheetId="1">#REF!</definedName>
    <definedName name="Insurance" localSheetId="2">#REF!</definedName>
    <definedName name="Insurance" localSheetId="0">#REF!</definedName>
    <definedName name="Insurance">#REF!</definedName>
    <definedName name="Invoice_Start" localSheetId="1">[12]Invoice_Drill!#REF!</definedName>
    <definedName name="Invoice_Start" localSheetId="0">[12]Invoice_Drill!#REF!</definedName>
    <definedName name="Invoice_Start">[12]Invoice_Drill!#REF!</definedName>
    <definedName name="JEDetail" localSheetId="1">#REF!</definedName>
    <definedName name="JEDetail" localSheetId="2">#REF!</definedName>
    <definedName name="JEDetail" localSheetId="0">#REF!</definedName>
    <definedName name="JEDetail">#REF!</definedName>
    <definedName name="JEDetail1" localSheetId="1">#REF!</definedName>
    <definedName name="JEDetail1">#REF!</definedName>
    <definedName name="JEType" localSheetId="1">#REF!</definedName>
    <definedName name="JEType" localSheetId="2">#REF!</definedName>
    <definedName name="JEType" localSheetId="0">#REF!</definedName>
    <definedName name="JEType">#REF!</definedName>
    <definedName name="JEType1" localSheetId="1">#REF!</definedName>
    <definedName name="JEType1">#REF!</definedName>
    <definedName name="lblBillAreaStatus" localSheetId="1">#REF!</definedName>
    <definedName name="lblBillAreaStatus" localSheetId="2">#REF!</definedName>
    <definedName name="lblBillAreaStatus" localSheetId="0">#REF!</definedName>
    <definedName name="lblBillAreaStatus">#REF!</definedName>
    <definedName name="lblBillCycleStatus" localSheetId="1">#REF!</definedName>
    <definedName name="lblBillCycleStatus" localSheetId="2">#REF!</definedName>
    <definedName name="lblBillCycleStatus" localSheetId="0">#REF!</definedName>
    <definedName name="lblBillCycleStatus">#REF!</definedName>
    <definedName name="lblCategoryStatus" localSheetId="1">#REF!</definedName>
    <definedName name="lblCategoryStatus" localSheetId="2">#REF!</definedName>
    <definedName name="lblCategoryStatus" localSheetId="0">#REF!</definedName>
    <definedName name="lblCategoryStatus">#REF!</definedName>
    <definedName name="lblCompanyStatus" localSheetId="1">#REF!</definedName>
    <definedName name="lblCompanyStatus" localSheetId="2">#REF!</definedName>
    <definedName name="lblCompanyStatus" localSheetId="0">#REF!</definedName>
    <definedName name="lblCompanyStatus">#REF!</definedName>
    <definedName name="lblDatabaseStatus" localSheetId="1">#REF!</definedName>
    <definedName name="lblDatabaseStatus" localSheetId="2">#REF!</definedName>
    <definedName name="lblDatabaseStatus" localSheetId="0">#REF!</definedName>
    <definedName name="lblDatabaseStatus">#REF!</definedName>
    <definedName name="lblPullStatus" localSheetId="1">#REF!</definedName>
    <definedName name="lblPullStatus" localSheetId="2">#REF!</definedName>
    <definedName name="lblPullStatus" localSheetId="0">#REF!</definedName>
    <definedName name="lblPullStatus">#REF!</definedName>
    <definedName name="lllllllllllllllllllll" localSheetId="1">#REF!</definedName>
    <definedName name="lllllllllllllllllllll" localSheetId="2">#REF!</definedName>
    <definedName name="lllllllllllllllllllll" localSheetId="0">#REF!</definedName>
    <definedName name="lllllllllllllllllllll">#REF!</definedName>
    <definedName name="MainDataEnd" localSheetId="1">#REF!</definedName>
    <definedName name="MainDataEnd" localSheetId="2">#REF!</definedName>
    <definedName name="MainDataEnd" localSheetId="0">#REF!</definedName>
    <definedName name="MainDataEnd">#REF!</definedName>
    <definedName name="MainDataStart" localSheetId="1">#REF!</definedName>
    <definedName name="MainDataStart" localSheetId="2">#REF!</definedName>
    <definedName name="MainDataStart" localSheetId="0">#REF!</definedName>
    <definedName name="MainDataStart">#REF!</definedName>
    <definedName name="MapKeyStart" localSheetId="1">#REF!</definedName>
    <definedName name="MapKeyStart" localSheetId="2">#REF!</definedName>
    <definedName name="MapKeyStart" localSheetId="0">#REF!</definedName>
    <definedName name="MapKeyStart">#REF!</definedName>
    <definedName name="master_def" localSheetId="1">#REF!</definedName>
    <definedName name="master_def" localSheetId="2">#REF!</definedName>
    <definedName name="master_def" localSheetId="0">#REF!</definedName>
    <definedName name="master_def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onthList">'[12]Lookup Tables'!$A$1:$A$13</definedName>
    <definedName name="NewOnlyOrg">#N/A</definedName>
    <definedName name="NOTES" localSheetId="1">#REF!</definedName>
    <definedName name="NOTES" localSheetId="2">#REF!</definedName>
    <definedName name="NOTES" localSheetId="0">#REF!</definedName>
    <definedName name="NOTES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[15]JEexport!$L$10</definedName>
    <definedName name="OffsetAcctPmt">[15]JEexport!$L$9</definedName>
    <definedName name="Org11_13">#N/A</definedName>
    <definedName name="Org7_10">#N/A</definedName>
    <definedName name="p" localSheetId="1">#REF!</definedName>
    <definedName name="p" localSheetId="2">#REF!</definedName>
    <definedName name="p" localSheetId="0">#REF!</definedName>
    <definedName name="p">#REF!</definedName>
    <definedName name="PAGE_1" localSheetId="1">#REF!</definedName>
    <definedName name="PAGE_1" localSheetId="2">#REF!</definedName>
    <definedName name="PAGE_1" localSheetId="0">#REF!</definedName>
    <definedName name="PAGE_1">#REF!</definedName>
    <definedName name="pBatchID" localSheetId="1">#REF!</definedName>
    <definedName name="pBatchID" localSheetId="2">#REF!</definedName>
    <definedName name="pBatchID" localSheetId="0">#REF!</definedName>
    <definedName name="pBatchID">#REF!</definedName>
    <definedName name="pBillArea" localSheetId="1">#REF!</definedName>
    <definedName name="pBillArea" localSheetId="2">#REF!</definedName>
    <definedName name="pBillArea" localSheetId="0">#REF!</definedName>
    <definedName name="pBillArea">#REF!</definedName>
    <definedName name="pBillCycle" localSheetId="1">#REF!</definedName>
    <definedName name="pBillCycle" localSheetId="2">#REF!</definedName>
    <definedName name="pBillCycle" localSheetId="0">#REF!</definedName>
    <definedName name="pBillCycle">#REF!</definedName>
    <definedName name="pCategory" localSheetId="1">#REF!</definedName>
    <definedName name="pCategory" localSheetId="2">#REF!</definedName>
    <definedName name="pCategory" localSheetId="0">#REF!</definedName>
    <definedName name="pCategory">#REF!</definedName>
    <definedName name="pCompany" localSheetId="1">#REF!</definedName>
    <definedName name="pCompany" localSheetId="2">#REF!</definedName>
    <definedName name="pCompany" localSheetId="0">#REF!</definedName>
    <definedName name="pCompany">#REF!</definedName>
    <definedName name="pCustomerNumber" localSheetId="1">#REF!</definedName>
    <definedName name="pCustomerNumber" localSheetId="2">#REF!</definedName>
    <definedName name="pCustomerNumber" localSheetId="0">#REF!</definedName>
    <definedName name="pCustomerNumber">#REF!</definedName>
    <definedName name="pDatabase" localSheetId="1">#REF!</definedName>
    <definedName name="pDatabase" localSheetId="2">#REF!</definedName>
    <definedName name="pDatabase" localSheetId="0">#REF!</definedName>
    <definedName name="pDatabase">#REF!</definedName>
    <definedName name="pEndPostDate" localSheetId="1">#REF!</definedName>
    <definedName name="pEndPostDate" localSheetId="2">#REF!</definedName>
    <definedName name="pEndPostDate" localSheetId="0">#REF!</definedName>
    <definedName name="pEndPostDate">#REF!</definedName>
    <definedName name="Period" localSheetId="1">#REF!</definedName>
    <definedName name="Period" localSheetId="2">#REF!</definedName>
    <definedName name="Period" localSheetId="0">#REF!</definedName>
    <definedName name="Period">#REF!</definedName>
    <definedName name="pMonth" localSheetId="1">#REF!</definedName>
    <definedName name="pMonth" localSheetId="2">#REF!</definedName>
    <definedName name="pMonth" localSheetId="0">#REF!</definedName>
    <definedName name="pMonth">#REF!</definedName>
    <definedName name="pOnlyShowLastTranx" localSheetId="1">#REF!</definedName>
    <definedName name="pOnlyShowLastTranx" localSheetId="2">#REF!</definedName>
    <definedName name="pOnlyShowLastTranx" localSheetId="0">#REF!</definedName>
    <definedName name="pOnlyShowLastTranx">#REF!</definedName>
    <definedName name="primtbl">[1]Orientation!$C$23</definedName>
    <definedName name="_xlnm.Print_Area" localSheetId="3">' Staff G-48 Price Out'!$A$1:$R$152</definedName>
    <definedName name="_xlnm.Print_Area" localSheetId="2">'Rate Schedule G-48'!$A$1:$E$78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>#REF!</definedName>
    <definedName name="Print_Area1" localSheetId="1">#REF!</definedName>
    <definedName name="Print_Area1" localSheetId="2">#REF!</definedName>
    <definedName name="Print_Area1" localSheetId="0">#REF!</definedName>
    <definedName name="Print_Area1">#REF!</definedName>
    <definedName name="Print_Area2" localSheetId="1">#REF!</definedName>
    <definedName name="Print_Area2" localSheetId="2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0">#REF!</definedName>
    <definedName name="Print_Area3">#REF!</definedName>
    <definedName name="Print_Area5" localSheetId="1">#REF!</definedName>
    <definedName name="Print_Area5" localSheetId="2">#REF!</definedName>
    <definedName name="Print_Area5" localSheetId="0">#REF!</definedName>
    <definedName name="Print_Area5">#REF!</definedName>
    <definedName name="_xlnm.Print_Titles" localSheetId="3">' Staff G-48 Price Out'!$3:$9</definedName>
    <definedName name="_xlnm.Print_Titles" localSheetId="1">'G-48 DF Calc'!$6:$7</definedName>
    <definedName name="_xlnm.Print_Titles" localSheetId="2">'Rate Schedule G-48'!$5:$5</definedName>
    <definedName name="Print1" localSheetId="1">#REF!</definedName>
    <definedName name="Print1" localSheetId="2">#REF!</definedName>
    <definedName name="Print1" localSheetId="0">#REF!</definedName>
    <definedName name="Print1">#REF!</definedName>
    <definedName name="Print2" localSheetId="1">#REF!</definedName>
    <definedName name="Print2" localSheetId="2">#REF!</definedName>
    <definedName name="Print2" localSheetId="0">#REF!</definedName>
    <definedName name="Print2">#REF!</definedName>
    <definedName name="Print5" localSheetId="1">#REF!</definedName>
    <definedName name="Print5" localSheetId="2">#REF!</definedName>
    <definedName name="Print5" localSheetId="0">#REF!</definedName>
    <definedName name="Print5">#REF!</definedName>
    <definedName name="ProRev" localSheetId="0">'[6]Pacific Regulated - Price Out'!$M$49</definedName>
    <definedName name="ProRev">'[7]Pacific Regulated - Price Out'!$M$49</definedName>
    <definedName name="ProRev_com" localSheetId="0">'[6]Pacific Regulated - Price Out'!$M$213</definedName>
    <definedName name="ProRev_com">'[7]Pacific Regulated - Price Out'!$M$213</definedName>
    <definedName name="ProRev_mfr" localSheetId="0">'[6]Pacific Regulated - Price Out'!$M$221</definedName>
    <definedName name="ProRev_mfr">'[7]Pacific Regulated - Price Out'!$M$221</definedName>
    <definedName name="ProRev_ro" localSheetId="0">'[6]Pacific Regulated - Price Out'!$M$281</definedName>
    <definedName name="ProRev_ro">'[7]Pacific Regulated - Price Out'!$M$281</definedName>
    <definedName name="ProRev_rr" localSheetId="0">'[6]Pacific Regulated - Price Out'!$M$58</definedName>
    <definedName name="ProRev_rr">'[7]Pacific Regulated - Price Out'!$M$58</definedName>
    <definedName name="ProRev_yw" localSheetId="0">'[6]Pacific Regulated - Price Out'!$M$69</definedName>
    <definedName name="ProRev_yw">'[7]Pacific Regulated - Price Out'!$M$69</definedName>
    <definedName name="pServer" localSheetId="1">#REF!</definedName>
    <definedName name="pServer" localSheetId="2">#REF!</definedName>
    <definedName name="pServer" localSheetId="0">#REF!</definedName>
    <definedName name="pServer">#REF!</definedName>
    <definedName name="pServiceCode" localSheetId="1">#REF!</definedName>
    <definedName name="pServiceCode" localSheetId="2">#REF!</definedName>
    <definedName name="pServiceCode" localSheetId="0">#REF!</definedName>
    <definedName name="pServiceCode">#REF!</definedName>
    <definedName name="pShowAllUnposted" localSheetId="1">#REF!</definedName>
    <definedName name="pShowAllUnposted" localSheetId="2">#REF!</definedName>
    <definedName name="pShowAllUnposted" localSheetId="0">#REF!</definedName>
    <definedName name="pShowAllUnposted">#REF!</definedName>
    <definedName name="pShowCustomerDetail" localSheetId="1">#REF!</definedName>
    <definedName name="pShowCustomerDetail" localSheetId="2">#REF!</definedName>
    <definedName name="pShowCustomerDetail" localSheetId="0">#REF!</definedName>
    <definedName name="pShowCustomerDetail">#REF!</definedName>
    <definedName name="pSortOption" localSheetId="1">#REF!</definedName>
    <definedName name="pSortOption" localSheetId="2">#REF!</definedName>
    <definedName name="pSortOption" localSheetId="0">#REF!</definedName>
    <definedName name="pSortOption">#REF!</definedName>
    <definedName name="pStartPostDate" localSheetId="1">#REF!</definedName>
    <definedName name="pStartPostDate" localSheetId="2">#REF!</definedName>
    <definedName name="pStartPostDate" localSheetId="0">#REF!</definedName>
    <definedName name="pStartPostDate">#REF!</definedName>
    <definedName name="pTransType" localSheetId="1">#REF!</definedName>
    <definedName name="pTransType" localSheetId="2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[16]ControlPanel!$S$2:$S$16</definedName>
    <definedName name="ReportVersion">[1]Settings!$D$5</definedName>
    <definedName name="RetainedEarnings" localSheetId="1">#REF!</definedName>
    <definedName name="RetainedEarnings" localSheetId="2">#REF!</definedName>
    <definedName name="RetainedEarnings" localSheetId="0">#REF!</definedName>
    <definedName name="RetainedEarnings">#REF!</definedName>
    <definedName name="RevCust" localSheetId="1">[17]RevenuesCust!#REF!</definedName>
    <definedName name="RevCust" localSheetId="2">[17]RevenuesCust!#REF!</definedName>
    <definedName name="RevCust" localSheetId="0">[18]RevenuesCust!#REF!</definedName>
    <definedName name="RevCust">[17]RevenuesCust!#REF!</definedName>
    <definedName name="RevCustomer" localSheetId="1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1">#REF!</definedName>
    <definedName name="sortcol" localSheetId="2">#REF!</definedName>
    <definedName name="sortcol" localSheetId="0">#REF!</definedName>
    <definedName name="sortcol">#REF!</definedName>
    <definedName name="sSRCDate" localSheetId="1">'[19]Feb''12 FAR Data'!#REF!</definedName>
    <definedName name="sSRCDate" localSheetId="2">'[20]Feb''12 FAR Data'!#REF!</definedName>
    <definedName name="sSRCDate" localSheetId="0">'[21]Feb''12 FAR Data'!#REF!</definedName>
    <definedName name="sSRCDate">'[19]Feb''12 FAR Data'!#REF!</definedName>
    <definedName name="Supplemental_filter">[1]Settings!$C$31</definedName>
    <definedName name="SWDisposal">#N/A</definedName>
    <definedName name="System">[22]BS_Close!$V$8</definedName>
    <definedName name="TemplateEnd" localSheetId="1">#REF!</definedName>
    <definedName name="TemplateEnd" localSheetId="2">#REF!</definedName>
    <definedName name="TemplateEnd" localSheetId="0">#REF!</definedName>
    <definedName name="TemplateEnd">#REF!</definedName>
    <definedName name="TemplateStart" localSheetId="1">#REF!</definedName>
    <definedName name="TemplateStart" localSheetId="2">#REF!</definedName>
    <definedName name="TemplateStart" localSheetId="0">#REF!</definedName>
    <definedName name="TemplateStart">#REF!</definedName>
    <definedName name="TheTable" localSheetId="1">#REF!</definedName>
    <definedName name="TheTable" localSheetId="2">#REF!</definedName>
    <definedName name="TheTable" localSheetId="0">#REF!</definedName>
    <definedName name="TheTable">#REF!</definedName>
    <definedName name="TheTableOLD" localSheetId="1">#REF!</definedName>
    <definedName name="TheTableOLD" localSheetId="2">#REF!</definedName>
    <definedName name="TheTableOLD" localSheetId="0">#REF!</definedName>
    <definedName name="TheTableOLD">#REF!</definedName>
    <definedName name="timeseries">[1]Orientation!$B$6:$C$13</definedName>
    <definedName name="Total_Comm" localSheetId="0">'[8]Tariff Rate Sheet'!$L$214</definedName>
    <definedName name="Total_Comm">'[9]Tariff Rate Sheet'!$L$214</definedName>
    <definedName name="Total_DB" localSheetId="0">'[8]Tariff Rate Sheet'!$L$278</definedName>
    <definedName name="Total_DB">'[9]Tariff Rate Sheet'!$L$278</definedName>
    <definedName name="Total_Resi" localSheetId="0">'[8]Tariff Rate Sheet'!$L$107</definedName>
    <definedName name="Total_Resi">'[9]Tariff Rate Sheet'!$L$107</definedName>
    <definedName name="Transactions" localSheetId="1">#REF!</definedName>
    <definedName name="Transactions" localSheetId="2">#REF!</definedName>
    <definedName name="Transactions" localSheetId="0">#REF!</definedName>
    <definedName name="Transactions">#REF!</definedName>
    <definedName name="Version" localSheetId="1">[12]Data!#REF!</definedName>
    <definedName name="Version" localSheetId="0">[12]Data!#REF!</definedName>
    <definedName name="Version">[12]Data!#REF!</definedName>
    <definedName name="WTable" localSheetId="1">#REF!</definedName>
    <definedName name="WTable" localSheetId="2">#REF!</definedName>
    <definedName name="WTable" localSheetId="0">#REF!</definedName>
    <definedName name="WTable">#REF!</definedName>
    <definedName name="WTableOld" localSheetId="1">#REF!</definedName>
    <definedName name="WTableOld" localSheetId="2">#REF!</definedName>
    <definedName name="WTableOld" localSheetId="0">#REF!</definedName>
    <definedName name="WTableOld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1">[4]Hidden!#REF!</definedName>
    <definedName name="xtabin" localSheetId="2">[4]Hidden!#REF!</definedName>
    <definedName name="xtabin" localSheetId="0">[5]Hidden!#REF!</definedName>
    <definedName name="xtabin">[4]Hidden!#REF!</definedName>
    <definedName name="xx" localSheetId="1">#REF!</definedName>
    <definedName name="xx" localSheetId="2">#REF!</definedName>
    <definedName name="xx" localSheetId="0">#REF!</definedName>
    <definedName name="xx">#REF!</definedName>
    <definedName name="xxx" localSheetId="1">#REF!</definedName>
    <definedName name="xxx" localSheetId="0">#REF!</definedName>
    <definedName name="xxx">#REF!</definedName>
    <definedName name="xxxx" localSheetId="1">#REF!</definedName>
    <definedName name="xxxx" localSheetId="0">#REF!</definedName>
    <definedName name="xxxx">#REF!</definedName>
    <definedName name="YearMonth" localSheetId="2">'[13]Vashon BS'!#REF!</definedName>
    <definedName name="YearMonth" localSheetId="0">'[14]Vashon BS'!#REF!</definedName>
    <definedName name="YWMedWasteDisp">#N/A</definedName>
    <definedName name="yy" localSheetId="1">#REF!</definedName>
    <definedName name="yy" localSheetId="0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G54" i="1" l="1"/>
  <c r="E54" i="1"/>
  <c r="G53" i="1"/>
  <c r="E53" i="1"/>
  <c r="G52" i="1"/>
  <c r="G50" i="1"/>
  <c r="E50" i="1"/>
  <c r="G49" i="1"/>
  <c r="E49" i="1"/>
  <c r="E57" i="1"/>
  <c r="G48" i="1"/>
  <c r="E48" i="1"/>
  <c r="G47" i="1"/>
  <c r="G44" i="1"/>
  <c r="G41" i="1"/>
  <c r="G38" i="1"/>
  <c r="G37" i="1"/>
  <c r="E52" i="1"/>
  <c r="E47" i="1"/>
  <c r="E44" i="1"/>
  <c r="E41" i="1"/>
  <c r="E37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E64" i="1"/>
  <c r="E63" i="1"/>
  <c r="E62" i="1"/>
  <c r="M64" i="1"/>
  <c r="M63" i="1"/>
  <c r="M62" i="1"/>
  <c r="G64" i="1"/>
  <c r="G63" i="1"/>
  <c r="G62" i="1"/>
  <c r="G56" i="1"/>
  <c r="E56" i="1"/>
  <c r="E55" i="1"/>
  <c r="E51" i="1"/>
  <c r="E46" i="1"/>
  <c r="E43" i="1"/>
  <c r="E42" i="1"/>
  <c r="E38" i="1"/>
  <c r="E36" i="1"/>
  <c r="M77" i="1" l="1"/>
  <c r="M75" i="1"/>
  <c r="M76" i="1"/>
  <c r="M74" i="1"/>
  <c r="M73" i="1"/>
  <c r="M72" i="1"/>
  <c r="M71" i="1"/>
  <c r="M70" i="1"/>
  <c r="M69" i="1"/>
  <c r="M68" i="1"/>
  <c r="M67" i="1"/>
  <c r="M66" i="1"/>
  <c r="M65" i="1"/>
  <c r="M61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G77" i="1" l="1"/>
  <c r="G68" i="1"/>
  <c r="G67" i="1"/>
  <c r="G70" i="1"/>
  <c r="G69" i="1"/>
  <c r="G66" i="1"/>
  <c r="G65" i="1"/>
  <c r="G61" i="1"/>
  <c r="G60" i="1"/>
  <c r="G59" i="1"/>
  <c r="G76" i="1"/>
  <c r="G73" i="1"/>
  <c r="G58" i="1"/>
  <c r="G57" i="1"/>
  <c r="G55" i="1"/>
  <c r="G51" i="1"/>
  <c r="G46" i="1"/>
  <c r="G74" i="1"/>
  <c r="G72" i="1"/>
  <c r="G45" i="1"/>
  <c r="G43" i="1"/>
  <c r="G42" i="1"/>
  <c r="G40" i="1"/>
  <c r="G75" i="1"/>
  <c r="G71" i="1"/>
  <c r="G39" i="1"/>
  <c r="G36" i="1"/>
  <c r="B66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9" i="6" l="1"/>
  <c r="F14" i="6"/>
  <c r="F10" i="6" s="1"/>
  <c r="J14" i="6"/>
  <c r="J10" i="6" s="1"/>
  <c r="J9" i="6"/>
  <c r="J11" i="6" s="1"/>
  <c r="N9" i="6"/>
  <c r="N14" i="6"/>
  <c r="N10" i="6" s="1"/>
  <c r="G9" i="6"/>
  <c r="G14" i="6"/>
  <c r="G10" i="6" s="1"/>
  <c r="K9" i="6"/>
  <c r="K14" i="6"/>
  <c r="K10" i="6" s="1"/>
  <c r="C9" i="6"/>
  <c r="C14" i="6"/>
  <c r="O13" i="6"/>
  <c r="D14" i="6"/>
  <c r="D10" i="6" s="1"/>
  <c r="D9" i="6"/>
  <c r="D11" i="6" s="1"/>
  <c r="H14" i="6"/>
  <c r="H10" i="6" s="1"/>
  <c r="H9" i="6"/>
  <c r="L14" i="6"/>
  <c r="L10" i="6" s="1"/>
  <c r="L9" i="6"/>
  <c r="L11" i="6" s="1"/>
  <c r="E14" i="6"/>
  <c r="E10" i="6" s="1"/>
  <c r="E9" i="6"/>
  <c r="I14" i="6"/>
  <c r="I10" i="6" s="1"/>
  <c r="I9" i="6"/>
  <c r="I11" i="6" s="1"/>
  <c r="M14" i="6"/>
  <c r="M10" i="6" s="1"/>
  <c r="M9" i="6"/>
  <c r="C10" i="6" l="1"/>
  <c r="O10" i="6" s="1"/>
  <c r="O14" i="6"/>
  <c r="O15" i="6" s="1"/>
  <c r="G11" i="6"/>
  <c r="C11" i="6"/>
  <c r="O9" i="6"/>
  <c r="M11" i="6"/>
  <c r="E11" i="6"/>
  <c r="H11" i="6"/>
  <c r="K11" i="6"/>
  <c r="N11" i="6"/>
  <c r="F11" i="6"/>
  <c r="O11" i="6" l="1"/>
  <c r="C73" i="4"/>
  <c r="C65" i="4"/>
  <c r="D88" i="1"/>
  <c r="D89" i="1" s="1"/>
  <c r="Q26" i="1" l="1"/>
  <c r="G83" i="1"/>
  <c r="C60" i="4" l="1"/>
  <c r="C74" i="4" s="1"/>
  <c r="H91" i="1" s="1"/>
  <c r="D59" i="4"/>
  <c r="H58" i="4"/>
  <c r="D58" i="4"/>
  <c r="C53" i="4"/>
  <c r="C52" i="4"/>
  <c r="C50" i="4"/>
  <c r="C49" i="4"/>
  <c r="C48" i="4"/>
  <c r="C46" i="4"/>
  <c r="C45" i="4"/>
  <c r="C44" i="4"/>
  <c r="C43" i="4"/>
  <c r="C41" i="4"/>
  <c r="C40" i="4"/>
  <c r="C39" i="4"/>
  <c r="C12" i="4"/>
  <c r="C11" i="4"/>
  <c r="C10" i="4"/>
  <c r="F9" i="4"/>
  <c r="E9" i="4"/>
  <c r="C9" i="4"/>
  <c r="C8" i="4"/>
  <c r="C7" i="4"/>
  <c r="H7" i="4" s="1"/>
  <c r="C6" i="4"/>
  <c r="G6" i="4" s="1"/>
  <c r="E21" i="3"/>
  <c r="M150" i="2"/>
  <c r="L150" i="2"/>
  <c r="N148" i="2"/>
  <c r="N147" i="2"/>
  <c r="N146" i="2"/>
  <c r="K146" i="2" s="1"/>
  <c r="K150" i="2" s="1"/>
  <c r="M145" i="2"/>
  <c r="M143" i="2"/>
  <c r="L143" i="2"/>
  <c r="N141" i="2"/>
  <c r="N143" i="2" s="1"/>
  <c r="M138" i="2"/>
  <c r="L138" i="2"/>
  <c r="Q136" i="2"/>
  <c r="R136" i="2" s="1"/>
  <c r="P136" i="2"/>
  <c r="N136" i="2"/>
  <c r="Q135" i="2"/>
  <c r="P135" i="2"/>
  <c r="R135" i="2" s="1"/>
  <c r="N135" i="2"/>
  <c r="F135" i="2"/>
  <c r="Q134" i="2"/>
  <c r="P134" i="2"/>
  <c r="N134" i="2"/>
  <c r="F134" i="2"/>
  <c r="Q133" i="2"/>
  <c r="R133" i="2" s="1"/>
  <c r="P133" i="2"/>
  <c r="N133" i="2"/>
  <c r="F133" i="2"/>
  <c r="Q132" i="2"/>
  <c r="P132" i="2"/>
  <c r="N132" i="2"/>
  <c r="F132" i="2"/>
  <c r="Q131" i="2"/>
  <c r="P131" i="2"/>
  <c r="R131" i="2" s="1"/>
  <c r="N131" i="2"/>
  <c r="F131" i="2"/>
  <c r="Q130" i="2"/>
  <c r="P130" i="2"/>
  <c r="R130" i="2" s="1"/>
  <c r="N130" i="2"/>
  <c r="F130" i="2"/>
  <c r="Q129" i="2"/>
  <c r="P129" i="2"/>
  <c r="R129" i="2" s="1"/>
  <c r="N129" i="2"/>
  <c r="F129" i="2"/>
  <c r="Q128" i="2"/>
  <c r="P128" i="2"/>
  <c r="R128" i="2" s="1"/>
  <c r="N128" i="2"/>
  <c r="F128" i="2"/>
  <c r="Q127" i="2"/>
  <c r="P127" i="2"/>
  <c r="R127" i="2" s="1"/>
  <c r="N127" i="2"/>
  <c r="F127" i="2"/>
  <c r="Q126" i="2"/>
  <c r="P126" i="2"/>
  <c r="R126" i="2" s="1"/>
  <c r="N126" i="2"/>
  <c r="F126" i="2"/>
  <c r="Q125" i="2"/>
  <c r="P125" i="2"/>
  <c r="R125" i="2" s="1"/>
  <c r="N125" i="2"/>
  <c r="F125" i="2"/>
  <c r="Q124" i="2"/>
  <c r="P124" i="2"/>
  <c r="R124" i="2" s="1"/>
  <c r="N124" i="2"/>
  <c r="N138" i="2" s="1"/>
  <c r="F124" i="2"/>
  <c r="N117" i="2"/>
  <c r="Q116" i="2"/>
  <c r="P116" i="2"/>
  <c r="N116" i="2"/>
  <c r="E116" i="2"/>
  <c r="F116" i="2" s="1"/>
  <c r="Q115" i="2"/>
  <c r="P115" i="2"/>
  <c r="N115" i="2"/>
  <c r="E115" i="2"/>
  <c r="F115" i="2" s="1"/>
  <c r="Q114" i="2"/>
  <c r="P114" i="2"/>
  <c r="E114" i="2"/>
  <c r="F114" i="2" s="1"/>
  <c r="Q113" i="2"/>
  <c r="P113" i="2"/>
  <c r="R113" i="2" s="1"/>
  <c r="N113" i="2"/>
  <c r="E113" i="2"/>
  <c r="F113" i="2" s="1"/>
  <c r="Q112" i="2"/>
  <c r="P112" i="2"/>
  <c r="R112" i="2" s="1"/>
  <c r="N112" i="2"/>
  <c r="E112" i="2"/>
  <c r="F112" i="2" s="1"/>
  <c r="Q111" i="2"/>
  <c r="P111" i="2"/>
  <c r="N111" i="2"/>
  <c r="E111" i="2"/>
  <c r="F111" i="2" s="1"/>
  <c r="Q110" i="2"/>
  <c r="P110" i="2"/>
  <c r="N110" i="2"/>
  <c r="E110" i="2"/>
  <c r="F110" i="2" s="1"/>
  <c r="Q109" i="2"/>
  <c r="R109" i="2" s="1"/>
  <c r="P109" i="2"/>
  <c r="N109" i="2"/>
  <c r="E109" i="2"/>
  <c r="F109" i="2" s="1"/>
  <c r="Q108" i="2"/>
  <c r="P108" i="2"/>
  <c r="N108" i="2"/>
  <c r="E108" i="2"/>
  <c r="F108" i="2" s="1"/>
  <c r="Q107" i="2"/>
  <c r="P107" i="2"/>
  <c r="N107" i="2"/>
  <c r="E107" i="2"/>
  <c r="F107" i="2" s="1"/>
  <c r="Q106" i="2"/>
  <c r="P106" i="2"/>
  <c r="N106" i="2"/>
  <c r="E106" i="2"/>
  <c r="F106" i="2" s="1"/>
  <c r="Q105" i="2"/>
  <c r="P105" i="2"/>
  <c r="E105" i="2"/>
  <c r="F105" i="2" s="1"/>
  <c r="Q104" i="2"/>
  <c r="P104" i="2"/>
  <c r="N104" i="2"/>
  <c r="E104" i="2"/>
  <c r="F104" i="2" s="1"/>
  <c r="Q103" i="2"/>
  <c r="R103" i="2" s="1"/>
  <c r="P103" i="2"/>
  <c r="N103" i="2"/>
  <c r="E103" i="2"/>
  <c r="F103" i="2" s="1"/>
  <c r="Q102" i="2"/>
  <c r="R102" i="2" s="1"/>
  <c r="P102" i="2"/>
  <c r="N102" i="2"/>
  <c r="E102" i="2"/>
  <c r="F102" i="2" s="1"/>
  <c r="Q101" i="2"/>
  <c r="R101" i="2" s="1"/>
  <c r="P101" i="2"/>
  <c r="N101" i="2"/>
  <c r="E101" i="2"/>
  <c r="F101" i="2" s="1"/>
  <c r="R100" i="2"/>
  <c r="Q100" i="2"/>
  <c r="P100" i="2"/>
  <c r="N100" i="2"/>
  <c r="E100" i="2"/>
  <c r="F100" i="2" s="1"/>
  <c r="Q99" i="2"/>
  <c r="P99" i="2"/>
  <c r="N99" i="2"/>
  <c r="E99" i="2"/>
  <c r="F99" i="2" s="1"/>
  <c r="Q98" i="2"/>
  <c r="P98" i="2"/>
  <c r="N98" i="2"/>
  <c r="E98" i="2"/>
  <c r="F98" i="2" s="1"/>
  <c r="Q97" i="2"/>
  <c r="P97" i="2"/>
  <c r="N97" i="2"/>
  <c r="E97" i="2"/>
  <c r="F97" i="2" s="1"/>
  <c r="Q96" i="2"/>
  <c r="P96" i="2"/>
  <c r="N96" i="2"/>
  <c r="E96" i="2"/>
  <c r="F96" i="2" s="1"/>
  <c r="Q95" i="2"/>
  <c r="P95" i="2"/>
  <c r="R95" i="2" s="1"/>
  <c r="N95" i="2"/>
  <c r="E95" i="2"/>
  <c r="F95" i="2" s="1"/>
  <c r="Q94" i="2"/>
  <c r="P94" i="2"/>
  <c r="N94" i="2"/>
  <c r="E94" i="2"/>
  <c r="F94" i="2" s="1"/>
  <c r="Q93" i="2"/>
  <c r="P93" i="2"/>
  <c r="R93" i="2" s="1"/>
  <c r="N93" i="2"/>
  <c r="E93" i="2"/>
  <c r="F93" i="2" s="1"/>
  <c r="Q92" i="2"/>
  <c r="P92" i="2"/>
  <c r="R92" i="2" s="1"/>
  <c r="D77" i="1" s="1"/>
  <c r="N92" i="2"/>
  <c r="B77" i="1" s="1"/>
  <c r="E92" i="2"/>
  <c r="F92" i="2" s="1"/>
  <c r="Q91" i="2"/>
  <c r="P91" i="2"/>
  <c r="R91" i="2" s="1"/>
  <c r="D76" i="1" s="1"/>
  <c r="N91" i="2"/>
  <c r="B76" i="1" s="1"/>
  <c r="E91" i="2"/>
  <c r="F91" i="2" s="1"/>
  <c r="Q90" i="2"/>
  <c r="P90" i="2"/>
  <c r="R90" i="2" s="1"/>
  <c r="D75" i="1" s="1"/>
  <c r="N90" i="2"/>
  <c r="B75" i="1" s="1"/>
  <c r="E90" i="2"/>
  <c r="F90" i="2" s="1"/>
  <c r="Q89" i="2"/>
  <c r="P89" i="2"/>
  <c r="R89" i="2" s="1"/>
  <c r="D74" i="1" s="1"/>
  <c r="N89" i="2"/>
  <c r="B74" i="1" s="1"/>
  <c r="E89" i="2"/>
  <c r="F89" i="2" s="1"/>
  <c r="Q88" i="2"/>
  <c r="P88" i="2"/>
  <c r="R88" i="2" s="1"/>
  <c r="D73" i="1" s="1"/>
  <c r="N88" i="2"/>
  <c r="B73" i="1" s="1"/>
  <c r="E88" i="2"/>
  <c r="F88" i="2" s="1"/>
  <c r="Q87" i="2"/>
  <c r="P87" i="2"/>
  <c r="R87" i="2" s="1"/>
  <c r="D72" i="1" s="1"/>
  <c r="N87" i="2"/>
  <c r="B72" i="1" s="1"/>
  <c r="E87" i="2"/>
  <c r="F87" i="2" s="1"/>
  <c r="Q86" i="2"/>
  <c r="P86" i="2"/>
  <c r="N86" i="2"/>
  <c r="B71" i="1" s="1"/>
  <c r="E86" i="2"/>
  <c r="F86" i="2" s="1"/>
  <c r="Q85" i="2"/>
  <c r="P85" i="2"/>
  <c r="R85" i="2" s="1"/>
  <c r="D70" i="1" s="1"/>
  <c r="N85" i="2"/>
  <c r="B70" i="1" s="1"/>
  <c r="E85" i="2"/>
  <c r="F85" i="2" s="1"/>
  <c r="Q84" i="2"/>
  <c r="P84" i="2"/>
  <c r="N84" i="2"/>
  <c r="B69" i="1" s="1"/>
  <c r="E84" i="2"/>
  <c r="F84" i="2" s="1"/>
  <c r="Q83" i="2"/>
  <c r="P83" i="2"/>
  <c r="N83" i="2"/>
  <c r="B68" i="1" s="1"/>
  <c r="E83" i="2"/>
  <c r="F83" i="2" s="1"/>
  <c r="Q82" i="2"/>
  <c r="P82" i="2"/>
  <c r="N82" i="2"/>
  <c r="B67" i="1" s="1"/>
  <c r="E82" i="2"/>
  <c r="F82" i="2" s="1"/>
  <c r="Q81" i="2"/>
  <c r="P81" i="2"/>
  <c r="R81" i="2" s="1"/>
  <c r="K81" i="2" s="1"/>
  <c r="E81" i="2"/>
  <c r="F81" i="2" s="1"/>
  <c r="Q80" i="2"/>
  <c r="P80" i="2"/>
  <c r="N80" i="2"/>
  <c r="B65" i="1" s="1"/>
  <c r="E80" i="2"/>
  <c r="F80" i="2" s="1"/>
  <c r="Q79" i="2"/>
  <c r="P79" i="2"/>
  <c r="R79" i="2" s="1"/>
  <c r="D64" i="1" s="1"/>
  <c r="Q64" i="1" s="1"/>
  <c r="N79" i="2"/>
  <c r="B64" i="1" s="1"/>
  <c r="E79" i="2"/>
  <c r="F79" i="2" s="1"/>
  <c r="Q78" i="2"/>
  <c r="P78" i="2"/>
  <c r="N78" i="2"/>
  <c r="B63" i="1" s="1"/>
  <c r="E78" i="2"/>
  <c r="F78" i="2" s="1"/>
  <c r="Q77" i="2"/>
  <c r="P77" i="2"/>
  <c r="N77" i="2"/>
  <c r="B62" i="1" s="1"/>
  <c r="E77" i="2"/>
  <c r="F77" i="2" s="1"/>
  <c r="Q76" i="2"/>
  <c r="P76" i="2"/>
  <c r="N76" i="2"/>
  <c r="B61" i="1" s="1"/>
  <c r="E76" i="2"/>
  <c r="F76" i="2" s="1"/>
  <c r="Q75" i="2"/>
  <c r="P75" i="2"/>
  <c r="N75" i="2"/>
  <c r="B60" i="1" s="1"/>
  <c r="K75" i="2"/>
  <c r="E75" i="2"/>
  <c r="F75" i="2" s="1"/>
  <c r="Q74" i="2"/>
  <c r="P74" i="2"/>
  <c r="N74" i="2"/>
  <c r="B59" i="1" s="1"/>
  <c r="E74" i="2"/>
  <c r="F74" i="2" s="1"/>
  <c r="Q73" i="2"/>
  <c r="P73" i="2"/>
  <c r="R73" i="2" s="1"/>
  <c r="D58" i="1" s="1"/>
  <c r="N73" i="2"/>
  <c r="B58" i="1" s="1"/>
  <c r="E73" i="2"/>
  <c r="F73" i="2" s="1"/>
  <c r="Q72" i="2"/>
  <c r="P72" i="2"/>
  <c r="N72" i="2"/>
  <c r="B57" i="1" s="1"/>
  <c r="E72" i="2"/>
  <c r="F72" i="2" s="1"/>
  <c r="Q71" i="2"/>
  <c r="P71" i="2"/>
  <c r="N71" i="2"/>
  <c r="B56" i="1" s="1"/>
  <c r="E71" i="2"/>
  <c r="F71" i="2" s="1"/>
  <c r="Q70" i="2"/>
  <c r="P70" i="2"/>
  <c r="N70" i="2"/>
  <c r="B55" i="1" s="1"/>
  <c r="E70" i="2"/>
  <c r="F70" i="2" s="1"/>
  <c r="Q69" i="2"/>
  <c r="P69" i="2"/>
  <c r="N69" i="2"/>
  <c r="B54" i="1" s="1"/>
  <c r="E69" i="2"/>
  <c r="F69" i="2" s="1"/>
  <c r="Q68" i="2"/>
  <c r="P68" i="2"/>
  <c r="R68" i="2" s="1"/>
  <c r="D53" i="1" s="1"/>
  <c r="N68" i="2"/>
  <c r="B53" i="1" s="1"/>
  <c r="E68" i="2"/>
  <c r="F68" i="2" s="1"/>
  <c r="Q67" i="2"/>
  <c r="P67" i="2"/>
  <c r="N67" i="2"/>
  <c r="B52" i="1" s="1"/>
  <c r="E67" i="2"/>
  <c r="F67" i="2" s="1"/>
  <c r="Q66" i="2"/>
  <c r="R66" i="2" s="1"/>
  <c r="D51" i="1" s="1"/>
  <c r="P66" i="2"/>
  <c r="N66" i="2"/>
  <c r="B51" i="1" s="1"/>
  <c r="E66" i="2"/>
  <c r="F66" i="2" s="1"/>
  <c r="Q65" i="2"/>
  <c r="P65" i="2"/>
  <c r="N65" i="2"/>
  <c r="B50" i="1" s="1"/>
  <c r="E65" i="2"/>
  <c r="F65" i="2" s="1"/>
  <c r="Q64" i="2"/>
  <c r="P64" i="2"/>
  <c r="N64" i="2"/>
  <c r="B49" i="1" s="1"/>
  <c r="E64" i="2"/>
  <c r="F64" i="2" s="1"/>
  <c r="Q63" i="2"/>
  <c r="P63" i="2"/>
  <c r="N63" i="2"/>
  <c r="B48" i="1" s="1"/>
  <c r="E63" i="2"/>
  <c r="F63" i="2" s="1"/>
  <c r="Q62" i="2"/>
  <c r="P62" i="2"/>
  <c r="R62" i="2" s="1"/>
  <c r="D47" i="1" s="1"/>
  <c r="N62" i="2"/>
  <c r="B47" i="1" s="1"/>
  <c r="E62" i="2"/>
  <c r="F62" i="2" s="1"/>
  <c r="M61" i="2"/>
  <c r="M119" i="2" s="1"/>
  <c r="L61" i="2"/>
  <c r="L119" i="2" s="1"/>
  <c r="E61" i="2"/>
  <c r="F61" i="2" s="1"/>
  <c r="R60" i="2"/>
  <c r="D45" i="1" s="1"/>
  <c r="Q60" i="2"/>
  <c r="P60" i="2"/>
  <c r="N60" i="2"/>
  <c r="B45" i="1" s="1"/>
  <c r="E60" i="2"/>
  <c r="F60" i="2" s="1"/>
  <c r="Q59" i="2"/>
  <c r="P59" i="2"/>
  <c r="R59" i="2" s="1"/>
  <c r="D44" i="1" s="1"/>
  <c r="N59" i="2"/>
  <c r="B44" i="1" s="1"/>
  <c r="E59" i="2"/>
  <c r="F59" i="2" s="1"/>
  <c r="Q58" i="2"/>
  <c r="P58" i="2"/>
  <c r="R58" i="2" s="1"/>
  <c r="D43" i="1" s="1"/>
  <c r="N58" i="2"/>
  <c r="B43" i="1" s="1"/>
  <c r="E58" i="2"/>
  <c r="F58" i="2" s="1"/>
  <c r="Q57" i="2"/>
  <c r="P57" i="2"/>
  <c r="R57" i="2" s="1"/>
  <c r="D42" i="1" s="1"/>
  <c r="N57" i="2"/>
  <c r="B42" i="1" s="1"/>
  <c r="E57" i="2"/>
  <c r="F57" i="2" s="1"/>
  <c r="Q56" i="2"/>
  <c r="P56" i="2"/>
  <c r="R56" i="2" s="1"/>
  <c r="D41" i="1" s="1"/>
  <c r="N56" i="2"/>
  <c r="B41" i="1" s="1"/>
  <c r="E56" i="2"/>
  <c r="F56" i="2" s="1"/>
  <c r="Q55" i="2"/>
  <c r="P55" i="2"/>
  <c r="R55" i="2" s="1"/>
  <c r="D40" i="1" s="1"/>
  <c r="N55" i="2"/>
  <c r="B40" i="1" s="1"/>
  <c r="E55" i="2"/>
  <c r="F55" i="2" s="1"/>
  <c r="Q54" i="2"/>
  <c r="P54" i="2"/>
  <c r="R54" i="2" s="1"/>
  <c r="D39" i="1" s="1"/>
  <c r="N54" i="2"/>
  <c r="B39" i="1" s="1"/>
  <c r="E54" i="2"/>
  <c r="F54" i="2" s="1"/>
  <c r="Q53" i="2"/>
  <c r="P53" i="2"/>
  <c r="N53" i="2"/>
  <c r="B38" i="1" s="1"/>
  <c r="E53" i="2"/>
  <c r="F53" i="2" s="1"/>
  <c r="Q52" i="2"/>
  <c r="P52" i="2"/>
  <c r="R52" i="2" s="1"/>
  <c r="D37" i="1" s="1"/>
  <c r="N52" i="2"/>
  <c r="B37" i="1" s="1"/>
  <c r="E52" i="2"/>
  <c r="F52" i="2" s="1"/>
  <c r="Q51" i="2"/>
  <c r="P51" i="2"/>
  <c r="N51" i="2"/>
  <c r="B36" i="1" s="1"/>
  <c r="E51" i="2"/>
  <c r="F51" i="2" s="1"/>
  <c r="M50" i="2"/>
  <c r="M47" i="2"/>
  <c r="M46" i="2"/>
  <c r="M44" i="2"/>
  <c r="L44" i="2"/>
  <c r="L152" i="2" s="1"/>
  <c r="N42" i="2"/>
  <c r="N41" i="2"/>
  <c r="N40" i="2"/>
  <c r="Q39" i="2"/>
  <c r="P39" i="2"/>
  <c r="N39" i="2"/>
  <c r="E39" i="2"/>
  <c r="F39" i="2" s="1"/>
  <c r="Q38" i="2"/>
  <c r="P38" i="2"/>
  <c r="R38" i="2" s="1"/>
  <c r="N38" i="2"/>
  <c r="E38" i="2"/>
  <c r="F38" i="2" s="1"/>
  <c r="Q37" i="2"/>
  <c r="P37" i="2"/>
  <c r="R37" i="2" s="1"/>
  <c r="N37" i="2"/>
  <c r="E37" i="2"/>
  <c r="F37" i="2" s="1"/>
  <c r="Q36" i="2"/>
  <c r="P36" i="2"/>
  <c r="N36" i="2"/>
  <c r="E36" i="2"/>
  <c r="F36" i="2" s="1"/>
  <c r="Q35" i="2"/>
  <c r="P35" i="2"/>
  <c r="R35" i="2" s="1"/>
  <c r="N35" i="2"/>
  <c r="F35" i="2"/>
  <c r="E35" i="2"/>
  <c r="Q34" i="2"/>
  <c r="P34" i="2"/>
  <c r="N34" i="2"/>
  <c r="E34" i="2"/>
  <c r="F34" i="2" s="1"/>
  <c r="R33" i="2"/>
  <c r="Q33" i="2"/>
  <c r="P33" i="2"/>
  <c r="N33" i="2"/>
  <c r="E33" i="2"/>
  <c r="F33" i="2" s="1"/>
  <c r="Q32" i="2"/>
  <c r="P32" i="2"/>
  <c r="N32" i="2"/>
  <c r="E32" i="2"/>
  <c r="F32" i="2" s="1"/>
  <c r="Q31" i="2"/>
  <c r="P31" i="2"/>
  <c r="R31" i="2" s="1"/>
  <c r="D27" i="1" s="1"/>
  <c r="N31" i="2"/>
  <c r="B27" i="1" s="1"/>
  <c r="E31" i="2"/>
  <c r="F31" i="2" s="1"/>
  <c r="Q30" i="2"/>
  <c r="P30" i="2"/>
  <c r="N30" i="2"/>
  <c r="B26" i="1" s="1"/>
  <c r="Q29" i="2"/>
  <c r="P29" i="2"/>
  <c r="N29" i="2"/>
  <c r="B25" i="1" s="1"/>
  <c r="E29" i="2"/>
  <c r="E30" i="2" s="1"/>
  <c r="F30" i="2" s="1"/>
  <c r="Q28" i="2"/>
  <c r="P28" i="2"/>
  <c r="N28" i="2"/>
  <c r="B24" i="1" s="1"/>
  <c r="E28" i="2"/>
  <c r="F28" i="2" s="1"/>
  <c r="Q27" i="2"/>
  <c r="P27" i="2"/>
  <c r="N27" i="2"/>
  <c r="B23" i="1" s="1"/>
  <c r="E27" i="2"/>
  <c r="F27" i="2" s="1"/>
  <c r="Q26" i="2"/>
  <c r="P26" i="2"/>
  <c r="N26" i="2"/>
  <c r="B22" i="1" s="1"/>
  <c r="E26" i="2"/>
  <c r="F26" i="2" s="1"/>
  <c r="Q25" i="2"/>
  <c r="P25" i="2"/>
  <c r="N25" i="2"/>
  <c r="B21" i="1" s="1"/>
  <c r="E25" i="2"/>
  <c r="F25" i="2" s="1"/>
  <c r="Q24" i="2"/>
  <c r="R24" i="2" s="1"/>
  <c r="D20" i="1" s="1"/>
  <c r="P24" i="2"/>
  <c r="N24" i="2"/>
  <c r="B20" i="1" s="1"/>
  <c r="E24" i="2"/>
  <c r="F24" i="2" s="1"/>
  <c r="Q23" i="2"/>
  <c r="P23" i="2"/>
  <c r="N23" i="2"/>
  <c r="B19" i="1" s="1"/>
  <c r="E23" i="2"/>
  <c r="F23" i="2" s="1"/>
  <c r="R22" i="2"/>
  <c r="D18" i="1" s="1"/>
  <c r="Q22" i="2"/>
  <c r="P22" i="2"/>
  <c r="N22" i="2"/>
  <c r="B18" i="1" s="1"/>
  <c r="E22" i="2"/>
  <c r="F22" i="2" s="1"/>
  <c r="Q21" i="2"/>
  <c r="P21" i="2"/>
  <c r="R21" i="2" s="1"/>
  <c r="D17" i="1" s="1"/>
  <c r="N21" i="2"/>
  <c r="B17" i="1" s="1"/>
  <c r="E21" i="2"/>
  <c r="F21" i="2" s="1"/>
  <c r="Q20" i="2"/>
  <c r="P20" i="2"/>
  <c r="R20" i="2" s="1"/>
  <c r="D16" i="1" s="1"/>
  <c r="N20" i="2"/>
  <c r="B16" i="1" s="1"/>
  <c r="E20" i="2"/>
  <c r="F20" i="2" s="1"/>
  <c r="Q19" i="2"/>
  <c r="P19" i="2"/>
  <c r="N19" i="2"/>
  <c r="B15" i="1" s="1"/>
  <c r="E19" i="2"/>
  <c r="F19" i="2" s="1"/>
  <c r="Q18" i="2"/>
  <c r="P18" i="2"/>
  <c r="R18" i="2" s="1"/>
  <c r="D14" i="1" s="1"/>
  <c r="N18" i="2"/>
  <c r="B14" i="1" s="1"/>
  <c r="E18" i="2"/>
  <c r="F18" i="2" s="1"/>
  <c r="Q17" i="2"/>
  <c r="P17" i="2"/>
  <c r="R17" i="2" s="1"/>
  <c r="D13" i="1" s="1"/>
  <c r="N17" i="2"/>
  <c r="B13" i="1" s="1"/>
  <c r="E17" i="2"/>
  <c r="F17" i="2" s="1"/>
  <c r="Q16" i="2"/>
  <c r="P16" i="2"/>
  <c r="N16" i="2"/>
  <c r="B12" i="1" s="1"/>
  <c r="E16" i="2"/>
  <c r="F16" i="2" s="1"/>
  <c r="E7" i="2"/>
  <c r="D7" i="2"/>
  <c r="G7" i="2" s="1"/>
  <c r="R39" i="2" l="1"/>
  <c r="R53" i="2"/>
  <c r="D38" i="1" s="1"/>
  <c r="R94" i="2"/>
  <c r="R105" i="2"/>
  <c r="R106" i="2"/>
  <c r="R107" i="2"/>
  <c r="R114" i="2"/>
  <c r="R115" i="2"/>
  <c r="R116" i="2"/>
  <c r="R32" i="2"/>
  <c r="R67" i="2"/>
  <c r="D52" i="1" s="1"/>
  <c r="R83" i="2"/>
  <c r="D68" i="1" s="1"/>
  <c r="R84" i="2"/>
  <c r="D69" i="1" s="1"/>
  <c r="R132" i="2"/>
  <c r="R16" i="2"/>
  <c r="D12" i="1" s="1"/>
  <c r="R25" i="2"/>
  <c r="D21" i="1" s="1"/>
  <c r="R28" i="2"/>
  <c r="D24" i="1" s="1"/>
  <c r="R110" i="2"/>
  <c r="R63" i="2"/>
  <c r="D48" i="1" s="1"/>
  <c r="R64" i="2"/>
  <c r="D49" i="1" s="1"/>
  <c r="R65" i="2"/>
  <c r="D50" i="1" s="1"/>
  <c r="R76" i="2"/>
  <c r="D61" i="1" s="1"/>
  <c r="Q61" i="1" s="1"/>
  <c r="R86" i="2"/>
  <c r="D71" i="1" s="1"/>
  <c r="R96" i="2"/>
  <c r="R97" i="2"/>
  <c r="R134" i="2"/>
  <c r="R19" i="2"/>
  <c r="D15" i="1" s="1"/>
  <c r="R26" i="2"/>
  <c r="D22" i="1" s="1"/>
  <c r="R30" i="2"/>
  <c r="R36" i="2"/>
  <c r="Q61" i="2"/>
  <c r="R69" i="2"/>
  <c r="D54" i="1" s="1"/>
  <c r="R71" i="2"/>
  <c r="D56" i="1" s="1"/>
  <c r="F56" i="1" s="1"/>
  <c r="R77" i="2"/>
  <c r="D62" i="1" s="1"/>
  <c r="Q62" i="1" s="1"/>
  <c r="R98" i="2"/>
  <c r="R104" i="2"/>
  <c r="B29" i="1"/>
  <c r="M152" i="2"/>
  <c r="Q119" i="2"/>
  <c r="R23" i="2"/>
  <c r="D19" i="1" s="1"/>
  <c r="R27" i="2"/>
  <c r="D23" i="1" s="1"/>
  <c r="R29" i="2"/>
  <c r="D25" i="1" s="1"/>
  <c r="Q25" i="1" s="1"/>
  <c r="R34" i="2"/>
  <c r="R72" i="2"/>
  <c r="D57" i="1" s="1"/>
  <c r="R74" i="2"/>
  <c r="D59" i="1" s="1"/>
  <c r="R80" i="2"/>
  <c r="D65" i="1" s="1"/>
  <c r="R82" i="2"/>
  <c r="D67" i="1" s="1"/>
  <c r="R108" i="2"/>
  <c r="R111" i="2"/>
  <c r="H11" i="4"/>
  <c r="E65" i="1"/>
  <c r="E39" i="1"/>
  <c r="E19" i="1"/>
  <c r="E60" i="1"/>
  <c r="F60" i="1" s="1"/>
  <c r="Q60" i="1" s="1"/>
  <c r="E58" i="1"/>
  <c r="E45" i="1"/>
  <c r="G12" i="4"/>
  <c r="E75" i="1"/>
  <c r="E71" i="1"/>
  <c r="E25" i="1"/>
  <c r="E74" i="1"/>
  <c r="E70" i="1"/>
  <c r="E24" i="1"/>
  <c r="E22" i="1"/>
  <c r="E77" i="1"/>
  <c r="E73" i="1"/>
  <c r="E69" i="1"/>
  <c r="E27" i="1"/>
  <c r="E26" i="1"/>
  <c r="F26" i="1" s="1"/>
  <c r="E76" i="1"/>
  <c r="E72" i="1"/>
  <c r="E20" i="1"/>
  <c r="G8" i="4"/>
  <c r="E59" i="1"/>
  <c r="E17" i="1"/>
  <c r="E13" i="1"/>
  <c r="E15" i="1"/>
  <c r="E18" i="1"/>
  <c r="E23" i="1"/>
  <c r="E16" i="1"/>
  <c r="E12" i="1"/>
  <c r="E14" i="1"/>
  <c r="E40" i="1"/>
  <c r="E21" i="1"/>
  <c r="E68" i="1"/>
  <c r="E12" i="4"/>
  <c r="H9" i="4"/>
  <c r="F10" i="4"/>
  <c r="H12" i="4"/>
  <c r="H8" i="4"/>
  <c r="I8" i="4"/>
  <c r="D8" i="4"/>
  <c r="I9" i="4"/>
  <c r="I12" i="4"/>
  <c r="H61" i="4"/>
  <c r="H63" i="4" s="1"/>
  <c r="C64" i="4" s="1"/>
  <c r="C66" i="4" s="1"/>
  <c r="F6" i="4"/>
  <c r="E8" i="4"/>
  <c r="D9" i="4"/>
  <c r="G10" i="4"/>
  <c r="E66" i="1"/>
  <c r="F66" i="1" s="1"/>
  <c r="Q66" i="1" s="1"/>
  <c r="D12" i="4"/>
  <c r="C63" i="4"/>
  <c r="D40" i="3"/>
  <c r="E40" i="3" s="1"/>
  <c r="F29" i="2"/>
  <c r="F7" i="2"/>
  <c r="E60" i="4"/>
  <c r="D60" i="4"/>
  <c r="D6" i="4"/>
  <c r="H6" i="4"/>
  <c r="E7" i="4"/>
  <c r="I7" i="4"/>
  <c r="F8" i="4"/>
  <c r="G9" i="4"/>
  <c r="D10" i="4"/>
  <c r="H10" i="4"/>
  <c r="E11" i="4"/>
  <c r="I11" i="4"/>
  <c r="F12" i="4"/>
  <c r="E6" i="4"/>
  <c r="I6" i="4"/>
  <c r="F7" i="4"/>
  <c r="E10" i="4"/>
  <c r="I10" i="4"/>
  <c r="F11" i="4"/>
  <c r="G7" i="4"/>
  <c r="G11" i="4"/>
  <c r="D7" i="4"/>
  <c r="D11" i="4"/>
  <c r="G130" i="2"/>
  <c r="G129" i="2"/>
  <c r="G128" i="2"/>
  <c r="G127" i="2"/>
  <c r="G126" i="2"/>
  <c r="G125" i="2"/>
  <c r="G124" i="2"/>
  <c r="G133" i="2"/>
  <c r="G134" i="2"/>
  <c r="G135" i="2"/>
  <c r="G100" i="2"/>
  <c r="I100" i="2" s="1"/>
  <c r="G98" i="2"/>
  <c r="G104" i="2"/>
  <c r="I104" i="2" s="1"/>
  <c r="G97" i="2"/>
  <c r="I97" i="2" s="1"/>
  <c r="G93" i="2"/>
  <c r="I93" i="2" s="1"/>
  <c r="G89" i="2"/>
  <c r="I89" i="2" s="1"/>
  <c r="G66" i="2"/>
  <c r="I66" i="2" s="1"/>
  <c r="G62" i="2"/>
  <c r="I62" i="2" s="1"/>
  <c r="G60" i="2"/>
  <c r="I60" i="2" s="1"/>
  <c r="G56" i="2"/>
  <c r="I56" i="2" s="1"/>
  <c r="G52" i="2"/>
  <c r="I52" i="2" s="1"/>
  <c r="G85" i="2"/>
  <c r="I85" i="2" s="1"/>
  <c r="G73" i="2"/>
  <c r="I73" i="2" s="1"/>
  <c r="G71" i="2"/>
  <c r="I71" i="2" s="1"/>
  <c r="G67" i="2"/>
  <c r="G63" i="2"/>
  <c r="G61" i="2"/>
  <c r="G57" i="2"/>
  <c r="G53" i="2"/>
  <c r="G37" i="2"/>
  <c r="I37" i="2" s="1"/>
  <c r="G33" i="2"/>
  <c r="I33" i="2" s="1"/>
  <c r="G26" i="2"/>
  <c r="I26" i="2" s="1"/>
  <c r="G39" i="2"/>
  <c r="I39" i="2" s="1"/>
  <c r="G35" i="2"/>
  <c r="I35" i="2" s="1"/>
  <c r="G16" i="2"/>
  <c r="G23" i="2"/>
  <c r="I23" i="2" s="1"/>
  <c r="G18" i="2"/>
  <c r="I18" i="2" s="1"/>
  <c r="G31" i="2"/>
  <c r="I31" i="2" s="1"/>
  <c r="G27" i="2"/>
  <c r="G17" i="2"/>
  <c r="I17" i="2" s="1"/>
  <c r="G19" i="2"/>
  <c r="I19" i="2" s="1"/>
  <c r="G20" i="2"/>
  <c r="I20" i="2" s="1"/>
  <c r="G21" i="2"/>
  <c r="I21" i="2" s="1"/>
  <c r="G22" i="2"/>
  <c r="I22" i="2" s="1"/>
  <c r="G24" i="2"/>
  <c r="I24" i="2" s="1"/>
  <c r="P44" i="2"/>
  <c r="Q44" i="2"/>
  <c r="G28" i="2"/>
  <c r="G34" i="2"/>
  <c r="I34" i="2" s="1"/>
  <c r="G38" i="2"/>
  <c r="I38" i="2" s="1"/>
  <c r="G51" i="2"/>
  <c r="H51" i="2" s="1"/>
  <c r="J51" i="2" s="1"/>
  <c r="G54" i="2"/>
  <c r="I54" i="2" s="1"/>
  <c r="R44" i="2"/>
  <c r="H33" i="2"/>
  <c r="J33" i="2" s="1"/>
  <c r="K33" i="2" s="1"/>
  <c r="G55" i="2"/>
  <c r="I55" i="2" s="1"/>
  <c r="G58" i="2"/>
  <c r="I58" i="2" s="1"/>
  <c r="G64" i="2"/>
  <c r="I64" i="2" s="1"/>
  <c r="N44" i="2"/>
  <c r="G25" i="2"/>
  <c r="I25" i="2" s="1"/>
  <c r="G29" i="2"/>
  <c r="I29" i="2" s="1"/>
  <c r="G30" i="2"/>
  <c r="G32" i="2"/>
  <c r="I32" i="2" s="1"/>
  <c r="G36" i="2"/>
  <c r="I36" i="2" s="1"/>
  <c r="H56" i="2"/>
  <c r="J56" i="2" s="1"/>
  <c r="K56" i="2" s="1"/>
  <c r="G59" i="2"/>
  <c r="I59" i="2" s="1"/>
  <c r="G65" i="2"/>
  <c r="I65" i="2" s="1"/>
  <c r="G68" i="2"/>
  <c r="I68" i="2" s="1"/>
  <c r="H31" i="2"/>
  <c r="J31" i="2" s="1"/>
  <c r="K31" i="2" s="1"/>
  <c r="H35" i="2"/>
  <c r="J35" i="2" s="1"/>
  <c r="K35" i="2" s="1"/>
  <c r="H60" i="2"/>
  <c r="J60" i="2" s="1"/>
  <c r="K60" i="2" s="1"/>
  <c r="G69" i="2"/>
  <c r="H55" i="2"/>
  <c r="J55" i="2" s="1"/>
  <c r="K55" i="2" s="1"/>
  <c r="N61" i="2"/>
  <c r="G70" i="2"/>
  <c r="R70" i="2"/>
  <c r="D55" i="1" s="1"/>
  <c r="H71" i="2"/>
  <c r="J71" i="2" s="1"/>
  <c r="K71" i="2" s="1"/>
  <c r="H73" i="2"/>
  <c r="J73" i="2" s="1"/>
  <c r="K73" i="2" s="1"/>
  <c r="G78" i="2"/>
  <c r="H78" i="2" s="1"/>
  <c r="J78" i="2" s="1"/>
  <c r="G82" i="2"/>
  <c r="G86" i="2"/>
  <c r="I86" i="2" s="1"/>
  <c r="G90" i="2"/>
  <c r="I90" i="2" s="1"/>
  <c r="G94" i="2"/>
  <c r="I94" i="2" s="1"/>
  <c r="P61" i="2"/>
  <c r="R61" i="2" s="1"/>
  <c r="D46" i="1" s="1"/>
  <c r="G74" i="2"/>
  <c r="G77" i="2"/>
  <c r="I77" i="2" s="1"/>
  <c r="G81" i="2"/>
  <c r="I81" i="2" s="1"/>
  <c r="G84" i="2"/>
  <c r="I84" i="2" s="1"/>
  <c r="G91" i="2"/>
  <c r="I91" i="2" s="1"/>
  <c r="G95" i="2"/>
  <c r="I95" i="2" s="1"/>
  <c r="G72" i="2"/>
  <c r="I72" i="2" s="1"/>
  <c r="G83" i="2"/>
  <c r="I83" i="2" s="1"/>
  <c r="R51" i="2"/>
  <c r="D36" i="1" s="1"/>
  <c r="Q36" i="1" s="1"/>
  <c r="G75" i="2"/>
  <c r="I75" i="2" s="1"/>
  <c r="G76" i="2"/>
  <c r="R78" i="2"/>
  <c r="D63" i="1" s="1"/>
  <c r="Q63" i="1" s="1"/>
  <c r="G79" i="2"/>
  <c r="I79" i="2" s="1"/>
  <c r="G80" i="2"/>
  <c r="G87" i="2"/>
  <c r="I87" i="2" s="1"/>
  <c r="H89" i="2"/>
  <c r="J89" i="2" s="1"/>
  <c r="K89" i="2" s="1"/>
  <c r="H93" i="2"/>
  <c r="J93" i="2" s="1"/>
  <c r="K93" i="2" s="1"/>
  <c r="H97" i="2"/>
  <c r="J97" i="2" s="1"/>
  <c r="K97" i="2" s="1"/>
  <c r="G103" i="2"/>
  <c r="H104" i="2"/>
  <c r="J104" i="2" s="1"/>
  <c r="K104" i="2" s="1"/>
  <c r="G109" i="2"/>
  <c r="I109" i="2" s="1"/>
  <c r="G101" i="2"/>
  <c r="I101" i="2" s="1"/>
  <c r="G105" i="2"/>
  <c r="I105" i="2" s="1"/>
  <c r="G116" i="2"/>
  <c r="I116" i="2" s="1"/>
  <c r="G88" i="2"/>
  <c r="I88" i="2" s="1"/>
  <c r="G92" i="2"/>
  <c r="I92" i="2" s="1"/>
  <c r="G96" i="2"/>
  <c r="I96" i="2" s="1"/>
  <c r="G99" i="2"/>
  <c r="R99" i="2"/>
  <c r="H100" i="2"/>
  <c r="J100" i="2" s="1"/>
  <c r="K100" i="2" s="1"/>
  <c r="G102" i="2"/>
  <c r="I102" i="2" s="1"/>
  <c r="G110" i="2"/>
  <c r="G111" i="2"/>
  <c r="I111" i="2" s="1"/>
  <c r="G106" i="2"/>
  <c r="G107" i="2"/>
  <c r="I107" i="2" s="1"/>
  <c r="G113" i="2"/>
  <c r="I113" i="2" s="1"/>
  <c r="G131" i="2"/>
  <c r="G132" i="2"/>
  <c r="G114" i="2"/>
  <c r="I114" i="2" s="1"/>
  <c r="G108" i="2"/>
  <c r="I108" i="2" s="1"/>
  <c r="G112" i="2"/>
  <c r="I112" i="2" s="1"/>
  <c r="G115" i="2"/>
  <c r="I115" i="2" s="1"/>
  <c r="N150" i="2"/>
  <c r="K141" i="2"/>
  <c r="K143" i="2" s="1"/>
  <c r="H83" i="1"/>
  <c r="E61" i="1"/>
  <c r="Q27" i="1"/>
  <c r="Q24" i="1"/>
  <c r="Q23" i="1"/>
  <c r="Q22" i="1"/>
  <c r="Q20" i="1"/>
  <c r="Q19" i="1"/>
  <c r="Q18" i="1"/>
  <c r="Q17" i="1"/>
  <c r="Q16" i="1"/>
  <c r="Q14" i="1"/>
  <c r="Q13" i="1"/>
  <c r="Q12" i="1"/>
  <c r="P119" i="2" l="1"/>
  <c r="H86" i="2"/>
  <c r="J86" i="2" s="1"/>
  <c r="K86" i="2" s="1"/>
  <c r="H65" i="2"/>
  <c r="J65" i="2" s="1"/>
  <c r="K65" i="2" s="1"/>
  <c r="H66" i="2"/>
  <c r="J66" i="2" s="1"/>
  <c r="K66" i="2" s="1"/>
  <c r="H113" i="2"/>
  <c r="J113" i="2" s="1"/>
  <c r="K113" i="2" s="1"/>
  <c r="N119" i="2"/>
  <c r="N120" i="2" s="1"/>
  <c r="B46" i="1"/>
  <c r="H37" i="2"/>
  <c r="J37" i="2" s="1"/>
  <c r="K37" i="2" s="1"/>
  <c r="I27" i="2"/>
  <c r="F64" i="1"/>
  <c r="F49" i="1"/>
  <c r="F48" i="1"/>
  <c r="F45" i="1"/>
  <c r="Q45" i="1" s="1"/>
  <c r="F46" i="1"/>
  <c r="Q46" i="1" s="1"/>
  <c r="F53" i="1"/>
  <c r="H53" i="1" s="1"/>
  <c r="H79" i="2"/>
  <c r="J79" i="2" s="1"/>
  <c r="K79" i="2" s="1"/>
  <c r="H85" i="2"/>
  <c r="J85" i="2" s="1"/>
  <c r="K85" i="2" s="1"/>
  <c r="H62" i="2"/>
  <c r="J62" i="2" s="1"/>
  <c r="K62" i="2" s="1"/>
  <c r="H26" i="2"/>
  <c r="J26" i="2" s="1"/>
  <c r="K26" i="2" s="1"/>
  <c r="H116" i="2"/>
  <c r="J116" i="2" s="1"/>
  <c r="K116" i="2" s="1"/>
  <c r="H109" i="2"/>
  <c r="J109" i="2" s="1"/>
  <c r="K109" i="2" s="1"/>
  <c r="H72" i="2"/>
  <c r="J72" i="2" s="1"/>
  <c r="K72" i="2" s="1"/>
  <c r="H59" i="2"/>
  <c r="J59" i="2" s="1"/>
  <c r="K59" i="2" s="1"/>
  <c r="H23" i="2"/>
  <c r="J23" i="2" s="1"/>
  <c r="K23" i="2" s="1"/>
  <c r="H84" i="2"/>
  <c r="J84" i="2" s="1"/>
  <c r="K84" i="2" s="1"/>
  <c r="H58" i="2"/>
  <c r="J58" i="2" s="1"/>
  <c r="K58" i="2" s="1"/>
  <c r="H115" i="2"/>
  <c r="J115" i="2" s="1"/>
  <c r="K115" i="2" s="1"/>
  <c r="H90" i="2"/>
  <c r="J90" i="2" s="1"/>
  <c r="K90" i="2" s="1"/>
  <c r="H27" i="2"/>
  <c r="J27" i="2" s="1"/>
  <c r="K27" i="2" s="1"/>
  <c r="H32" i="2"/>
  <c r="J32" i="2" s="1"/>
  <c r="K32" i="2" s="1"/>
  <c r="H38" i="2"/>
  <c r="J38" i="2" s="1"/>
  <c r="K38" i="2" s="1"/>
  <c r="H52" i="2"/>
  <c r="J52" i="2" s="1"/>
  <c r="K52" i="2" s="1"/>
  <c r="H19" i="2"/>
  <c r="J19" i="2" s="1"/>
  <c r="K19" i="2" s="1"/>
  <c r="F15" i="1"/>
  <c r="H15" i="1" s="1"/>
  <c r="Q15" i="1"/>
  <c r="Q21" i="1"/>
  <c r="F21" i="1"/>
  <c r="H21" i="1" s="1"/>
  <c r="F25" i="1"/>
  <c r="H25" i="1" s="1"/>
  <c r="F69" i="1"/>
  <c r="Q69" i="1" s="1"/>
  <c r="F72" i="1"/>
  <c r="F73" i="1"/>
  <c r="Q73" i="1" s="1"/>
  <c r="F76" i="1"/>
  <c r="F77" i="1"/>
  <c r="Q77" i="1" s="1"/>
  <c r="H112" i="2"/>
  <c r="J112" i="2" s="1"/>
  <c r="K112" i="2" s="1"/>
  <c r="H105" i="2"/>
  <c r="J105" i="2" s="1"/>
  <c r="K105" i="2" s="1"/>
  <c r="H95" i="2"/>
  <c r="J95" i="2" s="1"/>
  <c r="K95" i="2" s="1"/>
  <c r="H94" i="2"/>
  <c r="J94" i="2" s="1"/>
  <c r="K94" i="2" s="1"/>
  <c r="H24" i="2"/>
  <c r="J24" i="2" s="1"/>
  <c r="K24" i="2" s="1"/>
  <c r="H21" i="2"/>
  <c r="J21" i="2" s="1"/>
  <c r="K21" i="2" s="1"/>
  <c r="Q56" i="1"/>
  <c r="F19" i="1"/>
  <c r="H19" i="1" s="1"/>
  <c r="F20" i="1"/>
  <c r="H20" i="1" s="1"/>
  <c r="F23" i="1"/>
  <c r="H23" i="1" s="1"/>
  <c r="F24" i="1"/>
  <c r="H24" i="1" s="1"/>
  <c r="F62" i="1"/>
  <c r="F41" i="1"/>
  <c r="F63" i="1"/>
  <c r="F13" i="1"/>
  <c r="H13" i="1" s="1"/>
  <c r="F17" i="1"/>
  <c r="H17" i="1" s="1"/>
  <c r="B79" i="1"/>
  <c r="F39" i="1"/>
  <c r="F43" i="1"/>
  <c r="F51" i="1"/>
  <c r="F54" i="1"/>
  <c r="Q54" i="1" s="1"/>
  <c r="F57" i="1"/>
  <c r="F14" i="1"/>
  <c r="H14" i="1" s="1"/>
  <c r="F18" i="1"/>
  <c r="H18" i="1" s="1"/>
  <c r="F22" i="1"/>
  <c r="H22" i="1" s="1"/>
  <c r="H26" i="1"/>
  <c r="F40" i="1"/>
  <c r="F52" i="1"/>
  <c r="F55" i="1"/>
  <c r="F59" i="1"/>
  <c r="Q59" i="1" s="1"/>
  <c r="H66" i="1"/>
  <c r="F67" i="1"/>
  <c r="F75" i="1"/>
  <c r="I106" i="2"/>
  <c r="H106" i="2"/>
  <c r="J106" i="2" s="1"/>
  <c r="K106" i="2" s="1"/>
  <c r="I110" i="2"/>
  <c r="H110" i="2"/>
  <c r="J110" i="2" s="1"/>
  <c r="K110" i="2" s="1"/>
  <c r="H102" i="2"/>
  <c r="J102" i="2" s="1"/>
  <c r="K102" i="2" s="1"/>
  <c r="I103" i="2"/>
  <c r="H103" i="2"/>
  <c r="J103" i="2" s="1"/>
  <c r="K103" i="2" s="1"/>
  <c r="R119" i="2"/>
  <c r="H88" i="2"/>
  <c r="J88" i="2" s="1"/>
  <c r="K88" i="2" s="1"/>
  <c r="H77" i="2"/>
  <c r="J77" i="2" s="1"/>
  <c r="K77" i="2" s="1"/>
  <c r="K78" i="2"/>
  <c r="K51" i="2"/>
  <c r="I28" i="2"/>
  <c r="H28" i="2"/>
  <c r="J28" i="2" s="1"/>
  <c r="K28" i="2" s="1"/>
  <c r="I61" i="2"/>
  <c r="H61" i="2"/>
  <c r="J61" i="2" s="1"/>
  <c r="K61" i="2" s="1"/>
  <c r="I124" i="2"/>
  <c r="H124" i="2"/>
  <c r="J124" i="2" s="1"/>
  <c r="K124" i="2" s="1"/>
  <c r="I128" i="2"/>
  <c r="H128" i="2"/>
  <c r="J128" i="2" s="1"/>
  <c r="K128" i="2" s="1"/>
  <c r="I80" i="2"/>
  <c r="H80" i="2"/>
  <c r="J80" i="2" s="1"/>
  <c r="K80" i="2" s="1"/>
  <c r="I76" i="2"/>
  <c r="H76" i="2"/>
  <c r="J76" i="2" s="1"/>
  <c r="K76" i="2" s="1"/>
  <c r="N152" i="2"/>
  <c r="N45" i="2"/>
  <c r="I63" i="2"/>
  <c r="H63" i="2"/>
  <c r="J63" i="2" s="1"/>
  <c r="K63" i="2" s="1"/>
  <c r="I135" i="2"/>
  <c r="H135" i="2"/>
  <c r="J135" i="2" s="1"/>
  <c r="K135" i="2" s="1"/>
  <c r="I125" i="2"/>
  <c r="H125" i="2"/>
  <c r="J125" i="2" s="1"/>
  <c r="K125" i="2" s="1"/>
  <c r="I129" i="2"/>
  <c r="H129" i="2"/>
  <c r="J129" i="2" s="1"/>
  <c r="K129" i="2" s="1"/>
  <c r="I132" i="2"/>
  <c r="H132" i="2"/>
  <c r="J132" i="2" s="1"/>
  <c r="K132" i="2" s="1"/>
  <c r="H107" i="2"/>
  <c r="J107" i="2" s="1"/>
  <c r="K107" i="2" s="1"/>
  <c r="H111" i="2"/>
  <c r="J111" i="2" s="1"/>
  <c r="K111" i="2" s="1"/>
  <c r="I99" i="2"/>
  <c r="H99" i="2"/>
  <c r="J99" i="2" s="1"/>
  <c r="K99" i="2" s="1"/>
  <c r="H114" i="2"/>
  <c r="J114" i="2" s="1"/>
  <c r="K114" i="2" s="1"/>
  <c r="H108" i="2"/>
  <c r="J108" i="2" s="1"/>
  <c r="K108" i="2" s="1"/>
  <c r="H87" i="2"/>
  <c r="J87" i="2" s="1"/>
  <c r="K87" i="2" s="1"/>
  <c r="H75" i="2"/>
  <c r="H96" i="2"/>
  <c r="J96" i="2" s="1"/>
  <c r="K96" i="2" s="1"/>
  <c r="H83" i="2"/>
  <c r="J83" i="2" s="1"/>
  <c r="K83" i="2" s="1"/>
  <c r="H81" i="2"/>
  <c r="I74" i="2"/>
  <c r="H74" i="2"/>
  <c r="J74" i="2" s="1"/>
  <c r="K74" i="2" s="1"/>
  <c r="I82" i="2"/>
  <c r="H82" i="2"/>
  <c r="J82" i="2" s="1"/>
  <c r="K82" i="2" s="1"/>
  <c r="I70" i="2"/>
  <c r="H70" i="2"/>
  <c r="J70" i="2" s="1"/>
  <c r="K70" i="2" s="1"/>
  <c r="I69" i="2"/>
  <c r="H69" i="2"/>
  <c r="J69" i="2" s="1"/>
  <c r="K69" i="2" s="1"/>
  <c r="H68" i="2"/>
  <c r="J68" i="2" s="1"/>
  <c r="K68" i="2" s="1"/>
  <c r="H30" i="2"/>
  <c r="J30" i="2" s="1"/>
  <c r="K30" i="2" s="1"/>
  <c r="I30" i="2"/>
  <c r="H25" i="2"/>
  <c r="J25" i="2" s="1"/>
  <c r="K25" i="2" s="1"/>
  <c r="H54" i="2"/>
  <c r="J54" i="2" s="1"/>
  <c r="K54" i="2" s="1"/>
  <c r="G44" i="2"/>
  <c r="I16" i="2"/>
  <c r="I53" i="2"/>
  <c r="H53" i="2"/>
  <c r="J53" i="2" s="1"/>
  <c r="K53" i="2" s="1"/>
  <c r="I67" i="2"/>
  <c r="H67" i="2"/>
  <c r="J67" i="2" s="1"/>
  <c r="K67" i="2" s="1"/>
  <c r="I134" i="2"/>
  <c r="H134" i="2"/>
  <c r="J134" i="2" s="1"/>
  <c r="K134" i="2" s="1"/>
  <c r="I126" i="2"/>
  <c r="H126" i="2"/>
  <c r="J126" i="2" s="1"/>
  <c r="K126" i="2" s="1"/>
  <c r="I130" i="2"/>
  <c r="H130" i="2"/>
  <c r="J130" i="2" s="1"/>
  <c r="K130" i="2" s="1"/>
  <c r="I131" i="2"/>
  <c r="H131" i="2"/>
  <c r="J131" i="2" s="1"/>
  <c r="K131" i="2" s="1"/>
  <c r="H101" i="2"/>
  <c r="J101" i="2" s="1"/>
  <c r="K101" i="2" s="1"/>
  <c r="H92" i="2"/>
  <c r="J92" i="2" s="1"/>
  <c r="K92" i="2" s="1"/>
  <c r="H91" i="2"/>
  <c r="J91" i="2" s="1"/>
  <c r="K91" i="2" s="1"/>
  <c r="I78" i="2"/>
  <c r="H39" i="2"/>
  <c r="J39" i="2" s="1"/>
  <c r="K39" i="2" s="1"/>
  <c r="H36" i="2"/>
  <c r="J36" i="2" s="1"/>
  <c r="K36" i="2" s="1"/>
  <c r="H64" i="2"/>
  <c r="J64" i="2" s="1"/>
  <c r="K64" i="2" s="1"/>
  <c r="H29" i="2"/>
  <c r="J29" i="2" s="1"/>
  <c r="K29" i="2" s="1"/>
  <c r="I51" i="2"/>
  <c r="H34" i="2"/>
  <c r="J34" i="2" s="1"/>
  <c r="K34" i="2" s="1"/>
  <c r="H22" i="2"/>
  <c r="J22" i="2" s="1"/>
  <c r="K22" i="2" s="1"/>
  <c r="H20" i="2"/>
  <c r="J20" i="2" s="1"/>
  <c r="K20" i="2" s="1"/>
  <c r="H17" i="2"/>
  <c r="J17" i="2" s="1"/>
  <c r="K17" i="2" s="1"/>
  <c r="H18" i="2"/>
  <c r="J18" i="2" s="1"/>
  <c r="K18" i="2" s="1"/>
  <c r="H16" i="2"/>
  <c r="J16" i="2" s="1"/>
  <c r="K16" i="2" s="1"/>
  <c r="I57" i="2"/>
  <c r="H57" i="2"/>
  <c r="J57" i="2" s="1"/>
  <c r="K57" i="2" s="1"/>
  <c r="I98" i="2"/>
  <c r="H98" i="2"/>
  <c r="J98" i="2" s="1"/>
  <c r="K98" i="2" s="1"/>
  <c r="H133" i="2"/>
  <c r="J133" i="2" s="1"/>
  <c r="K133" i="2" s="1"/>
  <c r="I133" i="2"/>
  <c r="I127" i="2"/>
  <c r="H127" i="2"/>
  <c r="J127" i="2" s="1"/>
  <c r="K127" i="2" s="1"/>
  <c r="D29" i="1"/>
  <c r="F16" i="1"/>
  <c r="H16" i="1" s="1"/>
  <c r="F38" i="1"/>
  <c r="F44" i="1"/>
  <c r="F47" i="1"/>
  <c r="F50" i="1"/>
  <c r="H60" i="1"/>
  <c r="F68" i="1"/>
  <c r="F71" i="1"/>
  <c r="F74" i="1"/>
  <c r="F27" i="1"/>
  <c r="H27" i="1" s="1"/>
  <c r="F42" i="1"/>
  <c r="F58" i="1"/>
  <c r="F65" i="1"/>
  <c r="H46" i="1"/>
  <c r="F70" i="1"/>
  <c r="F12" i="1"/>
  <c r="F61" i="1"/>
  <c r="H61" i="1" s="1"/>
  <c r="F36" i="1"/>
  <c r="F37" i="1"/>
  <c r="D79" i="1"/>
  <c r="H45" i="1" l="1"/>
  <c r="H77" i="1"/>
  <c r="H56" i="1"/>
  <c r="Q49" i="1"/>
  <c r="H49" i="1"/>
  <c r="H59" i="1"/>
  <c r="H69" i="1"/>
  <c r="Q53" i="1"/>
  <c r="H73" i="1"/>
  <c r="I44" i="2"/>
  <c r="I45" i="2" s="1"/>
  <c r="Q29" i="1"/>
  <c r="H65" i="1"/>
  <c r="Q65" i="1"/>
  <c r="H37" i="1"/>
  <c r="Q37" i="1"/>
  <c r="H70" i="1"/>
  <c r="Q70" i="1"/>
  <c r="H42" i="1"/>
  <c r="Q42" i="1"/>
  <c r="H68" i="1"/>
  <c r="Q68" i="1"/>
  <c r="H44" i="1"/>
  <c r="Q44" i="1"/>
  <c r="H67" i="1"/>
  <c r="Q67" i="1"/>
  <c r="H52" i="1"/>
  <c r="Q52" i="1"/>
  <c r="H43" i="1"/>
  <c r="Q43" i="1"/>
  <c r="H63" i="1"/>
  <c r="H74" i="1"/>
  <c r="Q74" i="1"/>
  <c r="H38" i="1"/>
  <c r="Q38" i="1"/>
  <c r="H48" i="1"/>
  <c r="Q48" i="1"/>
  <c r="H57" i="1"/>
  <c r="Q57" i="1"/>
  <c r="H39" i="1"/>
  <c r="Q39" i="1"/>
  <c r="H41" i="1"/>
  <c r="Q41" i="1"/>
  <c r="H72" i="1"/>
  <c r="Q72" i="1"/>
  <c r="H40" i="1"/>
  <c r="Q40" i="1"/>
  <c r="H54" i="1"/>
  <c r="H62" i="1"/>
  <c r="H50" i="1"/>
  <c r="Q50" i="1"/>
  <c r="H58" i="1"/>
  <c r="Q58" i="1"/>
  <c r="H71" i="1"/>
  <c r="Q71" i="1"/>
  <c r="H47" i="1"/>
  <c r="Q47" i="1"/>
  <c r="H75" i="1"/>
  <c r="Q75" i="1"/>
  <c r="H55" i="1"/>
  <c r="Q55" i="1"/>
  <c r="H51" i="1"/>
  <c r="Q51" i="1"/>
  <c r="H64" i="1"/>
  <c r="H76" i="1"/>
  <c r="Q76" i="1"/>
  <c r="I119" i="2"/>
  <c r="I120" i="2" s="1"/>
  <c r="K138" i="2"/>
  <c r="K44" i="2"/>
  <c r="I138" i="2"/>
  <c r="K119" i="2"/>
  <c r="F79" i="1"/>
  <c r="H36" i="1"/>
  <c r="H12" i="1"/>
  <c r="F29" i="1"/>
  <c r="I7" i="2" l="1"/>
  <c r="J7" i="2" s="1"/>
  <c r="F80" i="1"/>
  <c r="K152" i="2"/>
  <c r="Q79" i="1"/>
  <c r="I152" i="2"/>
  <c r="H79" i="1"/>
  <c r="D90" i="1"/>
  <c r="H29" i="1"/>
  <c r="Q80" i="1" l="1"/>
  <c r="H80" i="1"/>
  <c r="D91" i="1" s="1"/>
  <c r="I36" i="1" l="1"/>
  <c r="J36" i="1" s="1"/>
  <c r="K36" i="1" s="1"/>
  <c r="L36" i="1" s="1"/>
  <c r="P36" i="1" s="1"/>
  <c r="I46" i="1"/>
  <c r="J46" i="1" s="1"/>
  <c r="K46" i="1" s="1"/>
  <c r="I39" i="1"/>
  <c r="J39" i="1" s="1"/>
  <c r="K39" i="1" s="1"/>
  <c r="I67" i="1"/>
  <c r="J67" i="1" s="1"/>
  <c r="K67" i="1" s="1"/>
  <c r="I54" i="1"/>
  <c r="J54" i="1" s="1"/>
  <c r="K54" i="1" s="1"/>
  <c r="I56" i="1"/>
  <c r="J56" i="1" s="1"/>
  <c r="K56" i="1" s="1"/>
  <c r="I77" i="1"/>
  <c r="J77" i="1" s="1"/>
  <c r="K77" i="1" s="1"/>
  <c r="L77" i="1" s="1"/>
  <c r="N77" i="1" s="1"/>
  <c r="R77" i="1" s="1"/>
  <c r="S77" i="1" s="1"/>
  <c r="I25" i="1"/>
  <c r="J25" i="1" s="1"/>
  <c r="K25" i="1" s="1"/>
  <c r="L25" i="1" s="1"/>
  <c r="I63" i="1"/>
  <c r="J63" i="1" s="1"/>
  <c r="K63" i="1" s="1"/>
  <c r="L63" i="1" s="1"/>
  <c r="P63" i="1" s="1"/>
  <c r="I22" i="1"/>
  <c r="J22" i="1" s="1"/>
  <c r="K22" i="1" s="1"/>
  <c r="L22" i="1" s="1"/>
  <c r="D76" i="3" s="1"/>
  <c r="I59" i="1"/>
  <c r="J59" i="1" s="1"/>
  <c r="K59" i="1" s="1"/>
  <c r="I83" i="1"/>
  <c r="J83" i="1" s="1"/>
  <c r="K83" i="1" s="1"/>
  <c r="L83" i="1" s="1"/>
  <c r="I40" i="1"/>
  <c r="J40" i="1" s="1"/>
  <c r="K40" i="1" s="1"/>
  <c r="I75" i="1"/>
  <c r="J75" i="1" s="1"/>
  <c r="K75" i="1" s="1"/>
  <c r="L75" i="1" s="1"/>
  <c r="P75" i="1" s="1"/>
  <c r="I18" i="1"/>
  <c r="J18" i="1" s="1"/>
  <c r="K18" i="1" s="1"/>
  <c r="L18" i="1" s="1"/>
  <c r="D18" i="3" s="1"/>
  <c r="E18" i="3" s="1"/>
  <c r="I52" i="1"/>
  <c r="J52" i="1" s="1"/>
  <c r="K52" i="1" s="1"/>
  <c r="L52" i="1" s="1"/>
  <c r="I38" i="1"/>
  <c r="J38" i="1" s="1"/>
  <c r="K38" i="1" s="1"/>
  <c r="I62" i="1"/>
  <c r="J62" i="1" s="1"/>
  <c r="K62" i="1" s="1"/>
  <c r="L62" i="1" s="1"/>
  <c r="P62" i="1" s="1"/>
  <c r="I43" i="1"/>
  <c r="J43" i="1" s="1"/>
  <c r="K43" i="1" s="1"/>
  <c r="I27" i="1"/>
  <c r="J27" i="1" s="1"/>
  <c r="K27" i="1" s="1"/>
  <c r="L27" i="1" s="1"/>
  <c r="N27" i="1" s="1"/>
  <c r="R27" i="1" s="1"/>
  <c r="I21" i="1"/>
  <c r="J21" i="1" s="1"/>
  <c r="K21" i="1" s="1"/>
  <c r="L21" i="1" s="1"/>
  <c r="N21" i="1" s="1"/>
  <c r="R21" i="1" s="1"/>
  <c r="I45" i="1"/>
  <c r="J45" i="1" s="1"/>
  <c r="K45" i="1" s="1"/>
  <c r="I50" i="1"/>
  <c r="J50" i="1" s="1"/>
  <c r="K50" i="1" s="1"/>
  <c r="I37" i="1"/>
  <c r="J37" i="1" s="1"/>
  <c r="K37" i="1" s="1"/>
  <c r="I57" i="1"/>
  <c r="J57" i="1" s="1"/>
  <c r="K57" i="1" s="1"/>
  <c r="I73" i="1"/>
  <c r="J73" i="1" s="1"/>
  <c r="K73" i="1" s="1"/>
  <c r="L73" i="1" s="1"/>
  <c r="N73" i="1" s="1"/>
  <c r="R73" i="1" s="1"/>
  <c r="S73" i="1" s="1"/>
  <c r="I19" i="1"/>
  <c r="J19" i="1" s="1"/>
  <c r="K19" i="1" s="1"/>
  <c r="L19" i="1" s="1"/>
  <c r="D12" i="3" s="1"/>
  <c r="E12" i="3" s="1"/>
  <c r="I76" i="1"/>
  <c r="J76" i="1" s="1"/>
  <c r="K76" i="1" s="1"/>
  <c r="L76" i="1" s="1"/>
  <c r="N76" i="1" s="1"/>
  <c r="R76" i="1" s="1"/>
  <c r="S76" i="1" s="1"/>
  <c r="I60" i="1"/>
  <c r="J60" i="1" s="1"/>
  <c r="K60" i="1" s="1"/>
  <c r="I20" i="1"/>
  <c r="J20" i="1" s="1"/>
  <c r="K20" i="1" s="1"/>
  <c r="L20" i="1" s="1"/>
  <c r="I55" i="1"/>
  <c r="J55" i="1" s="1"/>
  <c r="K55" i="1" s="1"/>
  <c r="I71" i="1"/>
  <c r="J71" i="1" s="1"/>
  <c r="K71" i="1" s="1"/>
  <c r="L71" i="1" s="1"/>
  <c r="P71" i="1" s="1"/>
  <c r="I13" i="1"/>
  <c r="J13" i="1" s="1"/>
  <c r="K13" i="1" s="1"/>
  <c r="L13" i="1" s="1"/>
  <c r="D13" i="3" s="1"/>
  <c r="E13" i="3" s="1"/>
  <c r="I65" i="1"/>
  <c r="J65" i="1" s="1"/>
  <c r="K65" i="1" s="1"/>
  <c r="I64" i="1"/>
  <c r="J64" i="1" s="1"/>
  <c r="K64" i="1" s="1"/>
  <c r="L64" i="1" s="1"/>
  <c r="P64" i="1" s="1"/>
  <c r="I44" i="1"/>
  <c r="J44" i="1" s="1"/>
  <c r="K44" i="1" s="1"/>
  <c r="I16" i="1"/>
  <c r="J16" i="1" s="1"/>
  <c r="K16" i="1" s="1"/>
  <c r="L16" i="1" s="1"/>
  <c r="D16" i="3" s="1"/>
  <c r="E16" i="3" s="1"/>
  <c r="I68" i="1"/>
  <c r="J68" i="1" s="1"/>
  <c r="K68" i="1" s="1"/>
  <c r="L68" i="1" s="1"/>
  <c r="I61" i="1"/>
  <c r="J61" i="1" s="1"/>
  <c r="K61" i="1" s="1"/>
  <c r="L61" i="1" s="1"/>
  <c r="I23" i="1"/>
  <c r="J23" i="1" s="1"/>
  <c r="K23" i="1" s="1"/>
  <c r="L23" i="1" s="1"/>
  <c r="D22" i="3" s="1"/>
  <c r="E22" i="3" s="1"/>
  <c r="I51" i="1"/>
  <c r="J51" i="1" s="1"/>
  <c r="K51" i="1" s="1"/>
  <c r="I48" i="1"/>
  <c r="J48" i="1" s="1"/>
  <c r="K48" i="1" s="1"/>
  <c r="I69" i="1"/>
  <c r="J69" i="1" s="1"/>
  <c r="K69" i="1" s="1"/>
  <c r="L69" i="1" s="1"/>
  <c r="I72" i="1"/>
  <c r="J72" i="1" s="1"/>
  <c r="K72" i="1" s="1"/>
  <c r="L72" i="1" s="1"/>
  <c r="P72" i="1" s="1"/>
  <c r="I49" i="1"/>
  <c r="J49" i="1" s="1"/>
  <c r="K49" i="1" s="1"/>
  <c r="I17" i="1"/>
  <c r="J17" i="1" s="1"/>
  <c r="K17" i="1" s="1"/>
  <c r="L17" i="1" s="1"/>
  <c r="I42" i="1"/>
  <c r="J42" i="1" s="1"/>
  <c r="K42" i="1" s="1"/>
  <c r="I26" i="1"/>
  <c r="J26" i="1" s="1"/>
  <c r="K26" i="1" s="1"/>
  <c r="L26" i="1" s="1"/>
  <c r="I66" i="1"/>
  <c r="J66" i="1" s="1"/>
  <c r="K66" i="1" s="1"/>
  <c r="L66" i="1" s="1"/>
  <c r="I41" i="1"/>
  <c r="J41" i="1" s="1"/>
  <c r="K41" i="1" s="1"/>
  <c r="I47" i="1"/>
  <c r="J47" i="1" s="1"/>
  <c r="K47" i="1" s="1"/>
  <c r="I70" i="1"/>
  <c r="J70" i="1" s="1"/>
  <c r="K70" i="1" s="1"/>
  <c r="L70" i="1" s="1"/>
  <c r="N70" i="1" s="1"/>
  <c r="R70" i="1" s="1"/>
  <c r="S70" i="1" s="1"/>
  <c r="I58" i="1"/>
  <c r="J58" i="1" s="1"/>
  <c r="K58" i="1" s="1"/>
  <c r="I53" i="1"/>
  <c r="J53" i="1" s="1"/>
  <c r="K53" i="1" s="1"/>
  <c r="I14" i="1"/>
  <c r="J14" i="1" s="1"/>
  <c r="K14" i="1" s="1"/>
  <c r="L14" i="1" s="1"/>
  <c r="P14" i="1" s="1"/>
  <c r="I12" i="1"/>
  <c r="J12" i="1" s="1"/>
  <c r="K12" i="1" s="1"/>
  <c r="I74" i="1"/>
  <c r="J74" i="1" s="1"/>
  <c r="K74" i="1" s="1"/>
  <c r="L74" i="1" s="1"/>
  <c r="N74" i="1" s="1"/>
  <c r="R74" i="1" s="1"/>
  <c r="S74" i="1" s="1"/>
  <c r="I15" i="1"/>
  <c r="J15" i="1" s="1"/>
  <c r="K15" i="1" s="1"/>
  <c r="L15" i="1" s="1"/>
  <c r="I24" i="1"/>
  <c r="J24" i="1" s="1"/>
  <c r="K24" i="1" s="1"/>
  <c r="L24" i="1" s="1"/>
  <c r="P24" i="1" s="1"/>
  <c r="P69" i="1" l="1"/>
  <c r="D65" i="3"/>
  <c r="D72" i="3" s="1"/>
  <c r="D73" i="3" s="1"/>
  <c r="L67" i="1"/>
  <c r="D75" i="3" s="1"/>
  <c r="E75" i="3" s="1"/>
  <c r="D74" i="3"/>
  <c r="E74" i="3" s="1"/>
  <c r="L44" i="1"/>
  <c r="N44" i="1" s="1"/>
  <c r="R44" i="1" s="1"/>
  <c r="S44" i="1" s="1"/>
  <c r="L37" i="1"/>
  <c r="P37" i="1" s="1"/>
  <c r="L42" i="1"/>
  <c r="N42" i="1" s="1"/>
  <c r="R42" i="1" s="1"/>
  <c r="S42" i="1" s="1"/>
  <c r="D67" i="3"/>
  <c r="E67" i="3" s="1"/>
  <c r="P61" i="1"/>
  <c r="L55" i="1"/>
  <c r="P55" i="1" s="1"/>
  <c r="L50" i="1"/>
  <c r="N50" i="1" s="1"/>
  <c r="R50" i="1" s="1"/>
  <c r="S50" i="1" s="1"/>
  <c r="L43" i="1"/>
  <c r="P43" i="1" s="1"/>
  <c r="L59" i="1"/>
  <c r="D48" i="3" s="1"/>
  <c r="L39" i="1"/>
  <c r="N39" i="1" s="1"/>
  <c r="R39" i="1" s="1"/>
  <c r="S39" i="1" s="1"/>
  <c r="L41" i="1"/>
  <c r="N41" i="1" s="1"/>
  <c r="R41" i="1" s="1"/>
  <c r="S41" i="1" s="1"/>
  <c r="L48" i="1"/>
  <c r="P48" i="1" s="1"/>
  <c r="L45" i="1"/>
  <c r="P45" i="1" s="1"/>
  <c r="L56" i="1"/>
  <c r="P56" i="1" s="1"/>
  <c r="L46" i="1"/>
  <c r="P46" i="1" s="1"/>
  <c r="L47" i="1"/>
  <c r="P47" i="1" s="1"/>
  <c r="L53" i="1"/>
  <c r="P53" i="1" s="1"/>
  <c r="L58" i="1"/>
  <c r="P58" i="1" s="1"/>
  <c r="L49" i="1"/>
  <c r="N49" i="1" s="1"/>
  <c r="R49" i="1" s="1"/>
  <c r="S49" i="1" s="1"/>
  <c r="L51" i="1"/>
  <c r="P51" i="1" s="1"/>
  <c r="L60" i="1"/>
  <c r="N60" i="1" s="1"/>
  <c r="R60" i="1" s="1"/>
  <c r="S60" i="1" s="1"/>
  <c r="L57" i="1"/>
  <c r="P57" i="1" s="1"/>
  <c r="L38" i="1"/>
  <c r="N38" i="1" s="1"/>
  <c r="R38" i="1" s="1"/>
  <c r="S38" i="1" s="1"/>
  <c r="L40" i="1"/>
  <c r="P40" i="1" s="1"/>
  <c r="L54" i="1"/>
  <c r="P54" i="1" s="1"/>
  <c r="P66" i="1"/>
  <c r="L65" i="1"/>
  <c r="P65" i="1" s="1"/>
  <c r="N52" i="1"/>
  <c r="R52" i="1" s="1"/>
  <c r="S52" i="1" s="1"/>
  <c r="N63" i="1"/>
  <c r="N56" i="1"/>
  <c r="R56" i="1" s="1"/>
  <c r="S56" i="1" s="1"/>
  <c r="N13" i="1"/>
  <c r="R13" i="1" s="1"/>
  <c r="P16" i="1"/>
  <c r="P13" i="1"/>
  <c r="P76" i="1"/>
  <c r="T76" i="1" s="1"/>
  <c r="N19" i="1"/>
  <c r="R19" i="1" s="1"/>
  <c r="N75" i="1"/>
  <c r="R75" i="1" s="1"/>
  <c r="S75" i="1" s="1"/>
  <c r="T75" i="1" s="1"/>
  <c r="N18" i="1"/>
  <c r="R18" i="1" s="1"/>
  <c r="P77" i="1"/>
  <c r="T77" i="1" s="1"/>
  <c r="P21" i="1"/>
  <c r="P18" i="1"/>
  <c r="N64" i="1"/>
  <c r="N61" i="1"/>
  <c r="R61" i="1" s="1"/>
  <c r="S61" i="1" s="1"/>
  <c r="P19" i="1"/>
  <c r="E73" i="3"/>
  <c r="E72" i="3"/>
  <c r="D77" i="3"/>
  <c r="E77" i="3" s="1"/>
  <c r="E76" i="3"/>
  <c r="P67" i="1"/>
  <c r="P68" i="1"/>
  <c r="N66" i="1"/>
  <c r="R66" i="1" s="1"/>
  <c r="S66" i="1" s="1"/>
  <c r="N16" i="1"/>
  <c r="R16" i="1" s="1"/>
  <c r="P70" i="1"/>
  <c r="T70" i="1" s="1"/>
  <c r="N23" i="1"/>
  <c r="R23" i="1" s="1"/>
  <c r="N71" i="1"/>
  <c r="R71" i="1" s="1"/>
  <c r="S71" i="1" s="1"/>
  <c r="T71" i="1" s="1"/>
  <c r="P44" i="1"/>
  <c r="N83" i="1"/>
  <c r="D47" i="3"/>
  <c r="N17" i="1"/>
  <c r="R17" i="1" s="1"/>
  <c r="D17" i="3"/>
  <c r="E17" i="3" s="1"/>
  <c r="P20" i="1"/>
  <c r="D11" i="3"/>
  <c r="E11" i="3" s="1"/>
  <c r="N22" i="1"/>
  <c r="R22" i="1" s="1"/>
  <c r="D23" i="3"/>
  <c r="E23" i="3" s="1"/>
  <c r="D28" i="3"/>
  <c r="E28" i="3" s="1"/>
  <c r="P23" i="1"/>
  <c r="N67" i="1"/>
  <c r="R67" i="1" s="1"/>
  <c r="S67" i="1" s="1"/>
  <c r="N72" i="1"/>
  <c r="R72" i="1" s="1"/>
  <c r="S72" i="1" s="1"/>
  <c r="T72" i="1" s="1"/>
  <c r="D27" i="3"/>
  <c r="E27" i="3" s="1"/>
  <c r="D20" i="3"/>
  <c r="E20" i="3" s="1"/>
  <c r="N15" i="1"/>
  <c r="R15" i="1" s="1"/>
  <c r="D15" i="3"/>
  <c r="E15" i="3" s="1"/>
  <c r="P26" i="1"/>
  <c r="D7" i="3"/>
  <c r="E7" i="3" s="1"/>
  <c r="P27" i="1"/>
  <c r="D32" i="3"/>
  <c r="P25" i="1"/>
  <c r="D26" i="3"/>
  <c r="N25" i="1"/>
  <c r="R25" i="1" s="1"/>
  <c r="N26" i="1"/>
  <c r="R26" i="1" s="1"/>
  <c r="N14" i="1"/>
  <c r="R14" i="1" s="1"/>
  <c r="D14" i="3"/>
  <c r="E14" i="3" s="1"/>
  <c r="N69" i="1"/>
  <c r="R69" i="1" s="1"/>
  <c r="S69" i="1" s="1"/>
  <c r="T69" i="1" s="1"/>
  <c r="N68" i="1"/>
  <c r="R68" i="1" s="1"/>
  <c r="S68" i="1" s="1"/>
  <c r="N62" i="1"/>
  <c r="P17" i="1"/>
  <c r="P22" i="1"/>
  <c r="P73" i="1"/>
  <c r="T73" i="1" s="1"/>
  <c r="P15" i="1"/>
  <c r="N20" i="1"/>
  <c r="R20" i="1" s="1"/>
  <c r="I79" i="1"/>
  <c r="N24" i="1"/>
  <c r="R24" i="1" s="1"/>
  <c r="I29" i="1"/>
  <c r="K29" i="1"/>
  <c r="L12" i="1"/>
  <c r="P74" i="1"/>
  <c r="T74" i="1" s="1"/>
  <c r="J29" i="1"/>
  <c r="J79" i="1"/>
  <c r="K79" i="1"/>
  <c r="N48" i="1" l="1"/>
  <c r="R48" i="1" s="1"/>
  <c r="S48" i="1" s="1"/>
  <c r="T48" i="1" s="1"/>
  <c r="N51" i="1"/>
  <c r="R51" i="1" s="1"/>
  <c r="S51" i="1" s="1"/>
  <c r="T51" i="1" s="1"/>
  <c r="N47" i="1"/>
  <c r="R47" i="1" s="1"/>
  <c r="S47" i="1" s="1"/>
  <c r="T47" i="1" s="1"/>
  <c r="N55" i="1"/>
  <c r="R55" i="1" s="1"/>
  <c r="S55" i="1" s="1"/>
  <c r="T55" i="1" s="1"/>
  <c r="T66" i="1"/>
  <c r="N43" i="1"/>
  <c r="R43" i="1" s="1"/>
  <c r="S43" i="1" s="1"/>
  <c r="T43" i="1" s="1"/>
  <c r="P39" i="1"/>
  <c r="T39" i="1" s="1"/>
  <c r="P42" i="1"/>
  <c r="T42" i="1" s="1"/>
  <c r="N58" i="1"/>
  <c r="R58" i="1" s="1"/>
  <c r="S58" i="1" s="1"/>
  <c r="T58" i="1" s="1"/>
  <c r="N57" i="1"/>
  <c r="R57" i="1" s="1"/>
  <c r="S57" i="1" s="1"/>
  <c r="T57" i="1" s="1"/>
  <c r="N54" i="1"/>
  <c r="R54" i="1" s="1"/>
  <c r="S54" i="1" s="1"/>
  <c r="T54" i="1" s="1"/>
  <c r="P59" i="1"/>
  <c r="N59" i="1"/>
  <c r="R59" i="1" s="1"/>
  <c r="S59" i="1" s="1"/>
  <c r="N40" i="1"/>
  <c r="R40" i="1" s="1"/>
  <c r="S40" i="1" s="1"/>
  <c r="T40" i="1" s="1"/>
  <c r="D45" i="3"/>
  <c r="T67" i="1"/>
  <c r="T44" i="1"/>
  <c r="T56" i="1"/>
  <c r="D55" i="3"/>
  <c r="E55" i="3" s="1"/>
  <c r="E48" i="3"/>
  <c r="N45" i="1"/>
  <c r="R45" i="1" s="1"/>
  <c r="S45" i="1" s="1"/>
  <c r="T45" i="1" s="1"/>
  <c r="P60" i="1"/>
  <c r="T60" i="1" s="1"/>
  <c r="R64" i="1"/>
  <c r="S64" i="1" s="1"/>
  <c r="T64" i="1" s="1"/>
  <c r="N46" i="1"/>
  <c r="R46" i="1" s="1"/>
  <c r="S46" i="1" s="1"/>
  <c r="T46" i="1" s="1"/>
  <c r="P38" i="1"/>
  <c r="T38" i="1" s="1"/>
  <c r="P49" i="1"/>
  <c r="T49" i="1" s="1"/>
  <c r="N53" i="1"/>
  <c r="R53" i="1" s="1"/>
  <c r="S53" i="1" s="1"/>
  <c r="T53" i="1" s="1"/>
  <c r="D46" i="3"/>
  <c r="P41" i="1"/>
  <c r="T41" i="1" s="1"/>
  <c r="P50" i="1"/>
  <c r="T50" i="1" s="1"/>
  <c r="N37" i="1"/>
  <c r="R37" i="1" s="1"/>
  <c r="S37" i="1" s="1"/>
  <c r="T37" i="1" s="1"/>
  <c r="R63" i="1"/>
  <c r="S63" i="1" s="1"/>
  <c r="T63" i="1" s="1"/>
  <c r="R62" i="1"/>
  <c r="S62" i="1" s="1"/>
  <c r="T62" i="1" s="1"/>
  <c r="P52" i="1"/>
  <c r="T52" i="1" s="1"/>
  <c r="N65" i="1"/>
  <c r="R65" i="1" s="1"/>
  <c r="S65" i="1" s="1"/>
  <c r="T65" i="1" s="1"/>
  <c r="T61" i="1"/>
  <c r="T68" i="1"/>
  <c r="N36" i="1"/>
  <c r="D44" i="3"/>
  <c r="D29" i="3"/>
  <c r="E29" i="3" s="1"/>
  <c r="E26" i="3"/>
  <c r="D68" i="3"/>
  <c r="E68" i="3" s="1"/>
  <c r="D70" i="3"/>
  <c r="E70" i="3" s="1"/>
  <c r="D66" i="3"/>
  <c r="E66" i="3" s="1"/>
  <c r="D69" i="3"/>
  <c r="E69" i="3" s="1"/>
  <c r="E65" i="3"/>
  <c r="N12" i="1"/>
  <c r="R12" i="1" s="1"/>
  <c r="R29" i="1" s="1"/>
  <c r="S29" i="1" s="1"/>
  <c r="D10" i="3"/>
  <c r="E10" i="3" s="1"/>
  <c r="D33" i="3"/>
  <c r="E32" i="3"/>
  <c r="D54" i="3"/>
  <c r="E47" i="3"/>
  <c r="P12" i="1"/>
  <c r="P29" i="1" s="1"/>
  <c r="I80" i="1"/>
  <c r="J80" i="1"/>
  <c r="K80" i="1"/>
  <c r="T59" i="1" l="1"/>
  <c r="D62" i="3"/>
  <c r="E62" i="3" s="1"/>
  <c r="D52" i="3"/>
  <c r="E45" i="3"/>
  <c r="D53" i="3"/>
  <c r="E46" i="3"/>
  <c r="R36" i="1"/>
  <c r="S36" i="1" s="1"/>
  <c r="S79" i="1" s="1"/>
  <c r="S80" i="1" s="1"/>
  <c r="H88" i="1"/>
  <c r="I88" i="1" s="1"/>
  <c r="D51" i="3"/>
  <c r="E44" i="3"/>
  <c r="D34" i="3"/>
  <c r="E33" i="3"/>
  <c r="D61" i="3"/>
  <c r="E61" i="3" s="1"/>
  <c r="E54" i="3"/>
  <c r="P79" i="1"/>
  <c r="E52" i="3" l="1"/>
  <c r="D59" i="3"/>
  <c r="E59" i="3" s="1"/>
  <c r="D60" i="3"/>
  <c r="E60" i="3" s="1"/>
  <c r="E53" i="3"/>
  <c r="T36" i="1"/>
  <c r="R79" i="1"/>
  <c r="R80" i="1" s="1"/>
  <c r="P80" i="1"/>
  <c r="C70" i="4" s="1"/>
  <c r="C71" i="4" s="1"/>
  <c r="H89" i="1"/>
  <c r="D35" i="3"/>
  <c r="E34" i="3"/>
  <c r="D58" i="3"/>
  <c r="E58" i="3" s="1"/>
  <c r="E51" i="3"/>
  <c r="H90" i="1" l="1"/>
  <c r="I89" i="1"/>
  <c r="D36" i="3"/>
  <c r="E35" i="3"/>
  <c r="D37" i="3" l="1"/>
  <c r="E37" i="3" s="1"/>
  <c r="E36" i="3"/>
</calcChain>
</file>

<file path=xl/comments1.xml><?xml version="1.0" encoding="utf-8"?>
<comments xmlns="http://schemas.openxmlformats.org/spreadsheetml/2006/main">
  <authors>
    <author>Sevall, Scott (UTC)</author>
  </authors>
  <commentList>
    <comment ref="E124" author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Roll off tariff rate doesn't change because disposal fee increase, but it does increase the Pass thru Revenue.
</t>
        </r>
      </text>
    </comment>
  </commentList>
</comments>
</file>

<file path=xl/sharedStrings.xml><?xml version="1.0" encoding="utf-8"?>
<sst xmlns="http://schemas.openxmlformats.org/spreadsheetml/2006/main" count="620" uniqueCount="430">
  <si>
    <t>Columbia River Disposal, Inc. G-48</t>
  </si>
  <si>
    <t>Dump Fee Increase Calculation</t>
  </si>
  <si>
    <t>April 1, 2015 - March 31, 2016</t>
  </si>
  <si>
    <t xml:space="preserve">Current </t>
  </si>
  <si>
    <t>Total</t>
  </si>
  <si>
    <t>Average Annual</t>
  </si>
  <si>
    <t>Monthly</t>
  </si>
  <si>
    <t>Meeks</t>
  </si>
  <si>
    <t>Calculated</t>
  </si>
  <si>
    <t>Adjusted</t>
  </si>
  <si>
    <t>Tariff Rate</t>
  </si>
  <si>
    <t xml:space="preserve">Proposed </t>
  </si>
  <si>
    <t>Revenue</t>
  </si>
  <si>
    <t>Service Code Description</t>
  </si>
  <si>
    <t>Customers</t>
  </si>
  <si>
    <t xml:space="preserve"> Frequency</t>
  </si>
  <si>
    <t>Annual PU's</t>
  </si>
  <si>
    <t>Weights</t>
  </si>
  <si>
    <t>Annual LBS</t>
  </si>
  <si>
    <t>Increase</t>
  </si>
  <si>
    <t>RESIDENTIAL SERVICES</t>
  </si>
  <si>
    <t>RESIDENTIAL GARBAGE</t>
  </si>
  <si>
    <t>1-20GAL CAN WEEKLY</t>
  </si>
  <si>
    <t>1-32GAL CAN WEEKLY</t>
  </si>
  <si>
    <t>2-32GAL CANS WEEKLY</t>
  </si>
  <si>
    <t>3-32GAL CANS WEEKLY</t>
  </si>
  <si>
    <t>4-32GAL CANS WEEKLY</t>
  </si>
  <si>
    <t>5-32 GAL CANS WKLY</t>
  </si>
  <si>
    <t>6-32 GAL CANS WKLY</t>
  </si>
  <si>
    <t>1-32GAL CAN EOW</t>
  </si>
  <si>
    <t>1-32GAL CAN MONTHLY</t>
  </si>
  <si>
    <t>1-45 GAL CAN WKLY</t>
  </si>
  <si>
    <t>1-60GAL CART MONTHLY</t>
  </si>
  <si>
    <t>1-60GAL CART WEEKLY</t>
  </si>
  <si>
    <t>1-32GAL CAN ON CALL</t>
  </si>
  <si>
    <t>EXTRA CAN, BAG, BOX - RES</t>
  </si>
  <si>
    <t>OVERFILL / OVERWEIGHT CAN</t>
  </si>
  <si>
    <t>BULKY ITEM PICK UP - RES</t>
  </si>
  <si>
    <t>ACCESS/GATE FEE EOW</t>
  </si>
  <si>
    <t>ACCESS/GATE CHARGE</t>
  </si>
  <si>
    <t>DRIVE IN UP TO 125FT - RES</t>
  </si>
  <si>
    <t>DRIVE IN 125FT-150FT - RES</t>
  </si>
  <si>
    <t>DRIVE IN 125FT-150FT</t>
  </si>
  <si>
    <t>DRIVE IN - RES</t>
  </si>
  <si>
    <t>WALK IN/CARRYOUT 5-25FT</t>
  </si>
  <si>
    <t>CARRYOUT OVER 25FT</t>
  </si>
  <si>
    <t>EMPLOYEE SERVICE RES</t>
  </si>
  <si>
    <t>ADJUSTMENT SERVICE - RES</t>
  </si>
  <si>
    <t>FUEL &amp; MATERIAL SURCHARGE</t>
  </si>
  <si>
    <t>TOTAL RESIDENTIAL GARBAGE</t>
  </si>
  <si>
    <t>COMMERCIAL SERVICES</t>
  </si>
  <si>
    <t>COMMERCIAL GARBAGE</t>
  </si>
  <si>
    <t>1-1YD CONT 1 X WEEKLY</t>
  </si>
  <si>
    <t>1-1YD CONT 2X WKLY</t>
  </si>
  <si>
    <t>2-1YD CONT. 1 X WEEKLY</t>
  </si>
  <si>
    <t>1-1YD CONT EOW</t>
  </si>
  <si>
    <t>1-1.5YD CONT 1 X WEEKLY</t>
  </si>
  <si>
    <t>2-1.5YD CONT 1 X WEEKLY</t>
  </si>
  <si>
    <t>1-1.5YD CONT 2 X WEEKLY</t>
  </si>
  <si>
    <t>1-1.5YD CONT 3 X WEEKLY</t>
  </si>
  <si>
    <t>2-1.5YD CONT 3 X WEEKLY</t>
  </si>
  <si>
    <t>1-1.5YD CONT EOW</t>
  </si>
  <si>
    <t>1-2YD CONT 1 X WEEKLY</t>
  </si>
  <si>
    <t>2-2YD CONT. 1 X WEEKLY</t>
  </si>
  <si>
    <t>3-2YD CONT. 1 X WEEKLY</t>
  </si>
  <si>
    <t>4-2YD CONT 1X WKLY</t>
  </si>
  <si>
    <t>7-2YD CONT 1X WKLY</t>
  </si>
  <si>
    <t>1-2YD CONT 2  X WEEKLY</t>
  </si>
  <si>
    <t>2-2YD CONT 2X WKLY</t>
  </si>
  <si>
    <t>3-2YD CONT 2X WKLY</t>
  </si>
  <si>
    <t>7-2YD CONT 2X WKLY</t>
  </si>
  <si>
    <t>1-2YD CONT. 3 X WEEKLY</t>
  </si>
  <si>
    <t>2-2YD CONT. 3 X WEEKLY</t>
  </si>
  <si>
    <t>1-2YD CONT. 4 X WEEKLY</t>
  </si>
  <si>
    <t>1-2YD CONT EOW</t>
  </si>
  <si>
    <t>1-4YD CONT. 1 X WEEKLY</t>
  </si>
  <si>
    <t>1-4YD CONT. EOW</t>
  </si>
  <si>
    <t>1-32GAL COMM 1 X WEEKLY</t>
  </si>
  <si>
    <t>Minimum</t>
  </si>
  <si>
    <t>4-32GAL CANS 1 X WEEKLY</t>
  </si>
  <si>
    <t>1-32GAL CAN 1 X MONTHLY</t>
  </si>
  <si>
    <t>1-45 GAL COM CAN MONTHLY</t>
  </si>
  <si>
    <t>45 GL 1X WK 1 COM</t>
  </si>
  <si>
    <t>EXTRA CAN, BAG, BOX - COM</t>
  </si>
  <si>
    <t>1-1YD CONTAINER ON CALL</t>
  </si>
  <si>
    <t>1-1.5 CONTAINER ON CALL</t>
  </si>
  <si>
    <t>1-2YD CONTAINER ON CALL</t>
  </si>
  <si>
    <t>1.5 YD TEMP CONT PICKUP</t>
  </si>
  <si>
    <t>1 YD TEMP CONT PICKUP</t>
  </si>
  <si>
    <t>2 YD TEMP CONT PICKUP</t>
  </si>
  <si>
    <t>BULKY ITEM PICK UP - COMM</t>
  </si>
  <si>
    <t>1 YD CONT RENTAL</t>
  </si>
  <si>
    <t>1 YD TEMP CONT RENTAL</t>
  </si>
  <si>
    <t>1.5 YD CONT RENTAL</t>
  </si>
  <si>
    <t>1.5 YD TEMP CONT RENTAL</t>
  </si>
  <si>
    <t>2 YD CONT RENTAL</t>
  </si>
  <si>
    <t>2 YD TEMP CONT RENTAL</t>
  </si>
  <si>
    <t>4 YD CONT RENTAL</t>
  </si>
  <si>
    <t>DELIVER 1 YD</t>
  </si>
  <si>
    <t>DELIVER 1.5 YD</t>
  </si>
  <si>
    <t>DELIVER 2 YD</t>
  </si>
  <si>
    <t>ACCESS/GATE FEE 1X WK</t>
  </si>
  <si>
    <t>ACCESS/GATE FEE 2X WK</t>
  </si>
  <si>
    <t>ACCESS/GATE FEE 3X WK</t>
  </si>
  <si>
    <t>COMM LOCK CHARGE</t>
  </si>
  <si>
    <t>LOCK CHARGE 2X WK</t>
  </si>
  <si>
    <t>LOCK CHARGE EOW</t>
  </si>
  <si>
    <t>WALK IN - COMM</t>
  </si>
  <si>
    <t>DRIVE IN UP TO 125FT - COM</t>
  </si>
  <si>
    <t>ROLL OUT FEE 1X WK</t>
  </si>
  <si>
    <t>ROLL OUT FEE 3X WK</t>
  </si>
  <si>
    <t>ROLLOUT CONTAINER - COM</t>
  </si>
  <si>
    <t>ROLL OUT FEE EOW</t>
  </si>
  <si>
    <t>ADJUSTMENT SERVICE - COMM</t>
  </si>
  <si>
    <t>TOTAL COMMERCIAL GARBAGE</t>
  </si>
  <si>
    <t>Total LBS</t>
  </si>
  <si>
    <t>No Current Customers</t>
  </si>
  <si>
    <t>1-3YD CONT 1 X WEEKLY</t>
  </si>
  <si>
    <t>Total Tonnage</t>
  </si>
  <si>
    <t>Total Pounds</t>
  </si>
  <si>
    <t>Total Pickups</t>
  </si>
  <si>
    <t>Adjustment Factor</t>
  </si>
  <si>
    <t>BILL AREAS: CARSON, COOK/UNDERWOOD, N BONNEVILLE, UNICORP STEVENSON, STEVENSON, SKAMANIA, WASHOUGAL</t>
  </si>
  <si>
    <t>Regulated Price Out</t>
  </si>
  <si>
    <t>Note:  Data in cells E&amp;F is from our billing system records, in an external Excel document.  Values have been pasted to maintain data's integerity.</t>
  </si>
  <si>
    <t>LG Rev Requirement</t>
  </si>
  <si>
    <t>Disposal fee revenue</t>
  </si>
  <si>
    <t>Revenue Increase after Disposal</t>
  </si>
  <si>
    <t>GRC % increase</t>
  </si>
  <si>
    <t>Staff Calc Revenue</t>
  </si>
  <si>
    <t>Difference from LG</t>
  </si>
  <si>
    <t>April 15-Aug. 15</t>
  </si>
  <si>
    <t>Sept. 15-March 16</t>
  </si>
  <si>
    <t>Disposal fee rate effect</t>
  </si>
  <si>
    <t>Disposal Fee Tariff Rate</t>
  </si>
  <si>
    <t>GRC Rate increase</t>
  </si>
  <si>
    <t>Invoice effect of tariff rate increase Rate</t>
  </si>
  <si>
    <t>Staff Proposed Revenue Increase</t>
  </si>
  <si>
    <t>Rate year Revenue</t>
  </si>
  <si>
    <t>Average</t>
  </si>
  <si>
    <t>Service Code</t>
  </si>
  <si>
    <t>Customer</t>
  </si>
  <si>
    <t>20R1W1</t>
  </si>
  <si>
    <t>32R1W1</t>
  </si>
  <si>
    <t>32R1W2</t>
  </si>
  <si>
    <t>32R1W3</t>
  </si>
  <si>
    <t>32R1W4</t>
  </si>
  <si>
    <t>32R1W5</t>
  </si>
  <si>
    <t>32R1W6</t>
  </si>
  <si>
    <t>32R1E1</t>
  </si>
  <si>
    <t>32R1M1</t>
  </si>
  <si>
    <t>45R1W1</t>
  </si>
  <si>
    <t>60R1M1</t>
  </si>
  <si>
    <t>60R1W1</t>
  </si>
  <si>
    <t>32R1OC</t>
  </si>
  <si>
    <t>EXTRA-RES</t>
  </si>
  <si>
    <t>OW-RES</t>
  </si>
  <si>
    <t>BULKY - RES</t>
  </si>
  <si>
    <t>ACCESSEOW-RES</t>
  </si>
  <si>
    <t>ACCESS-RES</t>
  </si>
  <si>
    <t>DRIVEIN1-RES</t>
  </si>
  <si>
    <t>DRIVEIN2-RES</t>
  </si>
  <si>
    <t>DRIVEIN2WK-RES</t>
  </si>
  <si>
    <t>DRIVEIN-RES</t>
  </si>
  <si>
    <t>WI-RES</t>
  </si>
  <si>
    <t>WI2-RES</t>
  </si>
  <si>
    <t>EMPLOYEER</t>
  </si>
  <si>
    <t>ADJ - RES</t>
  </si>
  <si>
    <t>SKAMANIA COUNTY FUEL</t>
  </si>
  <si>
    <t>P1YC1W1</t>
  </si>
  <si>
    <t>P1YC2W1</t>
  </si>
  <si>
    <t>P1YC1W2</t>
  </si>
  <si>
    <t>P1YCE1</t>
  </si>
  <si>
    <t>P1.5YC1W1</t>
  </si>
  <si>
    <t>P1.5YC1W2</t>
  </si>
  <si>
    <t>P1.5YC2W1</t>
  </si>
  <si>
    <t>P1.5YC3W1</t>
  </si>
  <si>
    <t>P1.5YC3W2</t>
  </si>
  <si>
    <t>P1.5YCE1</t>
  </si>
  <si>
    <t>P2YC1W1</t>
  </si>
  <si>
    <t>P2YC1W2</t>
  </si>
  <si>
    <t>P2YC1W3</t>
  </si>
  <si>
    <t>P2YC1W4</t>
  </si>
  <si>
    <t>P2YC1W7</t>
  </si>
  <si>
    <t>P2YC2W1</t>
  </si>
  <si>
    <t>P2YC2W2</t>
  </si>
  <si>
    <t>P2YC2W3</t>
  </si>
  <si>
    <t>P2YC2W7</t>
  </si>
  <si>
    <t>P2YC3W1</t>
  </si>
  <si>
    <t>P2YC3W2</t>
  </si>
  <si>
    <t>P2YC4W1</t>
  </si>
  <si>
    <t>P2YCE1</t>
  </si>
  <si>
    <t>P4YC1W1</t>
  </si>
  <si>
    <t>P4YCE1</t>
  </si>
  <si>
    <t>32C1W1</t>
  </si>
  <si>
    <t>32C1W2</t>
  </si>
  <si>
    <t>32C1W3</t>
  </si>
  <si>
    <t>32C1W4</t>
  </si>
  <si>
    <t>32C1E1</t>
  </si>
  <si>
    <t>32C1M1</t>
  </si>
  <si>
    <t>45C1M1</t>
  </si>
  <si>
    <t>45C1W1</t>
  </si>
  <si>
    <t>EXTRA-COMM</t>
  </si>
  <si>
    <t>32C1OC</t>
  </si>
  <si>
    <t>1YCOC1</t>
  </si>
  <si>
    <t>1.5YCOC1</t>
  </si>
  <si>
    <t>2YCOC1</t>
  </si>
  <si>
    <t>R1.5TC-COM</t>
  </si>
  <si>
    <t>R1TC-COM</t>
  </si>
  <si>
    <t>R2TC-COMM</t>
  </si>
  <si>
    <t>BULKY - COMM</t>
  </si>
  <si>
    <t>RENT1-COM</t>
  </si>
  <si>
    <t>RENT1TEMP-COM</t>
  </si>
  <si>
    <t>RENT1.5-COM</t>
  </si>
  <si>
    <t>RENT1.5TEMP-COM</t>
  </si>
  <si>
    <t>RENT2-COM</t>
  </si>
  <si>
    <t>RENT2TEMP-COM</t>
  </si>
  <si>
    <t>RENT4-COM</t>
  </si>
  <si>
    <t>DEL1-COM</t>
  </si>
  <si>
    <t>DEL1.5-COM</t>
  </si>
  <si>
    <t>DEL2-COM</t>
  </si>
  <si>
    <t>ACCESS1W-COM</t>
  </si>
  <si>
    <t>ACCESS2W-COM</t>
  </si>
  <si>
    <t>ACCESS3W-COM</t>
  </si>
  <si>
    <t>ACCESSEOW-COM</t>
  </si>
  <si>
    <t>CLOCK</t>
  </si>
  <si>
    <t>CLOCK2W</t>
  </si>
  <si>
    <t>CLOCKE</t>
  </si>
  <si>
    <t>WI-COMM</t>
  </si>
  <si>
    <t>DRIVEIN1-COM</t>
  </si>
  <si>
    <t>DRIVEIN2WK-COM</t>
  </si>
  <si>
    <t>ROLL1W-COM</t>
  </si>
  <si>
    <t>ROLL3W-COM</t>
  </si>
  <si>
    <t>ROLL-COM</t>
  </si>
  <si>
    <t>ROLLEOW-COM</t>
  </si>
  <si>
    <t>ADJ - COMM</t>
  </si>
  <si>
    <t>DROP BOX SERVICES</t>
  </si>
  <si>
    <t>DROP BOX HAULS/RENTAL</t>
  </si>
  <si>
    <t>20YQHAUL</t>
  </si>
  <si>
    <t>20YD DROP BOX HAUL</t>
  </si>
  <si>
    <t>20YQFINAL</t>
  </si>
  <si>
    <t>20YD DROP BOX FINAL</t>
  </si>
  <si>
    <t>30YQHAUL</t>
  </si>
  <si>
    <t>30YD DROP BOX HAUL</t>
  </si>
  <si>
    <t>20YQCOMPC</t>
  </si>
  <si>
    <t>20YD COMP/CORR HAUL FEE</t>
  </si>
  <si>
    <t>40YCOMPT</t>
  </si>
  <si>
    <t>40YD COMP/TRASH HAUL FEE</t>
  </si>
  <si>
    <t>DEL - RO</t>
  </si>
  <si>
    <t>DELIVERY FEE - RO</t>
  </si>
  <si>
    <t>QDEL</t>
  </si>
  <si>
    <t>DROP BOX DELIVERY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</si>
  <si>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</si>
  <si>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</si>
  <si>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</si>
  <si>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</si>
  <si>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</si>
  <si>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</si>
  <si>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</si>
  <si>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</si>
  <si>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</si>
  <si>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ADJ - RO</t>
  </si>
  <si>
    <t>ADJUSTMENT SERVICE - RO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</si>
  <si>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</si>
  <si>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</si>
  <si>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</si>
  <si>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</si>
  <si>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</si>
  <si>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</si>
  <si>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</si>
  <si>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</si>
  <si>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</si>
  <si>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</si>
  <si>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</si>
  <si>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</si>
  <si>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</si>
  <si>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</si>
  <si>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Proposed Increase</t>
  </si>
  <si>
    <t>Item 55, Pg 18</t>
  </si>
  <si>
    <t>Over size</t>
  </si>
  <si>
    <t>PU</t>
  </si>
  <si>
    <t>Cans</t>
  </si>
  <si>
    <t>M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</si>
  <si>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</si>
  <si>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</si>
  <si>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</si>
  <si>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</si>
  <si>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</si>
  <si>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</si>
  <si>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</si>
  <si>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</si>
  <si>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</si>
  <si>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</si>
  <si>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</si>
  <si>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</si>
  <si>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</si>
  <si>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</si>
  <si>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</si>
  <si>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Extra Units (32 gal)</t>
  </si>
  <si>
    <t>Each</t>
  </si>
  <si>
    <t>45 Gal</t>
  </si>
  <si>
    <t>60 Gal</t>
  </si>
  <si>
    <t>On Call</t>
  </si>
  <si>
    <t>Item 150, pg 25</t>
  </si>
  <si>
    <t>Bulky</t>
  </si>
  <si>
    <t>Loose material</t>
  </si>
  <si>
    <t>Additional-Bulky</t>
  </si>
  <si>
    <t>Additional</t>
  </si>
  <si>
    <t>Item 230, pg 31</t>
  </si>
  <si>
    <t>Skamania Cnty TFS</t>
  </si>
  <si>
    <t>Ton</t>
  </si>
  <si>
    <t>Item 240, pg 32</t>
  </si>
  <si>
    <t>1 yard</t>
  </si>
  <si>
    <t>1.5 yard</t>
  </si>
  <si>
    <t>2 yard</t>
  </si>
  <si>
    <t>3 yard</t>
  </si>
  <si>
    <t>4 yard</t>
  </si>
  <si>
    <t>Hauls:</t>
  </si>
  <si>
    <t>Item 245, pg 33</t>
  </si>
  <si>
    <t>Scheduled PU</t>
  </si>
  <si>
    <t>Additional Unit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</si>
  <si>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</si>
  <si>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</si>
  <si>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</si>
  <si>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</si>
  <si>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</si>
  <si>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</si>
  <si>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</si>
  <si>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</si>
  <si>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</si>
  <si>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</si>
  <si>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</si>
  <si>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</si>
  <si>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</si>
  <si>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</si>
  <si>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</si>
  <si>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</si>
  <si>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</si>
  <si>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</si>
  <si>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</si>
  <si>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</si>
  <si>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</si>
  <si>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</si>
  <si>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</si>
  <si>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</si>
  <si>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</si>
  <si>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</si>
  <si>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</si>
  <si>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</si>
  <si>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</si>
  <si>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</si>
  <si>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</si>
  <si>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</si>
  <si>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</si>
  <si>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</si>
  <si>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</si>
  <si>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</si>
  <si>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</si>
  <si>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</si>
  <si>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</si>
  <si>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</si>
  <si>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</si>
  <si>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</si>
  <si>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</si>
  <si>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</si>
  <si>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</si>
  <si>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</si>
  <si>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</si>
  <si>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</si>
  <si>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</si>
  <si>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</si>
  <si>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</si>
  <si>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</si>
  <si>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</si>
  <si>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</si>
  <si>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</si>
  <si>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</si>
  <si>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</si>
  <si>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</si>
  <si>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</si>
  <si>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</si>
  <si>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</si>
  <si>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</si>
  <si>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</si>
  <si>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</si>
  <si>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</si>
  <si>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</si>
  <si>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</si>
  <si>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</si>
  <si>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</si>
  <si>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</si>
  <si>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</si>
  <si>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</si>
  <si>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</si>
  <si>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</si>
  <si>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</si>
  <si>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 UP</t>
  </si>
  <si>
    <t>Rev Increase</t>
  </si>
  <si>
    <t>Current</t>
  </si>
  <si>
    <t>Projected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</si>
  <si>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</si>
  <si>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</si>
  <si>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</si>
  <si>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</si>
  <si>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</si>
  <si>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</si>
  <si>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</si>
  <si>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Proposed Rates, Effective 5/1/2017</t>
  </si>
  <si>
    <t>Temporary:</t>
  </si>
  <si>
    <t>Special Pickups</t>
  </si>
  <si>
    <t>Current Tarriff Rate</t>
  </si>
  <si>
    <t>Proposed Rate as of 5/1/2017</t>
  </si>
  <si>
    <t>Increase:</t>
  </si>
  <si>
    <t>Residential</t>
  </si>
  <si>
    <t>Commercial</t>
  </si>
  <si>
    <t>Roll-Off</t>
  </si>
  <si>
    <t>Total Packer</t>
  </si>
  <si>
    <t>Dump Fee Schedule</t>
  </si>
  <si>
    <t>Dump Fee Calc References</t>
  </si>
  <si>
    <t>Effective 5/1/2017</t>
  </si>
  <si>
    <t>Customer Counts and Disposal Schedule are from Filing under TG-160424, effective June 1, 2016.</t>
  </si>
  <si>
    <t>Grossed up increase per ton</t>
  </si>
  <si>
    <t>Revenue from Co Proposed Rates</t>
  </si>
  <si>
    <t>Collected Revenue Excess/(Deficiency)</t>
  </si>
  <si>
    <t>Company Proposed Rates</t>
  </si>
  <si>
    <t>Res'l &amp; Com'l</t>
  </si>
  <si>
    <t>Packer Tons Collected</t>
  </si>
  <si>
    <t>Packer Revenue Increase</t>
  </si>
  <si>
    <t>RO Revenue Increase</t>
  </si>
  <si>
    <t>PRICE OUT TAKEN FROM TG-160424, THE LAST APPROVED GENERAL RATE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</si>
</sst>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General_)"/>
    <numFmt numFmtId="167" formatCode="0.0%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_(* #,##0.000000_);_(* \(#,##0.000000\);_(* &quot;-&quot;??_);_(@_)"/>
    <numFmt numFmtId="171" formatCode="_(&quot;$&quot;* #,##0.000000_);_(&quot;$&quot;* \(#,##0.000000\);_(&quot;$&quot;* &quot;-&quot;??_);_(@_)"/>
    <numFmt numFmtId="172" formatCode="0.0000%"/>
    <numFmt numFmtId="173" formatCode="0.000000"/>
    <numFmt numFmtId="174" formatCode="_(* #,##0.000_);_(* \(#,##0.000\);_(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8" fillId="29" borderId="10" applyNumberFormat="0" applyAlignment="0" applyProtection="0"/>
    <xf numFmtId="0" fontId="8" fillId="29" borderId="10" applyNumberFormat="0" applyAlignment="0" applyProtection="0"/>
    <xf numFmtId="0" fontId="8" fillId="7" borderId="10" applyNumberFormat="0" applyAlignment="0" applyProtection="0"/>
    <xf numFmtId="0" fontId="8" fillId="7" borderId="10" applyNumberFormat="0" applyAlignment="0" applyProtection="0"/>
    <xf numFmtId="0" fontId="9" fillId="30" borderId="11" applyNumberFormat="0" applyAlignment="0" applyProtection="0"/>
    <xf numFmtId="0" fontId="9" fillId="31" borderId="12" applyNumberFormat="0" applyAlignment="0" applyProtection="0"/>
    <xf numFmtId="0" fontId="4" fillId="32" borderId="0">
      <alignment horizontal="center"/>
    </xf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1" fillId="0" borderId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33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4" borderId="0">
      <alignment horizontal="right"/>
      <protection locked="0"/>
    </xf>
    <xf numFmtId="14" fontId="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/>
    <xf numFmtId="2" fontId="18" fillId="34" borderId="0">
      <alignment horizontal="right"/>
      <protection locked="0"/>
    </xf>
    <xf numFmtId="1" fontId="4" fillId="0" borderId="0">
      <alignment horizont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" fillId="2" borderId="0" applyNumberFormat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17" borderId="10" applyNumberFormat="0" applyAlignment="0" applyProtection="0"/>
    <xf numFmtId="0" fontId="32" fillId="15" borderId="10" applyNumberFormat="0" applyAlignment="0" applyProtection="0"/>
    <xf numFmtId="3" fontId="33" fillId="35" borderId="0">
      <protection locked="0"/>
    </xf>
    <xf numFmtId="4" fontId="33" fillId="35" borderId="0">
      <protection locked="0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43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wrapText="1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>
      <alignment wrapText="1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5" fillId="0" borderId="0"/>
    <xf numFmtId="166" fontId="16" fillId="0" borderId="0"/>
    <xf numFmtId="0" fontId="11" fillId="0" borderId="0">
      <alignment vertical="top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11" borderId="20" applyNumberFormat="0" applyFont="0" applyAlignment="0" applyProtection="0"/>
    <xf numFmtId="0" fontId="5" fillId="11" borderId="20" applyNumberFormat="0" applyFont="0" applyAlignment="0" applyProtection="0"/>
    <xf numFmtId="0" fontId="12" fillId="11" borderId="20" applyNumberFormat="0" applyFont="0" applyAlignment="0" applyProtection="0"/>
    <xf numFmtId="0" fontId="12" fillId="11" borderId="20" applyNumberFormat="0" applyFont="0" applyAlignment="0" applyProtection="0"/>
    <xf numFmtId="167" fontId="38" fillId="0" borderId="0" applyNumberFormat="0"/>
    <xf numFmtId="0" fontId="25" fillId="29" borderId="21" applyNumberFormat="0" applyAlignment="0" applyProtection="0"/>
    <xf numFmtId="0" fontId="39" fillId="7" borderId="22" applyNumberFormat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0" fillId="0" borderId="0" applyNumberFormat="0" applyFont="0" applyFill="0" applyBorder="0">
      <alignment horizontal="left" indent="4"/>
      <protection locked="0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41" fillId="0" borderId="8">
      <alignment horizontal="center"/>
    </xf>
    <xf numFmtId="3" fontId="13" fillId="0" borderId="0" applyFont="0" applyFill="0" applyBorder="0" applyAlignment="0" applyProtection="0"/>
    <xf numFmtId="0" fontId="13" fillId="36" borderId="0" applyNumberFormat="0" applyFon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37" fillId="37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456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9" fillId="0" borderId="0" xfId="0" applyFont="1"/>
    <xf numFmtId="43" fontId="0" fillId="0" borderId="0" xfId="456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456" applyNumberFormat="1" applyFont="1"/>
    <xf numFmtId="0" fontId="0" fillId="38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2" fillId="40" borderId="0" xfId="0" applyFont="1" applyFill="1" applyAlignment="1">
      <alignment horizontal="right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43" fontId="49" fillId="0" borderId="0" xfId="0" applyNumberFormat="1" applyFont="1"/>
    <xf numFmtId="0" fontId="49" fillId="0" borderId="0" xfId="0" applyFont="1" applyAlignment="1">
      <alignment horizontal="left" indent="1"/>
    </xf>
    <xf numFmtId="41" fontId="0" fillId="0" borderId="0" xfId="456" applyNumberFormat="1" applyFont="1"/>
    <xf numFmtId="0" fontId="49" fillId="39" borderId="13" xfId="0" applyFont="1" applyFill="1" applyBorder="1"/>
    <xf numFmtId="0" fontId="0" fillId="39" borderId="13" xfId="0" applyFont="1" applyFill="1" applyBorder="1" applyAlignment="1">
      <alignment horizontal="center"/>
    </xf>
    <xf numFmtId="44" fontId="0" fillId="0" borderId="0" xfId="1" applyFont="1" applyFill="1"/>
    <xf numFmtId="169" fontId="0" fillId="0" borderId="0" xfId="1" applyNumberFormat="1" applyFont="1" applyFill="1"/>
    <xf numFmtId="170" fontId="0" fillId="0" borderId="0" xfId="456" applyNumberFormat="1" applyFont="1"/>
    <xf numFmtId="44" fontId="0" fillId="0" borderId="13" xfId="1" applyFont="1" applyFill="1" applyBorder="1"/>
    <xf numFmtId="169" fontId="0" fillId="0" borderId="13" xfId="1" applyNumberFormat="1" applyFont="1" applyFill="1" applyBorder="1"/>
    <xf numFmtId="171" fontId="0" fillId="0" borderId="0" xfId="1" applyNumberFormat="1" applyFont="1" applyFill="1"/>
    <xf numFmtId="10" fontId="0" fillId="0" borderId="0" xfId="0" applyNumberFormat="1" applyFont="1"/>
    <xf numFmtId="170" fontId="0" fillId="0" borderId="13" xfId="456" applyNumberFormat="1" applyFont="1" applyBorder="1"/>
    <xf numFmtId="171" fontId="0" fillId="0" borderId="0" xfId="0" applyNumberFormat="1" applyFont="1"/>
    <xf numFmtId="172" fontId="0" fillId="0" borderId="0" xfId="0" applyNumberFormat="1" applyFont="1"/>
    <xf numFmtId="170" fontId="0" fillId="0" borderId="0" xfId="0" applyNumberFormat="1" applyFont="1"/>
    <xf numFmtId="44" fontId="0" fillId="0" borderId="0" xfId="0" applyNumberFormat="1" applyFont="1"/>
    <xf numFmtId="173" fontId="0" fillId="0" borderId="0" xfId="0" applyNumberFormat="1" applyFont="1"/>
    <xf numFmtId="164" fontId="0" fillId="0" borderId="13" xfId="456" applyNumberFormat="1" applyFont="1" applyFill="1" applyBorder="1"/>
    <xf numFmtId="42" fontId="49" fillId="0" borderId="0" xfId="0" applyNumberFormat="1" applyFont="1"/>
    <xf numFmtId="0" fontId="0" fillId="0" borderId="0" xfId="0" applyFont="1" applyFill="1" applyBorder="1"/>
    <xf numFmtId="0" fontId="49" fillId="0" borderId="0" xfId="0" applyFont="1" applyFill="1" applyBorder="1"/>
    <xf numFmtId="42" fontId="0" fillId="0" borderId="0" xfId="1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2" fontId="0" fillId="0" borderId="0" xfId="0" applyNumberFormat="1" applyFont="1"/>
    <xf numFmtId="42" fontId="0" fillId="0" borderId="0" xfId="0" applyNumberFormat="1" applyFont="1" applyFill="1" applyBorder="1"/>
    <xf numFmtId="168" fontId="0" fillId="0" borderId="0" xfId="0" applyNumberFormat="1" applyFont="1"/>
    <xf numFmtId="4" fontId="0" fillId="0" borderId="0" xfId="0" applyNumberFormat="1" applyFont="1"/>
    <xf numFmtId="3" fontId="0" fillId="0" borderId="0" xfId="0" applyNumberFormat="1" applyFont="1" applyFill="1" applyBorder="1" applyAlignment="1">
      <alignment horizontal="right"/>
    </xf>
    <xf numFmtId="42" fontId="49" fillId="0" borderId="0" xfId="1" applyNumberFormat="1" applyFont="1" applyFill="1" applyBorder="1"/>
    <xf numFmtId="0" fontId="0" fillId="0" borderId="0" xfId="0" applyFont="1" applyAlignment="1">
      <alignment horizontal="left"/>
    </xf>
    <xf numFmtId="0" fontId="49" fillId="5" borderId="30" xfId="0" applyFont="1" applyFill="1" applyBorder="1" applyAlignment="1">
      <alignment horizontal="center"/>
    </xf>
    <xf numFmtId="0" fontId="49" fillId="0" borderId="30" xfId="0" applyFont="1" applyBorder="1"/>
    <xf numFmtId="17" fontId="49" fillId="0" borderId="13" xfId="0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43" fontId="0" fillId="0" borderId="0" xfId="456" applyFont="1" applyBorder="1"/>
    <xf numFmtId="43" fontId="49" fillId="0" borderId="31" xfId="456" applyFont="1" applyFill="1" applyBorder="1"/>
    <xf numFmtId="43" fontId="49" fillId="0" borderId="26" xfId="456" applyFont="1" applyFill="1" applyBorder="1"/>
    <xf numFmtId="43" fontId="49" fillId="0" borderId="31" xfId="0" applyNumberFormat="1" applyFont="1" applyBorder="1"/>
    <xf numFmtId="0" fontId="49" fillId="0" borderId="32" xfId="0" applyFont="1" applyBorder="1"/>
    <xf numFmtId="168" fontId="0" fillId="0" borderId="0" xfId="1" applyNumberFormat="1" applyFont="1" applyBorder="1"/>
    <xf numFmtId="168" fontId="49" fillId="0" borderId="31" xfId="0" applyNumberFormat="1" applyFont="1" applyBorder="1"/>
    <xf numFmtId="168" fontId="49" fillId="0" borderId="26" xfId="0" applyNumberFormat="1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Border="1"/>
    <xf numFmtId="0" fontId="0" fillId="0" borderId="31" xfId="0" applyFont="1" applyBorder="1"/>
    <xf numFmtId="0" fontId="0" fillId="0" borderId="13" xfId="0" applyFont="1" applyBorder="1"/>
    <xf numFmtId="0" fontId="0" fillId="0" borderId="26" xfId="0" applyFont="1" applyBorder="1"/>
    <xf numFmtId="0" fontId="49" fillId="0" borderId="0" xfId="0" applyFont="1" applyFill="1"/>
    <xf numFmtId="0" fontId="53" fillId="0" borderId="0" xfId="2" applyFont="1" applyFill="1"/>
    <xf numFmtId="0" fontId="0" fillId="0" borderId="0" xfId="0" applyFont="1" applyFill="1"/>
    <xf numFmtId="0" fontId="54" fillId="0" borderId="0" xfId="2" applyFont="1" applyFill="1"/>
    <xf numFmtId="0" fontId="53" fillId="3" borderId="0" xfId="2" applyFont="1" applyFill="1"/>
    <xf numFmtId="0" fontId="54" fillId="3" borderId="0" xfId="2" applyFont="1" applyFill="1" applyAlignment="1">
      <alignment horizontal="center" wrapText="1"/>
    </xf>
    <xf numFmtId="0" fontId="54" fillId="3" borderId="0" xfId="2" applyFont="1" applyFill="1" applyAlignment="1">
      <alignment horizontal="center"/>
    </xf>
    <xf numFmtId="0" fontId="54" fillId="4" borderId="0" xfId="2" applyFont="1" applyFill="1" applyAlignment="1">
      <alignment horizontal="center" wrapText="1"/>
    </xf>
    <xf numFmtId="0" fontId="55" fillId="0" borderId="0" xfId="2" applyFont="1" applyFill="1" applyAlignment="1">
      <alignment horizontal="center"/>
    </xf>
    <xf numFmtId="0" fontId="56" fillId="0" borderId="0" xfId="2" applyFont="1" applyFill="1" applyAlignment="1">
      <alignment horizontal="left"/>
    </xf>
    <xf numFmtId="0" fontId="54" fillId="0" borderId="0" xfId="2" applyFont="1" applyFill="1" applyAlignment="1">
      <alignment horizontal="left"/>
    </xf>
    <xf numFmtId="43" fontId="53" fillId="0" borderId="0" xfId="3" applyFont="1" applyFill="1" applyAlignment="1">
      <alignment horizontal="center"/>
    </xf>
    <xf numFmtId="164" fontId="53" fillId="0" borderId="0" xfId="3" applyNumberFormat="1" applyFont="1" applyFill="1"/>
    <xf numFmtId="43" fontId="53" fillId="0" borderId="0" xfId="2" applyNumberFormat="1" applyFont="1" applyFill="1"/>
    <xf numFmtId="164" fontId="0" fillId="0" borderId="0" xfId="0" applyNumberFormat="1" applyFont="1" applyFill="1"/>
    <xf numFmtId="0" fontId="52" fillId="0" borderId="0" xfId="0" applyFont="1" applyFill="1"/>
    <xf numFmtId="0" fontId="54" fillId="0" borderId="1" xfId="2" applyFont="1" applyFill="1" applyBorder="1"/>
    <xf numFmtId="0" fontId="54" fillId="0" borderId="1" xfId="2" applyFont="1" applyFill="1" applyBorder="1" applyAlignment="1">
      <alignment horizontal="right"/>
    </xf>
    <xf numFmtId="43" fontId="54" fillId="0" borderId="1" xfId="3" applyFont="1" applyFill="1" applyBorder="1" applyAlignment="1">
      <alignment horizontal="center"/>
    </xf>
    <xf numFmtId="44" fontId="57" fillId="0" borderId="1" xfId="4" applyFont="1" applyFill="1" applyBorder="1"/>
    <xf numFmtId="164" fontId="54" fillId="0" borderId="1" xfId="3" applyNumberFormat="1" applyFont="1" applyFill="1" applyBorder="1"/>
    <xf numFmtId="168" fontId="54" fillId="0" borderId="1" xfId="1" applyNumberFormat="1" applyFont="1" applyFill="1" applyBorder="1"/>
    <xf numFmtId="0" fontId="56" fillId="0" borderId="0" xfId="2" applyFont="1" applyFill="1" applyAlignment="1">
      <alignment horizontal="center"/>
    </xf>
    <xf numFmtId="0" fontId="54" fillId="0" borderId="0" xfId="2" applyFont="1" applyFill="1" applyBorder="1" applyAlignment="1">
      <alignment horizontal="right"/>
    </xf>
    <xf numFmtId="43" fontId="53" fillId="0" borderId="1" xfId="3" applyFont="1" applyFill="1" applyBorder="1" applyAlignment="1">
      <alignment horizontal="center"/>
    </xf>
    <xf numFmtId="0" fontId="53" fillId="0" borderId="1" xfId="2" applyFont="1" applyFill="1" applyBorder="1"/>
    <xf numFmtId="164" fontId="57" fillId="0" borderId="1" xfId="3" applyNumberFormat="1" applyFont="1" applyFill="1" applyBorder="1"/>
    <xf numFmtId="168" fontId="57" fillId="0" borderId="1" xfId="1" applyNumberFormat="1" applyFont="1" applyFill="1" applyBorder="1"/>
    <xf numFmtId="0" fontId="53" fillId="0" borderId="0" xfId="0" applyFont="1" applyFill="1" applyAlignment="1">
      <alignment vertical="top"/>
    </xf>
    <xf numFmtId="0" fontId="0" fillId="0" borderId="1" xfId="0" applyFont="1" applyFill="1" applyBorder="1"/>
    <xf numFmtId="43" fontId="0" fillId="0" borderId="0" xfId="0" applyNumberFormat="1" applyFont="1" applyFill="1"/>
    <xf numFmtId="0" fontId="57" fillId="0" borderId="0" xfId="458" applyFont="1" applyBorder="1"/>
    <xf numFmtId="0" fontId="57" fillId="0" borderId="0" xfId="458" applyFont="1" applyFill="1" applyBorder="1" applyAlignment="1">
      <alignment horizontal="left"/>
    </xf>
    <xf numFmtId="4" fontId="52" fillId="0" borderId="0" xfId="458" applyNumberFormat="1" applyFont="1" applyFill="1" applyBorder="1" applyAlignment="1">
      <alignment horizontal="right"/>
    </xf>
    <xf numFmtId="10" fontId="57" fillId="0" borderId="0" xfId="458" applyNumberFormat="1" applyFont="1" applyFill="1" applyBorder="1" applyAlignment="1">
      <alignment horizontal="right"/>
    </xf>
    <xf numFmtId="4" fontId="57" fillId="0" borderId="0" xfId="458" applyNumberFormat="1" applyFont="1" applyFill="1" applyBorder="1" applyAlignment="1">
      <alignment horizontal="left"/>
    </xf>
    <xf numFmtId="4" fontId="57" fillId="0" borderId="0" xfId="458" applyNumberFormat="1" applyFont="1" applyFill="1" applyBorder="1" applyAlignment="1">
      <alignment horizontal="right"/>
    </xf>
    <xf numFmtId="0" fontId="52" fillId="0" borderId="13" xfId="459" applyFont="1" applyFill="1" applyBorder="1"/>
    <xf numFmtId="0" fontId="52" fillId="0" borderId="13" xfId="459" applyFont="1" applyFill="1" applyBorder="1" applyAlignment="1">
      <alignment horizontal="left"/>
    </xf>
    <xf numFmtId="4" fontId="57" fillId="0" borderId="13" xfId="459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4" fontId="57" fillId="0" borderId="0" xfId="459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57" fillId="0" borderId="0" xfId="459" applyFont="1" applyBorder="1"/>
    <xf numFmtId="0" fontId="57" fillId="0" borderId="0" xfId="459" applyFont="1" applyFill="1" applyBorder="1" applyAlignment="1">
      <alignment horizontal="left"/>
    </xf>
    <xf numFmtId="4" fontId="52" fillId="0" borderId="0" xfId="459" applyNumberFormat="1" applyFont="1" applyFill="1" applyBorder="1" applyAlignment="1">
      <alignment horizontal="right"/>
    </xf>
    <xf numFmtId="0" fontId="52" fillId="0" borderId="0" xfId="459" applyFont="1" applyBorder="1"/>
    <xf numFmtId="0" fontId="52" fillId="0" borderId="0" xfId="459" applyFont="1" applyFill="1" applyBorder="1" applyAlignment="1">
      <alignment horizontal="left"/>
    </xf>
    <xf numFmtId="2" fontId="0" fillId="0" borderId="0" xfId="0" applyNumberFormat="1" applyFont="1" applyBorder="1"/>
    <xf numFmtId="4" fontId="0" fillId="0" borderId="0" xfId="0" applyNumberFormat="1" applyFont="1" applyBorder="1"/>
    <xf numFmtId="2" fontId="0" fillId="0" borderId="0" xfId="0" applyNumberFormat="1" applyFont="1" applyFill="1"/>
    <xf numFmtId="17" fontId="54" fillId="5" borderId="0" xfId="2" applyNumberFormat="1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49" fillId="6" borderId="0" xfId="0" applyFont="1" applyFill="1" applyAlignment="1">
      <alignment horizontal="center"/>
    </xf>
    <xf numFmtId="0" fontId="54" fillId="6" borderId="0" xfId="2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4" fillId="5" borderId="0" xfId="2" applyFont="1" applyFill="1" applyAlignment="1">
      <alignment horizontal="center" wrapText="1"/>
    </xf>
    <xf numFmtId="39" fontId="53" fillId="0" borderId="0" xfId="3" applyNumberFormat="1" applyFont="1" applyFill="1"/>
    <xf numFmtId="3" fontId="53" fillId="0" borderId="0" xfId="2" applyNumberFormat="1" applyFont="1" applyFill="1"/>
    <xf numFmtId="2" fontId="53" fillId="0" borderId="0" xfId="2" applyNumberFormat="1" applyFont="1" applyFill="1"/>
    <xf numFmtId="44" fontId="53" fillId="0" borderId="0" xfId="1" applyFont="1" applyFill="1"/>
    <xf numFmtId="4" fontId="53" fillId="0" borderId="0" xfId="2" applyNumberFormat="1" applyFont="1" applyFill="1"/>
    <xf numFmtId="42" fontId="54" fillId="0" borderId="1" xfId="3" applyNumberFormat="1" applyFont="1" applyFill="1" applyBorder="1"/>
    <xf numFmtId="42" fontId="53" fillId="0" borderId="0" xfId="2" applyNumberFormat="1" applyFont="1" applyFill="1"/>
    <xf numFmtId="0" fontId="54" fillId="0" borderId="0" xfId="2" applyFont="1" applyFill="1" applyAlignment="1">
      <alignment horizontal="center"/>
    </xf>
    <xf numFmtId="43" fontId="54" fillId="0" borderId="0" xfId="3" applyFont="1" applyFill="1" applyAlignment="1">
      <alignment horizontal="center"/>
    </xf>
    <xf numFmtId="42" fontId="57" fillId="0" borderId="1" xfId="3" applyNumberFormat="1" applyFont="1" applyFill="1" applyBorder="1"/>
    <xf numFmtId="164" fontId="54" fillId="0" borderId="0" xfId="2" applyNumberFormat="1" applyFont="1" applyFill="1"/>
    <xf numFmtId="42" fontId="54" fillId="0" borderId="0" xfId="2" applyNumberFormat="1" applyFont="1" applyFill="1"/>
    <xf numFmtId="164" fontId="53" fillId="0" borderId="0" xfId="2" applyNumberFormat="1" applyFont="1" applyFill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 applyAlignment="1">
      <alignment horizontal="right"/>
    </xf>
    <xf numFmtId="3" fontId="0" fillId="0" borderId="6" xfId="0" applyNumberFormat="1" applyFont="1" applyFill="1" applyBorder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49" fillId="0" borderId="0" xfId="0" applyNumberFormat="1" applyFont="1" applyFill="1"/>
    <xf numFmtId="0" fontId="0" fillId="0" borderId="7" xfId="0" applyFont="1" applyFill="1" applyBorder="1" applyAlignment="1">
      <alignment horizontal="right"/>
    </xf>
    <xf numFmtId="0" fontId="0" fillId="0" borderId="8" xfId="0" applyFont="1" applyFill="1" applyBorder="1"/>
    <xf numFmtId="10" fontId="0" fillId="0" borderId="9" xfId="0" applyNumberFormat="1" applyFont="1" applyFill="1" applyBorder="1"/>
    <xf numFmtId="43" fontId="53" fillId="0" borderId="0" xfId="456" applyFont="1" applyFill="1"/>
    <xf numFmtId="0" fontId="58" fillId="0" borderId="0" xfId="2" applyFont="1" applyFill="1"/>
    <xf numFmtId="0" fontId="49" fillId="0" borderId="2" xfId="0" applyFont="1" applyBorder="1"/>
    <xf numFmtId="0" fontId="49" fillId="0" borderId="3" xfId="0" applyFont="1" applyBorder="1"/>
    <xf numFmtId="0" fontId="0" fillId="0" borderId="5" xfId="0" applyFont="1" applyBorder="1"/>
    <xf numFmtId="42" fontId="0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168" fontId="0" fillId="0" borderId="9" xfId="0" applyNumberFormat="1" applyFont="1" applyBorder="1"/>
    <xf numFmtId="0" fontId="0" fillId="39" borderId="33" xfId="0" applyFont="1" applyFill="1" applyBorder="1" applyAlignment="1">
      <alignment horizontal="center"/>
    </xf>
    <xf numFmtId="170" fontId="0" fillId="0" borderId="0" xfId="456" applyNumberFormat="1" applyFont="1" applyFill="1" applyBorder="1"/>
    <xf numFmtId="10" fontId="0" fillId="0" borderId="0" xfId="457" applyNumberFormat="1" applyFont="1" applyFill="1"/>
    <xf numFmtId="0" fontId="52" fillId="3" borderId="0" xfId="2" applyFont="1" applyFill="1"/>
    <xf numFmtId="0" fontId="0" fillId="3" borderId="0" xfId="0" applyFont="1" applyFill="1"/>
    <xf numFmtId="0" fontId="54" fillId="3" borderId="25" xfId="2" applyFont="1" applyFill="1" applyBorder="1" applyAlignment="1">
      <alignment wrapText="1"/>
    </xf>
    <xf numFmtId="0" fontId="54" fillId="3" borderId="25" xfId="2" applyFont="1" applyFill="1" applyBorder="1"/>
    <xf numFmtId="0" fontId="54" fillId="3" borderId="0" xfId="2" applyFont="1" applyFill="1" applyBorder="1"/>
    <xf numFmtId="5" fontId="53" fillId="3" borderId="25" xfId="2" applyNumberFormat="1" applyFont="1" applyFill="1" applyBorder="1"/>
    <xf numFmtId="44" fontId="53" fillId="3" borderId="25" xfId="1" applyFont="1" applyFill="1" applyBorder="1"/>
    <xf numFmtId="7" fontId="53" fillId="3" borderId="25" xfId="2" applyNumberFormat="1" applyFont="1" applyFill="1" applyBorder="1"/>
    <xf numFmtId="10" fontId="53" fillId="3" borderId="25" xfId="457" applyNumberFormat="1" applyFont="1" applyFill="1" applyBorder="1"/>
    <xf numFmtId="43" fontId="53" fillId="3" borderId="25" xfId="457" applyNumberFormat="1" applyFont="1" applyFill="1" applyBorder="1"/>
    <xf numFmtId="43" fontId="53" fillId="3" borderId="0" xfId="457" applyNumberFormat="1" applyFont="1" applyFill="1" applyBorder="1"/>
    <xf numFmtId="17" fontId="54" fillId="3" borderId="0" xfId="2" applyNumberFormat="1" applyFont="1" applyFill="1" applyAlignment="1">
      <alignment horizontal="center"/>
    </xf>
    <xf numFmtId="0" fontId="49" fillId="3" borderId="0" xfId="0" applyFont="1" applyFill="1" applyAlignment="1">
      <alignment horizontal="center"/>
    </xf>
    <xf numFmtId="0" fontId="55" fillId="3" borderId="0" xfId="2" applyFont="1" applyFill="1" applyAlignment="1">
      <alignment horizontal="center"/>
    </xf>
    <xf numFmtId="0" fontId="56" fillId="3" borderId="0" xfId="2" applyFont="1" applyFill="1" applyAlignment="1">
      <alignment horizontal="left"/>
    </xf>
    <xf numFmtId="0" fontId="54" fillId="3" borderId="0" xfId="2" applyFont="1" applyFill="1" applyAlignment="1">
      <alignment horizontal="left"/>
    </xf>
    <xf numFmtId="43" fontId="53" fillId="3" borderId="0" xfId="3" applyFont="1" applyFill="1" applyAlignment="1">
      <alignment horizontal="center"/>
    </xf>
    <xf numFmtId="164" fontId="53" fillId="3" borderId="0" xfId="3" applyNumberFormat="1" applyFont="1" applyFill="1"/>
    <xf numFmtId="43" fontId="53" fillId="3" borderId="0" xfId="2" applyNumberFormat="1" applyFont="1" applyFill="1"/>
    <xf numFmtId="43" fontId="0" fillId="3" borderId="0" xfId="3" applyFont="1" applyFill="1" applyBorder="1"/>
    <xf numFmtId="174" fontId="0" fillId="3" borderId="0" xfId="0" applyNumberFormat="1" applyFont="1" applyFill="1"/>
    <xf numFmtId="164" fontId="0" fillId="3" borderId="0" xfId="0" applyNumberFormat="1" applyFont="1" applyFill="1"/>
    <xf numFmtId="43" fontId="53" fillId="3" borderId="0" xfId="3" applyNumberFormat="1" applyFont="1" applyFill="1" applyAlignment="1">
      <alignment horizontal="center"/>
    </xf>
    <xf numFmtId="0" fontId="52" fillId="3" borderId="0" xfId="0" applyFont="1" applyFill="1"/>
    <xf numFmtId="0" fontId="54" fillId="3" borderId="1" xfId="2" applyFont="1" applyFill="1" applyBorder="1" applyAlignment="1">
      <alignment horizontal="right"/>
    </xf>
    <xf numFmtId="43" fontId="54" fillId="3" borderId="1" xfId="3" applyFont="1" applyFill="1" applyBorder="1" applyAlignment="1">
      <alignment horizontal="center"/>
    </xf>
    <xf numFmtId="44" fontId="57" fillId="3" borderId="1" xfId="4" applyFont="1" applyFill="1" applyBorder="1"/>
    <xf numFmtId="0" fontId="54" fillId="3" borderId="1" xfId="2" applyFont="1" applyFill="1" applyBorder="1"/>
    <xf numFmtId="164" fontId="54" fillId="3" borderId="1" xfId="3" applyNumberFormat="1" applyFont="1" applyFill="1" applyBorder="1"/>
    <xf numFmtId="0" fontId="56" fillId="3" borderId="0" xfId="2" applyFont="1" applyFill="1" applyAlignment="1">
      <alignment horizontal="center"/>
    </xf>
    <xf numFmtId="43" fontId="53" fillId="3" borderId="0" xfId="3" applyFont="1" applyFill="1"/>
    <xf numFmtId="0" fontId="54" fillId="3" borderId="0" xfId="2" applyFont="1" applyFill="1" applyBorder="1" applyAlignment="1">
      <alignment horizontal="right"/>
    </xf>
    <xf numFmtId="43" fontId="53" fillId="3" borderId="1" xfId="3" applyFont="1" applyFill="1" applyBorder="1" applyAlignment="1">
      <alignment horizontal="center"/>
    </xf>
    <xf numFmtId="0" fontId="53" fillId="3" borderId="1" xfId="2" applyFont="1" applyFill="1" applyBorder="1"/>
    <xf numFmtId="164" fontId="57" fillId="3" borderId="1" xfId="3" applyNumberFormat="1" applyFont="1" applyFill="1" applyBorder="1"/>
    <xf numFmtId="0" fontId="53" fillId="3" borderId="0" xfId="0" applyFont="1" applyFill="1" applyAlignment="1">
      <alignment vertical="top"/>
    </xf>
    <xf numFmtId="43" fontId="53" fillId="3" borderId="0" xfId="3" applyNumberFormat="1" applyFont="1" applyFill="1"/>
    <xf numFmtId="0" fontId="0" fillId="3" borderId="0" xfId="0" applyFont="1" applyFill="1" applyBorder="1"/>
    <xf numFmtId="164" fontId="0" fillId="3" borderId="0" xfId="3" applyNumberFormat="1" applyFont="1" applyFill="1"/>
    <xf numFmtId="164" fontId="49" fillId="3" borderId="0" xfId="0" applyNumberFormat="1" applyFont="1" applyFill="1"/>
    <xf numFmtId="0" fontId="0" fillId="3" borderId="1" xfId="0" applyFont="1" applyFill="1" applyBorder="1"/>
    <xf numFmtId="43" fontId="0" fillId="3" borderId="1" xfId="0" applyNumberFormat="1" applyFont="1" applyFill="1" applyBorder="1"/>
    <xf numFmtId="164" fontId="53" fillId="3" borderId="1" xfId="3" applyNumberFormat="1" applyFont="1" applyFill="1" applyBorder="1"/>
    <xf numFmtId="0" fontId="53" fillId="3" borderId="0" xfId="2" applyFont="1" applyFill="1" applyBorder="1"/>
    <xf numFmtId="44" fontId="0" fillId="3" borderId="0" xfId="0" applyNumberFormat="1" applyFont="1" applyFill="1"/>
    <xf numFmtId="43" fontId="0" fillId="3" borderId="0" xfId="0" applyNumberFormat="1" applyFont="1" applyFill="1"/>
    <xf numFmtId="43" fontId="0" fillId="3" borderId="0" xfId="3" applyFont="1" applyFill="1"/>
    <xf numFmtId="44" fontId="57" fillId="3" borderId="0" xfId="4" applyFont="1" applyFill="1" applyBorder="1"/>
    <xf numFmtId="0" fontId="49" fillId="3" borderId="0" xfId="0" applyFont="1" applyFill="1"/>
    <xf numFmtId="0" fontId="54" fillId="3" borderId="0" xfId="2" applyFont="1" applyFill="1"/>
    <xf numFmtId="0" fontId="0" fillId="3" borderId="0" xfId="0" applyFont="1" applyFill="1" applyAlignment="1">
      <alignment horizontal="left"/>
    </xf>
    <xf numFmtId="0" fontId="53" fillId="3" borderId="1" xfId="0" applyFont="1" applyFill="1" applyBorder="1" applyAlignment="1">
      <alignment vertical="top"/>
    </xf>
    <xf numFmtId="0" fontId="53" fillId="3" borderId="0" xfId="0" applyFont="1" applyFill="1" applyBorder="1" applyAlignment="1">
      <alignment vertical="top"/>
    </xf>
    <xf numFmtId="0" fontId="56" fillId="3" borderId="0" xfId="2" applyFont="1" applyFill="1" applyBorder="1" applyAlignment="1">
      <alignment horizontal="center"/>
    </xf>
    <xf numFmtId="0" fontId="58" fillId="0" borderId="0" xfId="0" applyFont="1" applyFill="1"/>
    <xf numFmtId="0" fontId="0" fillId="39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9" fillId="39" borderId="13" xfId="0" applyFont="1" applyFill="1" applyBorder="1" applyAlignment="1">
      <alignment horizontal="center"/>
    </xf>
  </cellXfs>
  <cellStyles count="463">
    <cellStyle name="20% - Accent1 2" xfId="5"/>
    <cellStyle name="20% - Accent1 2 2" xfId="6"/>
    <cellStyle name="20% - Accent1 3" xfId="7"/>
    <cellStyle name="20% - Accent1 3 2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2 2" xfId="14"/>
    <cellStyle name="20% - Accent4 3" xfId="15"/>
    <cellStyle name="20% - Accent4 3 2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1 3 2" xfId="23"/>
    <cellStyle name="40% - Accent2 2" xfId="24"/>
    <cellStyle name="40% - Accent2 3" xfId="25"/>
    <cellStyle name="40% - Accent3 2" xfId="26"/>
    <cellStyle name="40% - Accent3 3" xfId="27"/>
    <cellStyle name="40% - Accent4 2" xfId="28"/>
    <cellStyle name="40% - Accent4 3" xfId="29"/>
    <cellStyle name="40% - Accent4 3 2" xfId="30"/>
    <cellStyle name="40% - Accent5 2" xfId="31"/>
    <cellStyle name="40% - Accent5 3" xfId="32"/>
    <cellStyle name="40% - Accent6 2" xfId="33"/>
    <cellStyle name="40% - Accent6 3" xfId="34"/>
    <cellStyle name="40% - Accent6 3 2" xfId="35"/>
    <cellStyle name="60% - Accent1 2" xfId="36"/>
    <cellStyle name="60% - Accent1 2 2" xfId="37"/>
    <cellStyle name="60% - Accent1 3" xfId="38"/>
    <cellStyle name="60% - Accent1 3 2" xfId="39"/>
    <cellStyle name="60% - Accent2 2" xfId="40"/>
    <cellStyle name="60% - Accent2 3" xfId="41"/>
    <cellStyle name="60% - Accent3 2" xfId="42"/>
    <cellStyle name="60% - Accent3 3" xfId="43"/>
    <cellStyle name="60% - Accent3 3 2" xfId="44"/>
    <cellStyle name="60% - Accent4 2" xfId="45"/>
    <cellStyle name="60% - Accent4 3" xfId="46"/>
    <cellStyle name="60% - Accent4 3 2" xfId="47"/>
    <cellStyle name="60% - Accent5 2" xfId="48"/>
    <cellStyle name="60% - Accent5 2 2" xfId="49"/>
    <cellStyle name="60% - Accent5 3" xfId="50"/>
    <cellStyle name="60% - Accent6 2" xfId="51"/>
    <cellStyle name="60% - Accent6 3" xfId="52"/>
    <cellStyle name="Accent1 2" xfId="53"/>
    <cellStyle name="Accent1 2 2" xfId="54"/>
    <cellStyle name="Accent1 3" xfId="55"/>
    <cellStyle name="Accent1 3 2" xfId="56"/>
    <cellStyle name="Accent2 2" xfId="57"/>
    <cellStyle name="Accent2 3" xfId="58"/>
    <cellStyle name="Accent3 2" xfId="59"/>
    <cellStyle name="Accent3 2 2" xfId="60"/>
    <cellStyle name="Accent3 3" xfId="61"/>
    <cellStyle name="Accent4 2" xfId="62"/>
    <cellStyle name="Accent4 3" xfId="63"/>
    <cellStyle name="Accent5 2" xfId="64"/>
    <cellStyle name="Accent5 3" xfId="65"/>
    <cellStyle name="Accent6 2" xfId="66"/>
    <cellStyle name="Accent6 2 2" xfId="67"/>
    <cellStyle name="Accent6 3" xfId="68"/>
    <cellStyle name="Accounting" xfId="69"/>
    <cellStyle name="Accounting 2" xfId="70"/>
    <cellStyle name="Accounting 3" xfId="71"/>
    <cellStyle name="Accounting_2011-11" xfId="72"/>
    <cellStyle name="Bad 2" xfId="73"/>
    <cellStyle name="Bad 3" xfId="74"/>
    <cellStyle name="Budget" xfId="75"/>
    <cellStyle name="Budget 2" xfId="76"/>
    <cellStyle name="Budget 3" xfId="77"/>
    <cellStyle name="Budget_2011-11" xfId="78"/>
    <cellStyle name="Calculation 2" xfId="79"/>
    <cellStyle name="Calculation 2 2" xfId="80"/>
    <cellStyle name="Calculation 3" xfId="81"/>
    <cellStyle name="Calculation 3 2" xfId="82"/>
    <cellStyle name="Check Cell 2" xfId="83"/>
    <cellStyle name="Check Cell 3" xfId="84"/>
    <cellStyle name="combo" xfId="85"/>
    <cellStyle name="Comma" xfId="456" builtinId="3"/>
    <cellStyle name="Comma 10" xfId="3"/>
    <cellStyle name="Comma 11" xfId="86"/>
    <cellStyle name="Comma 12" xfId="87"/>
    <cellStyle name="Comma 12 2" xfId="88"/>
    <cellStyle name="Comma 12 3" xfId="89"/>
    <cellStyle name="Comma 12 4" xfId="90"/>
    <cellStyle name="Comma 13" xfId="91"/>
    <cellStyle name="Comma 13 2" xfId="92"/>
    <cellStyle name="Comma 14" xfId="93"/>
    <cellStyle name="Comma 15" xfId="94"/>
    <cellStyle name="Comma 15 2" xfId="95"/>
    <cellStyle name="Comma 16" xfId="96"/>
    <cellStyle name="Comma 17" xfId="97"/>
    <cellStyle name="Comma 17 2" xfId="98"/>
    <cellStyle name="Comma 18" xfId="99"/>
    <cellStyle name="Comma 18 2" xfId="100"/>
    <cellStyle name="Comma 19" xfId="101"/>
    <cellStyle name="Comma 2" xfId="102"/>
    <cellStyle name="Comma 2 2" xfId="103"/>
    <cellStyle name="Comma 2 2 2" xfId="104"/>
    <cellStyle name="Comma 2 3" xfId="105"/>
    <cellStyle name="Comma 2 4" xfId="106"/>
    <cellStyle name="Comma 2 4 2" xfId="107"/>
    <cellStyle name="Comma 2 5" xfId="461"/>
    <cellStyle name="Comma 2 6" xfId="108"/>
    <cellStyle name="Comma 2 6 2" xfId="109"/>
    <cellStyle name="Comma 20" xfId="110"/>
    <cellStyle name="Comma 21" xfId="111"/>
    <cellStyle name="Comma 3" xfId="112"/>
    <cellStyle name="Comma 3 2" xfId="113"/>
    <cellStyle name="Comma 3 2 2" xfId="114"/>
    <cellStyle name="Comma 3 3" xfId="115"/>
    <cellStyle name="Comma 3 4" xfId="116"/>
    <cellStyle name="Comma 4" xfId="117"/>
    <cellStyle name="Comma 4 2" xfId="118"/>
    <cellStyle name="Comma 4 2 2" xfId="119"/>
    <cellStyle name="Comma 4 2 3" xfId="120"/>
    <cellStyle name="Comma 4 3" xfId="121"/>
    <cellStyle name="Comma 4 3 2" xfId="122"/>
    <cellStyle name="Comma 4 3 3" xfId="123"/>
    <cellStyle name="Comma 4 4" xfId="124"/>
    <cellStyle name="Comma 4 4 2" xfId="125"/>
    <cellStyle name="Comma 4 4 3" xfId="126"/>
    <cellStyle name="Comma 4 5" xfId="127"/>
    <cellStyle name="Comma 4 5 2" xfId="128"/>
    <cellStyle name="Comma 4 6" xfId="129"/>
    <cellStyle name="Comma 5" xfId="130"/>
    <cellStyle name="Comma 5 2" xfId="131"/>
    <cellStyle name="Comma 5 3" xfId="132"/>
    <cellStyle name="Comma 5 4" xfId="133"/>
    <cellStyle name="Comma 6" xfId="134"/>
    <cellStyle name="Comma 6 2" xfId="135"/>
    <cellStyle name="Comma 7" xfId="136"/>
    <cellStyle name="Comma 8" xfId="137"/>
    <cellStyle name="Comma 9" xfId="138"/>
    <cellStyle name="Comma(2)" xfId="139"/>
    <cellStyle name="Comma0" xfId="140"/>
    <cellStyle name="Comma0 - Style2" xfId="141"/>
    <cellStyle name="Comma1 - Style1" xfId="142"/>
    <cellStyle name="Comments" xfId="143"/>
    <cellStyle name="Currency" xfId="1" builtinId="4"/>
    <cellStyle name="Currency 10" xfId="144"/>
    <cellStyle name="Currency 11" xfId="4"/>
    <cellStyle name="Currency 12" xfId="145"/>
    <cellStyle name="Currency 13" xfId="146"/>
    <cellStyle name="Currency 2" xfId="147"/>
    <cellStyle name="Currency 2 2" xfId="148"/>
    <cellStyle name="Currency 2 2 2" xfId="149"/>
    <cellStyle name="Currency 2 3" xfId="150"/>
    <cellStyle name="Currency 2 3 2" xfId="151"/>
    <cellStyle name="Currency 2 4" xfId="152"/>
    <cellStyle name="Currency 2 5" xfId="462"/>
    <cellStyle name="Currency 2 6" xfId="153"/>
    <cellStyle name="Currency 2 6 2" xfId="154"/>
    <cellStyle name="Currency 3" xfId="155"/>
    <cellStyle name="Currency 3 2" xfId="156"/>
    <cellStyle name="Currency 3 3" xfId="157"/>
    <cellStyle name="Currency 3 3 2" xfId="158"/>
    <cellStyle name="Currency 3 4" xfId="159"/>
    <cellStyle name="Currency 4" xfId="160"/>
    <cellStyle name="Currency 4 2" xfId="161"/>
    <cellStyle name="Currency 4 3" xfId="162"/>
    <cellStyle name="Currency 5" xfId="163"/>
    <cellStyle name="Currency 5 2" xfId="164"/>
    <cellStyle name="Currency 5 3" xfId="165"/>
    <cellStyle name="Currency 6" xfId="166"/>
    <cellStyle name="Currency 7" xfId="167"/>
    <cellStyle name="Currency 8" xfId="168"/>
    <cellStyle name="Currency 9" xfId="169"/>
    <cellStyle name="Currency0" xfId="170"/>
    <cellStyle name="Data Enter" xfId="171"/>
    <cellStyle name="date" xfId="172"/>
    <cellStyle name="Explanatory Text 2" xfId="173"/>
    <cellStyle name="Explanatory Text 3" xfId="174"/>
    <cellStyle name="F9ReportControlStyle_ctpInquire" xfId="175"/>
    <cellStyle name="FactSheet" xfId="176"/>
    <cellStyle name="fish" xfId="177"/>
    <cellStyle name="Good 2" xfId="178"/>
    <cellStyle name="Good 3" xfId="179"/>
    <cellStyle name="Good 4" xfId="180"/>
    <cellStyle name="Heading 1 2" xfId="181"/>
    <cellStyle name="Heading 1 2 2" xfId="182"/>
    <cellStyle name="Heading 1 3" xfId="183"/>
    <cellStyle name="Heading 1 3 2" xfId="184"/>
    <cellStyle name="Heading 2 2" xfId="185"/>
    <cellStyle name="Heading 2 2 2" xfId="186"/>
    <cellStyle name="Heading 2 3" xfId="187"/>
    <cellStyle name="Heading 2 3 2" xfId="188"/>
    <cellStyle name="Heading 3 2" xfId="189"/>
    <cellStyle name="Heading 3 2 2" xfId="190"/>
    <cellStyle name="Heading 3 3" xfId="191"/>
    <cellStyle name="Heading 3 3 2" xfId="192"/>
    <cellStyle name="Heading 4 2" xfId="193"/>
    <cellStyle name="Heading 4 3" xfId="194"/>
    <cellStyle name="Hyperlink 2" xfId="195"/>
    <cellStyle name="Hyperlink 3" xfId="196"/>
    <cellStyle name="Hyperlink 3 2" xfId="197"/>
    <cellStyle name="Input 2" xfId="198"/>
    <cellStyle name="Input 3" xfId="199"/>
    <cellStyle name="input(0)" xfId="200"/>
    <cellStyle name="Input(2)" xfId="201"/>
    <cellStyle name="Linked Cell 2" xfId="202"/>
    <cellStyle name="Linked Cell 2 2" xfId="203"/>
    <cellStyle name="Linked Cell 3" xfId="204"/>
    <cellStyle name="Neutral 2" xfId="205"/>
    <cellStyle name="Neutral 2 2" xfId="206"/>
    <cellStyle name="Neutral 3" xfId="207"/>
    <cellStyle name="New_normal" xfId="208"/>
    <cellStyle name="Normal" xfId="0" builtinId="0"/>
    <cellStyle name="Normal - Style1" xfId="209"/>
    <cellStyle name="Normal - Style2" xfId="210"/>
    <cellStyle name="Normal - Style3" xfId="211"/>
    <cellStyle name="Normal - Style4" xfId="212"/>
    <cellStyle name="Normal - Style5" xfId="213"/>
    <cellStyle name="Normal 10" xfId="214"/>
    <cellStyle name="Normal 10 2" xfId="215"/>
    <cellStyle name="Normal 10 2 2" xfId="216"/>
    <cellStyle name="Normal 10 2 3" xfId="217"/>
    <cellStyle name="Normal 10 2 4" xfId="218"/>
    <cellStyle name="Normal 10 3" xfId="219"/>
    <cellStyle name="Normal 10_2112 DF Schedule" xfId="220"/>
    <cellStyle name="Normal 100" xfId="221"/>
    <cellStyle name="Normal 101" xfId="222"/>
    <cellStyle name="Normal 102" xfId="223"/>
    <cellStyle name="Normal 103" xfId="224"/>
    <cellStyle name="Normal 104" xfId="225"/>
    <cellStyle name="Normal 105" xfId="226"/>
    <cellStyle name="Normal 106" xfId="227"/>
    <cellStyle name="Normal 107" xfId="228"/>
    <cellStyle name="Normal 108" xfId="229"/>
    <cellStyle name="Normal 109" xfId="230"/>
    <cellStyle name="Normal 11" xfId="231"/>
    <cellStyle name="Normal 11 2" xfId="232"/>
    <cellStyle name="Normal 11 2 2" xfId="233"/>
    <cellStyle name="Normal 110" xfId="234"/>
    <cellStyle name="Normal 12" xfId="235"/>
    <cellStyle name="Normal 12 2" xfId="236"/>
    <cellStyle name="Normal 12 3" xfId="237"/>
    <cellStyle name="Normal 12_Sheet1" xfId="238"/>
    <cellStyle name="Normal 13" xfId="239"/>
    <cellStyle name="Normal 13 2" xfId="240"/>
    <cellStyle name="Normal 13 3" xfId="241"/>
    <cellStyle name="Normal 13_Sheet1" xfId="242"/>
    <cellStyle name="Normal 14" xfId="243"/>
    <cellStyle name="Normal 14 2" xfId="244"/>
    <cellStyle name="Normal 14 3" xfId="245"/>
    <cellStyle name="Normal 14_Sheet1" xfId="246"/>
    <cellStyle name="Normal 15" xfId="247"/>
    <cellStyle name="Normal 15 2" xfId="248"/>
    <cellStyle name="Normal 16" xfId="249"/>
    <cellStyle name="Normal 16 2" xfId="250"/>
    <cellStyle name="Normal 17" xfId="251"/>
    <cellStyle name="Normal 17 2" xfId="252"/>
    <cellStyle name="Normal 18" xfId="253"/>
    <cellStyle name="Normal 18 2" xfId="254"/>
    <cellStyle name="Normal 19" xfId="255"/>
    <cellStyle name="Normal 19 2" xfId="256"/>
    <cellStyle name="Normal 2" xfId="257"/>
    <cellStyle name="Normal 2 10" xfId="258"/>
    <cellStyle name="Normal 2 11" xfId="259"/>
    <cellStyle name="Normal 2 12" xfId="460"/>
    <cellStyle name="Normal 2 2" xfId="260"/>
    <cellStyle name="Normal 2 2 2" xfId="261"/>
    <cellStyle name="Normal 2 2 2 2" xfId="262"/>
    <cellStyle name="Normal 2 2 3" xfId="263"/>
    <cellStyle name="Normal 2 2_4MthProj2" xfId="264"/>
    <cellStyle name="Normal 2 3" xfId="265"/>
    <cellStyle name="Normal 2 3 2" xfId="266"/>
    <cellStyle name="Normal 2 3 3" xfId="267"/>
    <cellStyle name="Normal 2 3_4MthProj2" xfId="268"/>
    <cellStyle name="Normal 2 4" xfId="269"/>
    <cellStyle name="Normal 2 4 2" xfId="270"/>
    <cellStyle name="Normal 2 5" xfId="271"/>
    <cellStyle name="Normal 2 6" xfId="272"/>
    <cellStyle name="Normal 2 7" xfId="273"/>
    <cellStyle name="Normal 2 8" xfId="274"/>
    <cellStyle name="Normal 2 9" xfId="275"/>
    <cellStyle name="Normal 2_2009 Regulated Price Out" xfId="276"/>
    <cellStyle name="Normal 20" xfId="277"/>
    <cellStyle name="Normal 20 2" xfId="278"/>
    <cellStyle name="Normal 21" xfId="279"/>
    <cellStyle name="Normal 21 2" xfId="280"/>
    <cellStyle name="Normal 22" xfId="281"/>
    <cellStyle name="Normal 22 2" xfId="282"/>
    <cellStyle name="Normal 23" xfId="283"/>
    <cellStyle name="Normal 23 2" xfId="284"/>
    <cellStyle name="Normal 24" xfId="285"/>
    <cellStyle name="Normal 25" xfId="286"/>
    <cellStyle name="Normal 26" xfId="287"/>
    <cellStyle name="Normal 27" xfId="288"/>
    <cellStyle name="Normal 27 2" xfId="289"/>
    <cellStyle name="Normal 28" xfId="290"/>
    <cellStyle name="Normal 29" xfId="291"/>
    <cellStyle name="Normal 3" xfId="292"/>
    <cellStyle name="Normal 3 2" xfId="293"/>
    <cellStyle name="Normal 3 2 2" xfId="294"/>
    <cellStyle name="Normal 3 3" xfId="295"/>
    <cellStyle name="Normal 3 3 2" xfId="296"/>
    <cellStyle name="Normal 3 4" xfId="297"/>
    <cellStyle name="Normal 3_2012 PR" xfId="298"/>
    <cellStyle name="Normal 30" xfId="299"/>
    <cellStyle name="Normal 31" xfId="300"/>
    <cellStyle name="Normal 31 2" xfId="301"/>
    <cellStyle name="Normal 32" xfId="302"/>
    <cellStyle name="Normal 33" xfId="303"/>
    <cellStyle name="Normal 34" xfId="304"/>
    <cellStyle name="Normal 35" xfId="305"/>
    <cellStyle name="Normal 36" xfId="306"/>
    <cellStyle name="Normal 37" xfId="307"/>
    <cellStyle name="Normal 38" xfId="308"/>
    <cellStyle name="Normal 39" xfId="309"/>
    <cellStyle name="Normal 4" xfId="310"/>
    <cellStyle name="Normal 4 2" xfId="311"/>
    <cellStyle name="Normal 4 2 2" xfId="312"/>
    <cellStyle name="Normal 4 3" xfId="313"/>
    <cellStyle name="Normal 4 3 2" xfId="314"/>
    <cellStyle name="Normal 4_Consolidated IS" xfId="315"/>
    <cellStyle name="Normal 40" xfId="316"/>
    <cellStyle name="Normal 41" xfId="317"/>
    <cellStyle name="Normal 42" xfId="318"/>
    <cellStyle name="Normal 43" xfId="319"/>
    <cellStyle name="Normal 44" xfId="320"/>
    <cellStyle name="Normal 45" xfId="321"/>
    <cellStyle name="Normal 46" xfId="322"/>
    <cellStyle name="Normal 47" xfId="323"/>
    <cellStyle name="Normal 48" xfId="324"/>
    <cellStyle name="Normal 49" xfId="325"/>
    <cellStyle name="Normal 5" xfId="326"/>
    <cellStyle name="Normal 5 2" xfId="327"/>
    <cellStyle name="Normal 5 3" xfId="328"/>
    <cellStyle name="Normal 5_2112 DF Schedule" xfId="329"/>
    <cellStyle name="Normal 50" xfId="330"/>
    <cellStyle name="Normal 51" xfId="331"/>
    <cellStyle name="Normal 52" xfId="332"/>
    <cellStyle name="Normal 53" xfId="333"/>
    <cellStyle name="Normal 54" xfId="334"/>
    <cellStyle name="Normal 55" xfId="335"/>
    <cellStyle name="Normal 56" xfId="336"/>
    <cellStyle name="Normal 57" xfId="337"/>
    <cellStyle name="Normal 58" xfId="338"/>
    <cellStyle name="Normal 59" xfId="339"/>
    <cellStyle name="Normal 6" xfId="340"/>
    <cellStyle name="Normal 6 2" xfId="341"/>
    <cellStyle name="Normal 6 2 2" xfId="342"/>
    <cellStyle name="Normal 60" xfId="343"/>
    <cellStyle name="Normal 61" xfId="344"/>
    <cellStyle name="Normal 62" xfId="345"/>
    <cellStyle name="Normal 63" xfId="346"/>
    <cellStyle name="Normal 64" xfId="347"/>
    <cellStyle name="Normal 65" xfId="348"/>
    <cellStyle name="Normal 66" xfId="349"/>
    <cellStyle name="Normal 67" xfId="350"/>
    <cellStyle name="Normal 68" xfId="351"/>
    <cellStyle name="Normal 69" xfId="352"/>
    <cellStyle name="Normal 7" xfId="353"/>
    <cellStyle name="Normal 7 2" xfId="354"/>
    <cellStyle name="Normal 7 2 2" xfId="355"/>
    <cellStyle name="Normal 70" xfId="356"/>
    <cellStyle name="Normal 71" xfId="357"/>
    <cellStyle name="Normal 72" xfId="358"/>
    <cellStyle name="Normal 73" xfId="359"/>
    <cellStyle name="Normal 74" xfId="360"/>
    <cellStyle name="Normal 75" xfId="361"/>
    <cellStyle name="Normal 76" xfId="362"/>
    <cellStyle name="Normal 77" xfId="363"/>
    <cellStyle name="Normal 78" xfId="364"/>
    <cellStyle name="Normal 79" xfId="365"/>
    <cellStyle name="Normal 8" xfId="366"/>
    <cellStyle name="Normal 8 2" xfId="367"/>
    <cellStyle name="Normal 8 2 2" xfId="368"/>
    <cellStyle name="Normal 80" xfId="369"/>
    <cellStyle name="Normal 81" xfId="370"/>
    <cellStyle name="Normal 82" xfId="371"/>
    <cellStyle name="Normal 83" xfId="372"/>
    <cellStyle name="Normal 84" xfId="373"/>
    <cellStyle name="Normal 84 2" xfId="374"/>
    <cellStyle name="Normal 84 3" xfId="375"/>
    <cellStyle name="Normal 85" xfId="376"/>
    <cellStyle name="Normal 85 2" xfId="377"/>
    <cellStyle name="Normal 86" xfId="378"/>
    <cellStyle name="Normal 87" xfId="379"/>
    <cellStyle name="Normal 88" xfId="380"/>
    <cellStyle name="Normal 89" xfId="381"/>
    <cellStyle name="Normal 9" xfId="382"/>
    <cellStyle name="Normal 9 2" xfId="383"/>
    <cellStyle name="Normal 9 2 2" xfId="384"/>
    <cellStyle name="Normal 90" xfId="385"/>
    <cellStyle name="Normal 91" xfId="386"/>
    <cellStyle name="Normal 92" xfId="387"/>
    <cellStyle name="Normal 93" xfId="388"/>
    <cellStyle name="Normal 94" xfId="389"/>
    <cellStyle name="Normal 95" xfId="390"/>
    <cellStyle name="Normal 96" xfId="391"/>
    <cellStyle name="Normal 97" xfId="392"/>
    <cellStyle name="Normal 98" xfId="393"/>
    <cellStyle name="Normal 99" xfId="394"/>
    <cellStyle name="Normal_Book3" xfId="458"/>
    <cellStyle name="Normal_M-A DF Calculation 3-1-2013-Final" xfId="459"/>
    <cellStyle name="Normal_Regulated Price Out 9-6-2011 Final HL" xfId="2"/>
    <cellStyle name="Note 2" xfId="395"/>
    <cellStyle name="Note 2 2" xfId="396"/>
    <cellStyle name="Note 3" xfId="397"/>
    <cellStyle name="Note 3 2" xfId="398"/>
    <cellStyle name="Notes" xfId="399"/>
    <cellStyle name="Output 2" xfId="400"/>
    <cellStyle name="Output 3" xfId="401"/>
    <cellStyle name="Percent" xfId="457" builtinId="5"/>
    <cellStyle name="Percent 10" xfId="402"/>
    <cellStyle name="Percent 2" xfId="403"/>
    <cellStyle name="Percent 2 2" xfId="404"/>
    <cellStyle name="Percent 2 2 2" xfId="405"/>
    <cellStyle name="Percent 2 3" xfId="406"/>
    <cellStyle name="Percent 2 4" xfId="407"/>
    <cellStyle name="Percent 2 6" xfId="408"/>
    <cellStyle name="Percent 3" xfId="409"/>
    <cellStyle name="Percent 3 2" xfId="410"/>
    <cellStyle name="Percent 4" xfId="411"/>
    <cellStyle name="Percent 4 2" xfId="412"/>
    <cellStyle name="Percent 4 3" xfId="413"/>
    <cellStyle name="Percent 4 4" xfId="414"/>
    <cellStyle name="Percent 5" xfId="415"/>
    <cellStyle name="Percent 6" xfId="416"/>
    <cellStyle name="Percent 7" xfId="417"/>
    <cellStyle name="Percent 7 2" xfId="418"/>
    <cellStyle name="Percent 7 3" xfId="419"/>
    <cellStyle name="Percent 8" xfId="420"/>
    <cellStyle name="Percent 9" xfId="421"/>
    <cellStyle name="Percent(1)" xfId="422"/>
    <cellStyle name="Percent(2)" xfId="423"/>
    <cellStyle name="PRM" xfId="424"/>
    <cellStyle name="PRM 2" xfId="425"/>
    <cellStyle name="PRM 3" xfId="426"/>
    <cellStyle name="PRM_2011-11" xfId="427"/>
    <cellStyle name="PS_Comma" xfId="428"/>
    <cellStyle name="PSChar" xfId="429"/>
    <cellStyle name="PSDate" xfId="430"/>
    <cellStyle name="PSDec" xfId="431"/>
    <cellStyle name="PSHeading" xfId="432"/>
    <cellStyle name="PSInt" xfId="433"/>
    <cellStyle name="PSSpacer" xfId="434"/>
    <cellStyle name="STYL0 - Style1" xfId="435"/>
    <cellStyle name="STYL1 - Style2" xfId="436"/>
    <cellStyle name="STYL2 - Style3" xfId="437"/>
    <cellStyle name="STYL3 - Style4" xfId="438"/>
    <cellStyle name="STYL4 - Style5" xfId="439"/>
    <cellStyle name="STYL5 - Style6" xfId="440"/>
    <cellStyle name="STYL6 - Style7" xfId="441"/>
    <cellStyle name="STYL7 - Style8" xfId="442"/>
    <cellStyle name="Style 1" xfId="443"/>
    <cellStyle name="Style 1 2" xfId="444"/>
    <cellStyle name="STYLE1" xfId="445"/>
    <cellStyle name="sub heading" xfId="446"/>
    <cellStyle name="Title 2" xfId="447"/>
    <cellStyle name="Title 3" xfId="448"/>
    <cellStyle name="Total 2" xfId="449"/>
    <cellStyle name="Total 2 2" xfId="450"/>
    <cellStyle name="Total 3" xfId="451"/>
    <cellStyle name="Total 3 2" xfId="452"/>
    <cellStyle name="Warning Text 2" xfId="453"/>
    <cellStyle name="Warning Text 3" xfId="454"/>
    <cellStyle name="WM_STANDARD" xfId="4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Audit\Final\TG-160424%20CRD%20Pro%20forma%203-31-2016%20Staff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  <row r="76">
          <cell r="G76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  <row r="4">
          <cell r="E4">
            <v>156360.19147202992</v>
          </cell>
        </row>
        <row r="5">
          <cell r="E5">
            <v>886608.54210218962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  <row r="5">
          <cell r="L5">
            <v>8.1313120400955161E-2</v>
          </cell>
        </row>
        <row r="6">
          <cell r="L6">
            <v>0.12196968060143275</v>
          </cell>
        </row>
        <row r="7">
          <cell r="L7">
            <v>0.1841503020845161</v>
          </cell>
        </row>
        <row r="8">
          <cell r="L8">
            <v>0.23198154937919557</v>
          </cell>
        </row>
        <row r="9">
          <cell r="L9">
            <v>0.2798127966738751</v>
          </cell>
        </row>
        <row r="10">
          <cell r="L10">
            <v>0.32764404396855457</v>
          </cell>
        </row>
        <row r="11">
          <cell r="L11">
            <v>4.0656560200477587E-2</v>
          </cell>
        </row>
        <row r="12">
          <cell r="L12">
            <v>1.8764566246374268E-2</v>
          </cell>
        </row>
        <row r="13">
          <cell r="L13">
            <v>9.5662494589359007E-2</v>
          </cell>
        </row>
        <row r="14">
          <cell r="L14">
            <v>2.5939253340576195E-2</v>
          </cell>
        </row>
        <row r="15">
          <cell r="L15">
            <v>0.11240343114249683</v>
          </cell>
        </row>
        <row r="16">
          <cell r="L16">
            <v>1.8764566246374268E-2</v>
          </cell>
        </row>
        <row r="17">
          <cell r="L17">
            <v>1.8764566246374268E-2</v>
          </cell>
        </row>
        <row r="19">
          <cell r="L19">
            <v>6.8987375905787754E-2</v>
          </cell>
        </row>
        <row r="32">
          <cell r="E32">
            <v>4.333333333333333</v>
          </cell>
          <cell r="L32">
            <v>9.6582326268102842E-2</v>
          </cell>
        </row>
        <row r="33">
          <cell r="E33">
            <v>8.6666666666666661</v>
          </cell>
          <cell r="L33">
            <v>9.6582326268102842E-2</v>
          </cell>
        </row>
        <row r="34">
          <cell r="E34">
            <v>8.6666666666666661</v>
          </cell>
          <cell r="L34">
            <v>9.6582326268102869E-2</v>
          </cell>
        </row>
        <row r="35">
          <cell r="E35">
            <v>2.1666666666666665</v>
          </cell>
          <cell r="L35">
            <v>9.6582326268102855E-2</v>
          </cell>
        </row>
        <row r="36">
          <cell r="E36">
            <v>4.333333333333333</v>
          </cell>
          <cell r="L36">
            <v>0.13797475181157554</v>
          </cell>
        </row>
        <row r="37">
          <cell r="E37">
            <v>8.6666666666666661</v>
          </cell>
          <cell r="L37">
            <v>0.13797475181157551</v>
          </cell>
        </row>
        <row r="38">
          <cell r="E38">
            <v>8.6666666666666661</v>
          </cell>
          <cell r="L38">
            <v>0.13797475181157551</v>
          </cell>
        </row>
        <row r="39">
          <cell r="E39">
            <v>13</v>
          </cell>
          <cell r="L39">
            <v>0.13797475181157548</v>
          </cell>
        </row>
        <row r="40">
          <cell r="E40">
            <v>26</v>
          </cell>
          <cell r="L40">
            <v>0.13797475181157548</v>
          </cell>
        </row>
        <row r="41">
          <cell r="E41">
            <v>2.1666666666666665</v>
          </cell>
          <cell r="L41">
            <v>0.13797475181157551</v>
          </cell>
        </row>
        <row r="42">
          <cell r="E42">
            <v>4.333333333333333</v>
          </cell>
          <cell r="L42">
            <v>0.17881527834780186</v>
          </cell>
        </row>
        <row r="43">
          <cell r="E43">
            <v>8.6666666666666661</v>
          </cell>
          <cell r="L43">
            <v>0.17881527834780186</v>
          </cell>
        </row>
        <row r="44">
          <cell r="E44">
            <v>13</v>
          </cell>
          <cell r="L44">
            <v>0.17881527834780186</v>
          </cell>
        </row>
        <row r="45">
          <cell r="E45">
            <v>17.333333333333332</v>
          </cell>
          <cell r="L45">
            <v>0.17881527834780184</v>
          </cell>
        </row>
        <row r="46">
          <cell r="E46">
            <v>30.333333333333332</v>
          </cell>
          <cell r="L46">
            <v>0.17881527834780186</v>
          </cell>
        </row>
        <row r="47">
          <cell r="E47">
            <v>8.6666666666666661</v>
          </cell>
          <cell r="L47">
            <v>0.17881527834780184</v>
          </cell>
        </row>
        <row r="48">
          <cell r="E48">
            <v>17.333333333333332</v>
          </cell>
          <cell r="L48">
            <v>0.17881527834780186</v>
          </cell>
        </row>
        <row r="49">
          <cell r="E49">
            <v>26</v>
          </cell>
          <cell r="L49">
            <v>0.17881527834780186</v>
          </cell>
        </row>
        <row r="50">
          <cell r="E50">
            <v>60.666666666666664</v>
          </cell>
          <cell r="L50">
            <v>0.17881527834780186</v>
          </cell>
        </row>
        <row r="51">
          <cell r="E51">
            <v>13</v>
          </cell>
          <cell r="L51">
            <v>0.17881527834780186</v>
          </cell>
        </row>
        <row r="52">
          <cell r="E52">
            <v>26</v>
          </cell>
          <cell r="L52">
            <v>0.17881527834780186</v>
          </cell>
        </row>
        <row r="53">
          <cell r="E53">
            <v>17.333333333333332</v>
          </cell>
          <cell r="L53">
            <v>0.17881527834780184</v>
          </cell>
        </row>
        <row r="54">
          <cell r="E54">
            <v>2.1666666666666665</v>
          </cell>
          <cell r="L54">
            <v>0.17881527834780186</v>
          </cell>
        </row>
        <row r="55">
          <cell r="E55">
            <v>4.333333333333333</v>
          </cell>
          <cell r="L55">
            <v>0.33831409144198321</v>
          </cell>
        </row>
        <row r="57">
          <cell r="E57">
            <v>4.333333333333333</v>
          </cell>
          <cell r="L57">
            <v>1.6005071210142757E-2</v>
          </cell>
        </row>
        <row r="58">
          <cell r="E58">
            <v>8.6666666666666661</v>
          </cell>
          <cell r="L58">
            <v>1.600507121014276E-2</v>
          </cell>
        </row>
        <row r="59">
          <cell r="E59">
            <v>13</v>
          </cell>
          <cell r="L59">
            <v>1.6005071210142757E-2</v>
          </cell>
        </row>
        <row r="60">
          <cell r="E60">
            <v>17.333333333333332</v>
          </cell>
          <cell r="L60">
            <v>1.600507121014276E-2</v>
          </cell>
        </row>
        <row r="61">
          <cell r="E61">
            <v>2.1666666666666665</v>
          </cell>
          <cell r="L61">
            <v>1.600507121014276E-2</v>
          </cell>
        </row>
        <row r="63">
          <cell r="E63">
            <v>1</v>
          </cell>
          <cell r="L63">
            <v>2.2075960289852082E-2</v>
          </cell>
        </row>
        <row r="64">
          <cell r="E64">
            <v>4.333333333333333</v>
          </cell>
          <cell r="L64">
            <v>2.2075960289852082E-2</v>
          </cell>
        </row>
        <row r="65">
          <cell r="E65">
            <v>1</v>
          </cell>
          <cell r="F65">
            <v>994.25898617511518</v>
          </cell>
          <cell r="L65">
            <v>1.600507121014276E-2</v>
          </cell>
        </row>
        <row r="66">
          <cell r="E66">
            <v>1</v>
          </cell>
          <cell r="F66">
            <v>44.698938053097351</v>
          </cell>
          <cell r="L66">
            <v>1.6005071210142757E-2</v>
          </cell>
        </row>
        <row r="67">
          <cell r="E67">
            <v>1</v>
          </cell>
          <cell r="F67">
            <v>30.032940148536479</v>
          </cell>
          <cell r="L67">
            <v>9.6582326268102855E-2</v>
          </cell>
        </row>
        <row r="68">
          <cell r="E68">
            <v>1</v>
          </cell>
          <cell r="F68">
            <v>43.617319016279872</v>
          </cell>
          <cell r="L68">
            <v>0.13797475181157551</v>
          </cell>
        </row>
        <row r="69">
          <cell r="E69">
            <v>1</v>
          </cell>
          <cell r="F69">
            <v>179.85674150109935</v>
          </cell>
          <cell r="L69">
            <v>0.17881527834780186</v>
          </cell>
        </row>
        <row r="70">
          <cell r="E70">
            <v>1</v>
          </cell>
          <cell r="F70">
            <v>4.8000000000000007</v>
          </cell>
          <cell r="L70">
            <v>0.13797475181157551</v>
          </cell>
        </row>
        <row r="71">
          <cell r="E71">
            <v>1</v>
          </cell>
          <cell r="F71">
            <v>19.021276595744681</v>
          </cell>
          <cell r="L71">
            <v>9.6582326268102869E-2</v>
          </cell>
        </row>
        <row r="72">
          <cell r="E72">
            <v>1</v>
          </cell>
          <cell r="F72">
            <v>2.0864696734059098</v>
          </cell>
          <cell r="L72">
            <v>0.17881527834780186</v>
          </cell>
        </row>
        <row r="73">
          <cell r="E73">
            <v>1</v>
          </cell>
          <cell r="F73">
            <v>10.581691907012633</v>
          </cell>
          <cell r="L73">
            <v>6.8987375905787754E-2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="85" zoomScaleNormal="85" workbookViewId="0">
      <selection activeCell="C74" sqref="C74"/>
    </sheetView>
  </sheetViews>
  <sheetFormatPr defaultRowHeight="15"/>
  <cols>
    <col min="1" max="1" width="31.28515625" style="1" customWidth="1"/>
    <col min="2" max="2" width="7" style="1" customWidth="1"/>
    <col min="3" max="3" width="19" style="1" bestFit="1" customWidth="1"/>
    <col min="4" max="4" width="16" style="1" bestFit="1" customWidth="1"/>
    <col min="5" max="5" width="10.5703125" style="1" bestFit="1" customWidth="1"/>
    <col min="6" max="6" width="7" style="1" bestFit="1" customWidth="1"/>
    <col min="7" max="7" width="11.42578125" style="1" bestFit="1" customWidth="1"/>
    <col min="8" max="8" width="10" style="1" bestFit="1" customWidth="1"/>
    <col min="9" max="9" width="8" style="1" bestFit="1" customWidth="1"/>
    <col min="10" max="10" width="15.85546875" style="1" bestFit="1" customWidth="1"/>
    <col min="11" max="11" width="14.5703125" style="1" customWidth="1"/>
    <col min="12" max="16384" width="9.140625" style="1"/>
  </cols>
  <sheetData>
    <row r="1" spans="1:9">
      <c r="A1" s="7" t="s">
        <v>0</v>
      </c>
    </row>
    <row r="2" spans="1:9">
      <c r="A2" s="7" t="s">
        <v>418</v>
      </c>
    </row>
    <row r="4" spans="1:9">
      <c r="A4" s="215" t="s">
        <v>328</v>
      </c>
      <c r="B4" s="215"/>
      <c r="C4" s="215"/>
      <c r="D4" s="215"/>
      <c r="E4" s="215"/>
      <c r="F4" s="215"/>
      <c r="G4" s="215"/>
      <c r="H4" s="215"/>
      <c r="I4" s="215"/>
    </row>
    <row r="5" spans="1:9">
      <c r="A5" s="1" t="s">
        <v>329</v>
      </c>
      <c r="C5" s="2" t="s">
        <v>330</v>
      </c>
      <c r="D5" s="2" t="s">
        <v>331</v>
      </c>
      <c r="E5" s="2" t="s">
        <v>332</v>
      </c>
      <c r="F5" s="3" t="s">
        <v>333</v>
      </c>
      <c r="G5" s="3" t="s">
        <v>334</v>
      </c>
      <c r="H5" s="3" t="s">
        <v>335</v>
      </c>
      <c r="I5" s="2" t="s">
        <v>336</v>
      </c>
    </row>
    <row r="6" spans="1:9">
      <c r="A6" s="1" t="s">
        <v>337</v>
      </c>
      <c r="C6" s="4">
        <f>52*5/12</f>
        <v>21.666666666666668</v>
      </c>
      <c r="D6" s="5">
        <f>$C$6*2</f>
        <v>43.333333333333336</v>
      </c>
      <c r="E6" s="5">
        <f>$C$6*3</f>
        <v>65</v>
      </c>
      <c r="F6" s="5">
        <f>$C$6*4</f>
        <v>86.666666666666671</v>
      </c>
      <c r="G6" s="5">
        <f>$C$6*5</f>
        <v>108.33333333333334</v>
      </c>
      <c r="H6" s="5">
        <f>$C$6*6</f>
        <v>130</v>
      </c>
      <c r="I6" s="5">
        <f>$C$6*7</f>
        <v>151.66666666666669</v>
      </c>
    </row>
    <row r="7" spans="1:9">
      <c r="A7" s="1" t="s">
        <v>338</v>
      </c>
      <c r="C7" s="4">
        <f>52*4/12</f>
        <v>17.333333333333332</v>
      </c>
      <c r="D7" s="5">
        <f>$C$7*2</f>
        <v>34.666666666666664</v>
      </c>
      <c r="E7" s="5">
        <f>$C$7*3</f>
        <v>52</v>
      </c>
      <c r="F7" s="5">
        <f>$C$7*4</f>
        <v>69.333333333333329</v>
      </c>
      <c r="G7" s="5">
        <f>$C$7*5</f>
        <v>86.666666666666657</v>
      </c>
      <c r="H7" s="5">
        <f>$C$7*6</f>
        <v>104</v>
      </c>
      <c r="I7" s="5">
        <f>$C$7*7</f>
        <v>121.33333333333333</v>
      </c>
    </row>
    <row r="8" spans="1:9">
      <c r="A8" s="1" t="s">
        <v>339</v>
      </c>
      <c r="C8" s="4">
        <f>52*3/12</f>
        <v>13</v>
      </c>
      <c r="D8" s="5">
        <f>$C$8*2</f>
        <v>26</v>
      </c>
      <c r="E8" s="5">
        <f>$C$8*3</f>
        <v>39</v>
      </c>
      <c r="F8" s="5">
        <f>$C$8*4</f>
        <v>52</v>
      </c>
      <c r="G8" s="5">
        <f>$C$8*5</f>
        <v>65</v>
      </c>
      <c r="H8" s="5">
        <f>$C$8*6</f>
        <v>78</v>
      </c>
      <c r="I8" s="5">
        <f>$C$8*7</f>
        <v>91</v>
      </c>
    </row>
    <row r="9" spans="1:9">
      <c r="A9" s="1" t="s">
        <v>340</v>
      </c>
      <c r="C9" s="4">
        <f>52*2/12</f>
        <v>8.6666666666666661</v>
      </c>
      <c r="D9" s="6">
        <f>$C$9*2</f>
        <v>17.333333333333332</v>
      </c>
      <c r="E9" s="6">
        <f>$C$9*3</f>
        <v>26</v>
      </c>
      <c r="F9" s="6">
        <f>$C$9*4</f>
        <v>34.666666666666664</v>
      </c>
      <c r="G9" s="6">
        <f>$C$9*5</f>
        <v>43.333333333333329</v>
      </c>
      <c r="H9" s="6">
        <f>$C$9*6</f>
        <v>52</v>
      </c>
      <c r="I9" s="6">
        <f>$C$9*7</f>
        <v>60.666666666666664</v>
      </c>
    </row>
    <row r="10" spans="1:9">
      <c r="A10" s="1" t="s">
        <v>341</v>
      </c>
      <c r="C10" s="4">
        <f>52/12</f>
        <v>4.333333333333333</v>
      </c>
      <c r="D10" s="6">
        <f>$C$10*2</f>
        <v>8.6666666666666661</v>
      </c>
      <c r="E10" s="6">
        <f>$C$10*3</f>
        <v>13</v>
      </c>
      <c r="F10" s="6">
        <f>$C$10*4</f>
        <v>17.333333333333332</v>
      </c>
      <c r="G10" s="6">
        <f>$C$10*5</f>
        <v>21.666666666666664</v>
      </c>
      <c r="H10" s="6">
        <f>$C$10*6</f>
        <v>26</v>
      </c>
      <c r="I10" s="6">
        <f>$C$10*7</f>
        <v>30.333333333333332</v>
      </c>
    </row>
    <row r="11" spans="1:9">
      <c r="A11" s="1" t="s">
        <v>342</v>
      </c>
      <c r="C11" s="4">
        <f>26/12</f>
        <v>2.1666666666666665</v>
      </c>
      <c r="D11" s="6">
        <f>$C$11*2</f>
        <v>4.333333333333333</v>
      </c>
      <c r="E11" s="6">
        <f>$C$11*3</f>
        <v>6.5</v>
      </c>
      <c r="F11" s="6">
        <f>$C$11*4</f>
        <v>8.6666666666666661</v>
      </c>
      <c r="G11" s="6">
        <f>$C$11*5</f>
        <v>10.833333333333332</v>
      </c>
      <c r="H11" s="6">
        <f>$C$11*6</f>
        <v>13</v>
      </c>
      <c r="I11" s="6">
        <f>$C$11*7</f>
        <v>15.166666666666666</v>
      </c>
    </row>
    <row r="12" spans="1:9">
      <c r="A12" s="1" t="s">
        <v>343</v>
      </c>
      <c r="C12" s="4">
        <f>12/12</f>
        <v>1</v>
      </c>
      <c r="D12" s="6">
        <f>$C$12*2</f>
        <v>2</v>
      </c>
      <c r="E12" s="6">
        <f>$C$12*3</f>
        <v>3</v>
      </c>
      <c r="F12" s="6">
        <f>$C$12*4</f>
        <v>4</v>
      </c>
      <c r="G12" s="6">
        <f>$C$12*5</f>
        <v>5</v>
      </c>
      <c r="H12" s="6">
        <f>$C$12*6</f>
        <v>6</v>
      </c>
      <c r="I12" s="6">
        <f>$C$12*7</f>
        <v>7</v>
      </c>
    </row>
    <row r="13" spans="1:9">
      <c r="A13" s="1" t="s">
        <v>324</v>
      </c>
      <c r="C13" s="4">
        <v>1</v>
      </c>
      <c r="D13" s="6"/>
      <c r="E13" s="6"/>
      <c r="F13" s="6"/>
      <c r="G13" s="6"/>
      <c r="H13" s="6"/>
      <c r="I13" s="6"/>
    </row>
    <row r="14" spans="1:9">
      <c r="A14" s="215" t="s">
        <v>344</v>
      </c>
      <c r="B14" s="215"/>
      <c r="C14" s="215"/>
      <c r="D14" s="6"/>
      <c r="E14" s="6"/>
      <c r="F14" s="6"/>
      <c r="G14" s="6"/>
      <c r="H14" s="6"/>
      <c r="I14" s="6"/>
    </row>
    <row r="15" spans="1:9">
      <c r="A15" s="7" t="s">
        <v>345</v>
      </c>
      <c r="B15" s="7"/>
      <c r="C15" s="8" t="s">
        <v>346</v>
      </c>
      <c r="D15" s="6"/>
      <c r="E15" s="6"/>
      <c r="F15" s="6"/>
      <c r="G15" s="6"/>
      <c r="H15" s="6"/>
      <c r="I15" s="6"/>
    </row>
    <row r="16" spans="1:9">
      <c r="A16" s="9" t="s">
        <v>347</v>
      </c>
      <c r="B16" s="9"/>
      <c r="C16" s="10">
        <v>20</v>
      </c>
      <c r="D16" s="6"/>
      <c r="E16" s="6"/>
      <c r="F16" s="6"/>
      <c r="G16" s="6"/>
      <c r="H16" s="6"/>
      <c r="I16" s="6"/>
    </row>
    <row r="17" spans="1:9">
      <c r="A17" s="9" t="s">
        <v>348</v>
      </c>
      <c r="B17" s="9"/>
      <c r="C17" s="10">
        <v>34</v>
      </c>
      <c r="D17" s="6"/>
      <c r="E17" s="6"/>
      <c r="F17" s="6"/>
      <c r="G17" s="6"/>
      <c r="H17" s="6"/>
      <c r="I17" s="6"/>
    </row>
    <row r="18" spans="1:9">
      <c r="A18" s="9" t="s">
        <v>349</v>
      </c>
      <c r="B18" s="9"/>
      <c r="C18" s="10">
        <v>51</v>
      </c>
      <c r="D18" s="6"/>
      <c r="E18" s="6"/>
      <c r="F18" s="6"/>
      <c r="G18" s="6"/>
      <c r="H18" s="6"/>
      <c r="I18" s="6"/>
    </row>
    <row r="19" spans="1:9">
      <c r="A19" s="9" t="s">
        <v>350</v>
      </c>
      <c r="B19" s="9"/>
      <c r="C19" s="10">
        <v>77</v>
      </c>
      <c r="D19" s="6"/>
      <c r="E19" s="6"/>
      <c r="F19" s="6"/>
      <c r="G19" s="1" t="s">
        <v>351</v>
      </c>
      <c r="H19" s="10">
        <v>2000</v>
      </c>
      <c r="I19" s="6"/>
    </row>
    <row r="20" spans="1:9">
      <c r="A20" s="9" t="s">
        <v>352</v>
      </c>
      <c r="B20" s="9"/>
      <c r="C20" s="10">
        <v>97</v>
      </c>
      <c r="D20" s="6"/>
      <c r="E20" s="6"/>
      <c r="F20" s="6"/>
      <c r="G20" s="1" t="s">
        <v>353</v>
      </c>
      <c r="H20" s="11" t="s">
        <v>354</v>
      </c>
      <c r="I20" s="6"/>
    </row>
    <row r="21" spans="1:9">
      <c r="A21" s="9" t="s">
        <v>355</v>
      </c>
      <c r="B21" s="9"/>
      <c r="C21" s="10">
        <v>117</v>
      </c>
      <c r="D21" s="6"/>
      <c r="E21" s="6"/>
      <c r="F21" s="6"/>
      <c r="I21" s="6"/>
    </row>
    <row r="22" spans="1:9">
      <c r="A22" s="9" t="s">
        <v>356</v>
      </c>
      <c r="B22" s="9"/>
      <c r="C22" s="10">
        <v>137</v>
      </c>
      <c r="D22" s="6"/>
      <c r="E22" s="6"/>
      <c r="F22" s="6"/>
      <c r="G22" s="12" t="s">
        <v>357</v>
      </c>
      <c r="H22" s="13">
        <v>12</v>
      </c>
      <c r="I22" s="6" t="s">
        <v>358</v>
      </c>
    </row>
    <row r="23" spans="1:9">
      <c r="A23" s="9" t="s">
        <v>359</v>
      </c>
      <c r="B23" s="9"/>
      <c r="C23" s="10">
        <v>40</v>
      </c>
      <c r="D23" s="6" t="s">
        <v>360</v>
      </c>
      <c r="E23" s="6"/>
      <c r="F23" s="6"/>
      <c r="G23" s="14"/>
      <c r="H23" s="15"/>
      <c r="I23" s="6"/>
    </row>
    <row r="24" spans="1:9">
      <c r="A24" s="9" t="s">
        <v>361</v>
      </c>
      <c r="B24" s="9"/>
      <c r="C24" s="10">
        <v>47</v>
      </c>
      <c r="D24" s="6"/>
      <c r="E24" s="6"/>
      <c r="F24" s="6"/>
      <c r="G24" s="6"/>
      <c r="H24" s="6"/>
      <c r="I24" s="6"/>
    </row>
    <row r="25" spans="1:9">
      <c r="A25" s="9" t="s">
        <v>362</v>
      </c>
      <c r="B25" s="9"/>
      <c r="C25" s="10">
        <v>68</v>
      </c>
      <c r="D25" s="6"/>
      <c r="E25" s="6"/>
      <c r="F25" s="6"/>
      <c r="G25" s="6"/>
      <c r="H25" s="6"/>
      <c r="I25" s="6"/>
    </row>
    <row r="26" spans="1:9">
      <c r="A26" s="9" t="s">
        <v>363</v>
      </c>
      <c r="B26" s="9"/>
      <c r="C26" s="10">
        <v>34</v>
      </c>
      <c r="D26" s="6"/>
      <c r="E26" s="6"/>
      <c r="F26" s="6"/>
      <c r="G26" s="6"/>
      <c r="H26" s="6"/>
      <c r="I26" s="6"/>
    </row>
    <row r="27" spans="1:9">
      <c r="A27" s="9" t="s">
        <v>364</v>
      </c>
      <c r="B27" s="9"/>
      <c r="C27" s="10">
        <v>34</v>
      </c>
      <c r="D27" s="6"/>
      <c r="E27" s="6"/>
      <c r="F27" s="6"/>
      <c r="G27" s="6"/>
      <c r="H27" s="6"/>
      <c r="I27" s="6"/>
    </row>
    <row r="28" spans="1:9">
      <c r="A28" s="7" t="s">
        <v>365</v>
      </c>
      <c r="B28" s="7"/>
      <c r="C28" s="10"/>
      <c r="D28" s="6"/>
      <c r="E28" s="6"/>
      <c r="F28" s="6"/>
      <c r="G28" s="6"/>
      <c r="H28" s="6"/>
      <c r="I28" s="6"/>
    </row>
    <row r="29" spans="1:9">
      <c r="A29" s="9" t="s">
        <v>281</v>
      </c>
      <c r="B29" s="9"/>
      <c r="C29" s="10">
        <v>29</v>
      </c>
      <c r="D29" s="6"/>
      <c r="E29" s="6"/>
      <c r="F29" s="6"/>
      <c r="G29" s="6"/>
      <c r="H29" s="6"/>
      <c r="I29" s="6"/>
    </row>
    <row r="30" spans="1:9">
      <c r="A30" s="9" t="s">
        <v>366</v>
      </c>
      <c r="B30" s="9"/>
      <c r="C30" s="10">
        <v>125</v>
      </c>
      <c r="D30" s="6"/>
      <c r="E30" s="6"/>
      <c r="F30" s="6"/>
      <c r="G30" s="6"/>
      <c r="H30" s="6"/>
      <c r="I30" s="6"/>
    </row>
    <row r="31" spans="1:9">
      <c r="A31" s="9" t="s">
        <v>367</v>
      </c>
      <c r="B31" s="9"/>
      <c r="C31" s="10">
        <v>175</v>
      </c>
      <c r="D31" s="6"/>
      <c r="E31" s="6"/>
      <c r="F31" s="6"/>
      <c r="G31" s="6"/>
      <c r="H31" s="6"/>
      <c r="I31" s="6"/>
    </row>
    <row r="32" spans="1:9">
      <c r="A32" s="9" t="s">
        <v>368</v>
      </c>
      <c r="B32" s="9"/>
      <c r="C32" s="10">
        <v>250</v>
      </c>
      <c r="D32" s="6"/>
      <c r="E32" s="6"/>
      <c r="F32" s="6"/>
      <c r="G32" s="6"/>
      <c r="H32" s="6"/>
      <c r="I32" s="6"/>
    </row>
    <row r="33" spans="1:9">
      <c r="A33" s="9" t="s">
        <v>369</v>
      </c>
      <c r="B33" s="9"/>
      <c r="C33" s="10">
        <v>324</v>
      </c>
      <c r="D33" s="6"/>
      <c r="E33" s="6"/>
      <c r="F33" s="6"/>
      <c r="G33" s="6"/>
      <c r="H33" s="6"/>
      <c r="I33" s="6"/>
    </row>
    <row r="34" spans="1:9">
      <c r="A34" s="9" t="s">
        <v>370</v>
      </c>
      <c r="B34" s="9"/>
      <c r="C34" s="10">
        <v>473</v>
      </c>
      <c r="D34" s="6"/>
      <c r="E34" s="6"/>
      <c r="F34" s="6"/>
      <c r="G34" s="6"/>
      <c r="H34" s="6"/>
      <c r="I34" s="6"/>
    </row>
    <row r="35" spans="1:9">
      <c r="A35" s="9" t="s">
        <v>371</v>
      </c>
      <c r="B35" s="9"/>
      <c r="C35" s="10">
        <v>613</v>
      </c>
      <c r="D35" s="6"/>
      <c r="E35" s="6"/>
      <c r="F35" s="6"/>
      <c r="G35" s="6"/>
      <c r="H35" s="6"/>
      <c r="I35" s="6"/>
    </row>
    <row r="36" spans="1:9">
      <c r="A36" s="9" t="s">
        <v>372</v>
      </c>
      <c r="B36" s="9"/>
      <c r="C36" s="10">
        <v>840</v>
      </c>
      <c r="D36" s="6"/>
      <c r="E36" s="6"/>
      <c r="F36" s="6"/>
      <c r="G36" s="6"/>
      <c r="H36" s="6"/>
      <c r="I36" s="6"/>
    </row>
    <row r="37" spans="1:9">
      <c r="A37" s="9" t="s">
        <v>373</v>
      </c>
      <c r="B37" s="9"/>
      <c r="C37" s="10">
        <v>980</v>
      </c>
      <c r="D37" s="16"/>
      <c r="E37" s="6"/>
      <c r="F37" s="6"/>
      <c r="G37" s="6"/>
      <c r="H37" s="6"/>
      <c r="I37" s="6"/>
    </row>
    <row r="38" spans="1:9">
      <c r="A38" s="17" t="s">
        <v>374</v>
      </c>
      <c r="B38" s="17">
        <v>2.25</v>
      </c>
      <c r="C38" s="10"/>
      <c r="D38" s="16"/>
      <c r="E38" s="6"/>
      <c r="F38" s="6"/>
      <c r="G38" s="6"/>
      <c r="H38" s="6"/>
      <c r="I38" s="6"/>
    </row>
    <row r="39" spans="1:9">
      <c r="A39" s="9" t="s">
        <v>375</v>
      </c>
      <c r="B39" s="9"/>
      <c r="C39" s="10">
        <f>C33*$B$38</f>
        <v>729</v>
      </c>
      <c r="D39" s="6" t="s">
        <v>360</v>
      </c>
      <c r="E39" s="6"/>
      <c r="F39" s="6"/>
      <c r="G39" s="6"/>
      <c r="H39" s="6"/>
      <c r="I39" s="6"/>
    </row>
    <row r="40" spans="1:9">
      <c r="A40" s="9" t="s">
        <v>376</v>
      </c>
      <c r="B40" s="9"/>
      <c r="C40" s="10">
        <f>C35*$B$38</f>
        <v>1379.25</v>
      </c>
      <c r="D40" s="6" t="s">
        <v>360</v>
      </c>
      <c r="E40" s="6"/>
      <c r="F40" s="6"/>
      <c r="G40" s="6"/>
      <c r="H40" s="6"/>
      <c r="I40" s="6"/>
    </row>
    <row r="41" spans="1:9">
      <c r="A41" s="9" t="s">
        <v>377</v>
      </c>
      <c r="B41" s="9"/>
      <c r="C41" s="10">
        <f>C36*$B$38</f>
        <v>1890</v>
      </c>
      <c r="D41" s="6" t="s">
        <v>360</v>
      </c>
      <c r="E41" s="6"/>
      <c r="F41" s="6"/>
      <c r="G41" s="6"/>
      <c r="H41" s="6"/>
      <c r="I41" s="6"/>
    </row>
    <row r="42" spans="1:9">
      <c r="A42" s="17" t="s">
        <v>378</v>
      </c>
      <c r="B42" s="17">
        <v>3</v>
      </c>
      <c r="C42" s="10"/>
      <c r="D42" s="6"/>
      <c r="E42" s="6"/>
      <c r="F42" s="6"/>
      <c r="G42" s="6"/>
      <c r="H42" s="6"/>
      <c r="I42" s="6"/>
    </row>
    <row r="43" spans="1:9">
      <c r="A43" s="9" t="s">
        <v>375</v>
      </c>
      <c r="B43" s="9"/>
      <c r="C43" s="18">
        <f>C33*$B$42</f>
        <v>972</v>
      </c>
      <c r="D43" s="6" t="s">
        <v>360</v>
      </c>
      <c r="E43" s="6"/>
      <c r="F43" s="6"/>
      <c r="G43" s="6"/>
      <c r="H43" s="6"/>
      <c r="I43" s="6"/>
    </row>
    <row r="44" spans="1:9">
      <c r="A44" s="9" t="s">
        <v>379</v>
      </c>
      <c r="B44" s="9"/>
      <c r="C44" s="18">
        <f t="shared" ref="C44:C46" si="0">C34*$B$42</f>
        <v>1419</v>
      </c>
      <c r="D44" s="6" t="s">
        <v>360</v>
      </c>
      <c r="E44" s="6"/>
      <c r="F44" s="6"/>
      <c r="G44" s="6"/>
      <c r="H44" s="6"/>
      <c r="I44" s="6"/>
    </row>
    <row r="45" spans="1:9">
      <c r="A45" s="9" t="s">
        <v>376</v>
      </c>
      <c r="B45" s="9"/>
      <c r="C45" s="18">
        <f t="shared" si="0"/>
        <v>1839</v>
      </c>
      <c r="D45" s="6" t="s">
        <v>360</v>
      </c>
      <c r="E45" s="6"/>
      <c r="F45" s="6"/>
      <c r="G45" s="6"/>
      <c r="H45" s="6"/>
      <c r="I45" s="6"/>
    </row>
    <row r="46" spans="1:9">
      <c r="A46" s="9" t="s">
        <v>377</v>
      </c>
      <c r="B46" s="9"/>
      <c r="C46" s="18">
        <f t="shared" si="0"/>
        <v>2520</v>
      </c>
      <c r="D46" s="6" t="s">
        <v>360</v>
      </c>
      <c r="E46" s="6"/>
      <c r="F46" s="6"/>
      <c r="G46" s="6"/>
      <c r="H46" s="6"/>
      <c r="I46" s="6"/>
    </row>
    <row r="47" spans="1:9">
      <c r="A47" s="17" t="s">
        <v>380</v>
      </c>
      <c r="B47" s="17">
        <v>4</v>
      </c>
      <c r="C47" s="10"/>
      <c r="D47" s="6"/>
      <c r="E47" s="6"/>
      <c r="F47" s="6"/>
      <c r="G47" s="6"/>
      <c r="H47" s="6"/>
      <c r="I47" s="6"/>
    </row>
    <row r="48" spans="1:9">
      <c r="A48" s="9" t="s">
        <v>379</v>
      </c>
      <c r="B48" s="9"/>
      <c r="C48" s="18">
        <f t="shared" ref="C48:C50" si="1">C34*$B$47</f>
        <v>1892</v>
      </c>
      <c r="D48" s="6" t="s">
        <v>360</v>
      </c>
      <c r="E48" s="6"/>
      <c r="F48" s="6"/>
      <c r="G48" s="6"/>
      <c r="H48" s="6"/>
      <c r="I48" s="6"/>
    </row>
    <row r="49" spans="1:10">
      <c r="A49" s="9" t="s">
        <v>376</v>
      </c>
      <c r="B49" s="9"/>
      <c r="C49" s="18">
        <f t="shared" si="1"/>
        <v>2452</v>
      </c>
      <c r="D49" s="6" t="s">
        <v>360</v>
      </c>
      <c r="E49" s="6"/>
      <c r="F49" s="6"/>
      <c r="G49" s="6"/>
      <c r="H49" s="6"/>
      <c r="I49" s="6"/>
    </row>
    <row r="50" spans="1:10">
      <c r="A50" s="9" t="s">
        <v>377</v>
      </c>
      <c r="B50" s="9"/>
      <c r="C50" s="18">
        <f t="shared" si="1"/>
        <v>3360</v>
      </c>
      <c r="D50" s="6" t="s">
        <v>360</v>
      </c>
      <c r="E50" s="6"/>
      <c r="F50" s="6"/>
      <c r="G50" s="6"/>
      <c r="H50" s="6"/>
      <c r="I50" s="6"/>
    </row>
    <row r="51" spans="1:10">
      <c r="A51" s="17" t="s">
        <v>381</v>
      </c>
      <c r="B51" s="17">
        <v>5</v>
      </c>
      <c r="C51" s="10"/>
      <c r="D51" s="6"/>
      <c r="E51" s="6"/>
      <c r="F51" s="6"/>
      <c r="G51" s="6"/>
      <c r="H51" s="6"/>
      <c r="I51" s="6"/>
    </row>
    <row r="52" spans="1:10">
      <c r="A52" s="9" t="s">
        <v>376</v>
      </c>
      <c r="B52" s="9"/>
      <c r="C52" s="18">
        <f>C35*$B$51</f>
        <v>3065</v>
      </c>
      <c r="D52" s="6" t="s">
        <v>360</v>
      </c>
      <c r="E52" s="6"/>
      <c r="F52" s="6"/>
      <c r="G52" s="6"/>
      <c r="H52" s="6"/>
      <c r="I52" s="6"/>
    </row>
    <row r="53" spans="1:10">
      <c r="A53" s="9" t="s">
        <v>377</v>
      </c>
      <c r="B53" s="9"/>
      <c r="C53" s="18">
        <f>C36*$B$51</f>
        <v>4200</v>
      </c>
      <c r="D53" s="6" t="s">
        <v>360</v>
      </c>
      <c r="E53" s="6"/>
      <c r="F53" s="6"/>
      <c r="G53" s="6"/>
      <c r="H53" s="6"/>
      <c r="I53" s="6"/>
    </row>
    <row r="54" spans="1:10">
      <c r="C54" s="216" t="s">
        <v>382</v>
      </c>
      <c r="D54" s="216"/>
    </row>
    <row r="55" spans="1:10">
      <c r="C55" s="1" t="s">
        <v>383</v>
      </c>
    </row>
    <row r="57" spans="1:10">
      <c r="A57" s="19" t="s">
        <v>384</v>
      </c>
      <c r="B57" s="19"/>
      <c r="C57" s="20" t="s">
        <v>385</v>
      </c>
      <c r="D57" s="20" t="s">
        <v>386</v>
      </c>
      <c r="G57" s="217" t="s">
        <v>387</v>
      </c>
      <c r="H57" s="217"/>
    </row>
    <row r="58" spans="1:10">
      <c r="A58" s="46" t="s">
        <v>388</v>
      </c>
      <c r="B58" s="46"/>
      <c r="C58" s="21">
        <v>70</v>
      </c>
      <c r="D58" s="22">
        <f>C58/2000</f>
        <v>3.5000000000000003E-2</v>
      </c>
      <c r="G58" s="1" t="s">
        <v>389</v>
      </c>
      <c r="H58" s="23">
        <f>0.015</f>
        <v>1.4999999999999999E-2</v>
      </c>
    </row>
    <row r="59" spans="1:10">
      <c r="A59" s="46" t="s">
        <v>390</v>
      </c>
      <c r="B59" s="46"/>
      <c r="C59" s="24">
        <v>71.16</v>
      </c>
      <c r="D59" s="25">
        <f>C59/2000</f>
        <v>3.5580000000000001E-2</v>
      </c>
      <c r="G59" s="1" t="s">
        <v>391</v>
      </c>
      <c r="H59" s="158">
        <v>5.1000000000000004E-3</v>
      </c>
    </row>
    <row r="60" spans="1:10">
      <c r="A60" s="9" t="s">
        <v>19</v>
      </c>
      <c r="B60" s="9"/>
      <c r="C60" s="21">
        <f>C59-C58</f>
        <v>1.1599999999999966</v>
      </c>
      <c r="D60" s="26">
        <f>D59-D58</f>
        <v>5.7999999999999718E-4</v>
      </c>
      <c r="E60" s="27">
        <f>C60/C58</f>
        <v>1.6571428571428522E-2</v>
      </c>
      <c r="G60" s="1" t="s">
        <v>392</v>
      </c>
      <c r="H60" s="28"/>
    </row>
    <row r="61" spans="1:10">
      <c r="D61" s="29"/>
      <c r="G61" s="1" t="s">
        <v>4</v>
      </c>
      <c r="H61" s="30">
        <f>SUM(H58:H60)</f>
        <v>2.01E-2</v>
      </c>
      <c r="J61" s="31"/>
    </row>
    <row r="62" spans="1:10">
      <c r="C62" s="20" t="s">
        <v>393</v>
      </c>
    </row>
    <row r="63" spans="1:10">
      <c r="A63" s="1" t="s">
        <v>394</v>
      </c>
      <c r="C63" s="4">
        <f>C60</f>
        <v>1.1599999999999966</v>
      </c>
      <c r="G63" s="1" t="s">
        <v>395</v>
      </c>
      <c r="H63" s="33">
        <f>1-H61</f>
        <v>0.97989999999999999</v>
      </c>
    </row>
    <row r="64" spans="1:10">
      <c r="A64" s="1" t="s">
        <v>421</v>
      </c>
      <c r="C64" s="4">
        <f>C63/$H$63</f>
        <v>1.1837942647208863</v>
      </c>
    </row>
    <row r="65" spans="1:5">
      <c r="A65" s="1" t="s">
        <v>426</v>
      </c>
      <c r="C65" s="34">
        <f>'Disposal Schedule'!O10</f>
        <v>2649.7046736183524</v>
      </c>
      <c r="D65" s="43"/>
    </row>
    <row r="66" spans="1:5">
      <c r="A66" s="7" t="s">
        <v>427</v>
      </c>
      <c r="B66" s="7"/>
      <c r="C66" s="35">
        <f>C64*C65</f>
        <v>3136.7051958335337</v>
      </c>
      <c r="D66" s="42"/>
    </row>
    <row r="67" spans="1:5">
      <c r="A67" s="7"/>
      <c r="B67" s="7"/>
      <c r="C67" s="35"/>
      <c r="D67" s="42"/>
    </row>
    <row r="68" spans="1:5" ht="15.75" thickBot="1">
      <c r="A68" s="7"/>
      <c r="B68" s="7"/>
      <c r="C68" s="35"/>
      <c r="D68" s="42"/>
    </row>
    <row r="69" spans="1:5">
      <c r="A69" s="150" t="s">
        <v>424</v>
      </c>
      <c r="B69" s="151"/>
      <c r="C69" s="157" t="s">
        <v>425</v>
      </c>
      <c r="D69" s="42"/>
    </row>
    <row r="70" spans="1:5">
      <c r="A70" s="152" t="s">
        <v>422</v>
      </c>
      <c r="B70" s="63"/>
      <c r="C70" s="153">
        <f>'G-48 DF Calc'!P80</f>
        <v>3143.7878102659097</v>
      </c>
      <c r="D70" s="40"/>
    </row>
    <row r="71" spans="1:5" ht="15.75" thickBot="1">
      <c r="A71" s="154" t="s">
        <v>423</v>
      </c>
      <c r="B71" s="155"/>
      <c r="C71" s="156">
        <f>+C70-C66</f>
        <v>7.0826144323759763</v>
      </c>
    </row>
    <row r="72" spans="1:5">
      <c r="A72" s="36"/>
      <c r="B72" s="36"/>
      <c r="C72" s="41"/>
      <c r="D72" s="36"/>
    </row>
    <row r="73" spans="1:5">
      <c r="A73" s="36" t="s">
        <v>402</v>
      </c>
      <c r="B73" s="37"/>
      <c r="C73" s="44">
        <f>'Disposal Schedule'!O9</f>
        <v>1562.7393305526591</v>
      </c>
      <c r="D73" s="36"/>
      <c r="E73" s="32"/>
    </row>
    <row r="74" spans="1:5">
      <c r="A74" s="7" t="s">
        <v>428</v>
      </c>
      <c r="B74" s="36"/>
      <c r="C74" s="45">
        <f>C73*C60</f>
        <v>1812.7776234410792</v>
      </c>
      <c r="D74" s="36"/>
    </row>
    <row r="75" spans="1:5">
      <c r="A75" s="36"/>
      <c r="B75" s="36"/>
      <c r="C75" s="38"/>
      <c r="D75" s="36"/>
    </row>
    <row r="76" spans="1:5">
      <c r="A76" s="36"/>
      <c r="B76" s="36"/>
      <c r="C76" s="36"/>
      <c r="D76" s="36"/>
    </row>
    <row r="77" spans="1:5">
      <c r="A77" s="37"/>
      <c r="B77" s="37"/>
      <c r="C77" s="39"/>
      <c r="D77" s="36"/>
    </row>
    <row r="78" spans="1:5">
      <c r="A78" s="36"/>
      <c r="B78" s="36"/>
      <c r="C78" s="36"/>
      <c r="D78" s="36"/>
    </row>
    <row r="79" spans="1:5">
      <c r="A79" s="36"/>
      <c r="B79" s="36"/>
      <c r="C79" s="36"/>
      <c r="D79" s="36"/>
    </row>
    <row r="80" spans="1:5">
      <c r="A80" s="36"/>
      <c r="B80" s="36"/>
      <c r="C80" s="36"/>
      <c r="D80" s="36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3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91"/>
  <sheetViews>
    <sheetView zoomScale="85" zoomScaleNormal="85" workbookViewId="0">
      <selection activeCell="C74" sqref="C74"/>
    </sheetView>
  </sheetViews>
  <sheetFormatPr defaultRowHeight="15"/>
  <cols>
    <col min="1" max="1" width="29.140625" style="69" bestFit="1" customWidth="1"/>
    <col min="2" max="2" width="15.42578125" style="69" bestFit="1" customWidth="1"/>
    <col min="3" max="3" width="1" style="69" customWidth="1"/>
    <col min="4" max="4" width="13.7109375" style="69" bestFit="1" customWidth="1"/>
    <col min="5" max="5" width="12.42578125" style="69" customWidth="1"/>
    <col min="6" max="6" width="13.5703125" style="69" customWidth="1"/>
    <col min="7" max="7" width="12.42578125" style="69" customWidth="1"/>
    <col min="8" max="8" width="13.85546875" style="69" customWidth="1"/>
    <col min="9" max="9" width="12.5703125" style="69" customWidth="1"/>
    <col min="10" max="10" width="10.140625" style="69" customWidth="1"/>
    <col min="11" max="11" width="10.28515625" style="69" customWidth="1"/>
    <col min="12" max="12" width="9.140625" style="69"/>
    <col min="13" max="13" width="10.85546875" style="69" customWidth="1"/>
    <col min="14" max="14" width="9.140625" style="69"/>
    <col min="15" max="15" width="3" style="69" customWidth="1"/>
    <col min="16" max="16" width="11" style="69" bestFit="1" customWidth="1"/>
    <col min="17" max="18" width="11.42578125" style="69" customWidth="1"/>
    <col min="19" max="19" width="9.140625" style="69"/>
    <col min="20" max="20" width="11.5703125" style="69" customWidth="1"/>
    <col min="21" max="16384" width="9.140625" style="69"/>
  </cols>
  <sheetData>
    <row r="1" spans="1:18" ht="12" customHeight="1">
      <c r="A1" s="67" t="s">
        <v>0</v>
      </c>
      <c r="B1" s="68"/>
      <c r="C1" s="68"/>
      <c r="D1" s="68"/>
      <c r="E1" s="68"/>
    </row>
    <row r="2" spans="1:18" ht="12" customHeight="1">
      <c r="A2" s="67" t="s">
        <v>1</v>
      </c>
      <c r="B2" s="68"/>
      <c r="C2" s="68"/>
      <c r="D2" s="68"/>
      <c r="E2" s="68"/>
    </row>
    <row r="3" spans="1:18" ht="12" customHeight="1">
      <c r="A3" s="70" t="s">
        <v>419</v>
      </c>
      <c r="B3" s="68"/>
      <c r="C3" s="68"/>
      <c r="D3" s="68"/>
      <c r="E3" s="68"/>
      <c r="J3" s="97"/>
      <c r="K3" s="97"/>
      <c r="L3" s="117"/>
    </row>
    <row r="4" spans="1:18" ht="12" customHeight="1">
      <c r="A4" s="149" t="s">
        <v>420</v>
      </c>
      <c r="B4" s="68"/>
      <c r="C4" s="68"/>
      <c r="D4" s="68"/>
      <c r="E4" s="68"/>
    </row>
    <row r="5" spans="1:18" ht="12" customHeight="1">
      <c r="A5" s="149"/>
      <c r="B5" s="68"/>
      <c r="C5" s="68"/>
      <c r="D5" s="68"/>
      <c r="E5" s="68"/>
    </row>
    <row r="6" spans="1:18" ht="12" customHeight="1">
      <c r="A6" s="72"/>
      <c r="B6" s="74" t="s">
        <v>4</v>
      </c>
      <c r="C6" s="68"/>
      <c r="D6" s="118" t="s">
        <v>5</v>
      </c>
      <c r="E6" s="118" t="s">
        <v>6</v>
      </c>
      <c r="F6" s="119"/>
      <c r="G6" s="119" t="s">
        <v>7</v>
      </c>
      <c r="H6" s="119" t="s">
        <v>8</v>
      </c>
      <c r="I6" s="119" t="s">
        <v>9</v>
      </c>
      <c r="J6" s="119" t="s">
        <v>19</v>
      </c>
      <c r="K6" s="119" t="s">
        <v>396</v>
      </c>
      <c r="L6" s="120" t="s">
        <v>10</v>
      </c>
      <c r="M6" s="121" t="s">
        <v>3</v>
      </c>
      <c r="N6" s="120" t="s">
        <v>11</v>
      </c>
      <c r="P6" s="122" t="s">
        <v>12</v>
      </c>
      <c r="Q6" s="122" t="s">
        <v>398</v>
      </c>
      <c r="R6" s="122" t="s">
        <v>399</v>
      </c>
    </row>
    <row r="7" spans="1:18" ht="12" customHeight="1">
      <c r="A7" s="72" t="s">
        <v>13</v>
      </c>
      <c r="B7" s="74" t="s">
        <v>12</v>
      </c>
      <c r="C7" s="68"/>
      <c r="D7" s="123" t="s">
        <v>14</v>
      </c>
      <c r="E7" s="118" t="s">
        <v>15</v>
      </c>
      <c r="F7" s="119" t="s">
        <v>16</v>
      </c>
      <c r="G7" s="119" t="s">
        <v>17</v>
      </c>
      <c r="H7" s="119" t="s">
        <v>18</v>
      </c>
      <c r="I7" s="119" t="s">
        <v>18</v>
      </c>
      <c r="J7" s="119"/>
      <c r="K7" s="119"/>
      <c r="L7" s="120" t="s">
        <v>19</v>
      </c>
      <c r="M7" s="121" t="s">
        <v>10</v>
      </c>
      <c r="N7" s="120" t="s">
        <v>10</v>
      </c>
      <c r="P7" s="122" t="s">
        <v>19</v>
      </c>
      <c r="Q7" s="122" t="s">
        <v>12</v>
      </c>
      <c r="R7" s="122" t="s">
        <v>12</v>
      </c>
    </row>
    <row r="9" spans="1:18" s="68" customFormat="1" ht="12" customHeight="1">
      <c r="A9" s="76" t="s">
        <v>20</v>
      </c>
      <c r="F9" s="69"/>
      <c r="M9" s="75"/>
    </row>
    <row r="10" spans="1:18" s="68" customFormat="1" ht="12" customHeight="1">
      <c r="A10" s="76"/>
      <c r="F10" s="69"/>
      <c r="M10" s="75"/>
    </row>
    <row r="11" spans="1:18" s="68" customFormat="1" ht="12" customHeight="1">
      <c r="A11" s="77" t="s">
        <v>21</v>
      </c>
      <c r="B11" s="79"/>
      <c r="D11" s="79"/>
      <c r="E11" s="79"/>
      <c r="F11" s="69"/>
      <c r="G11" s="79"/>
      <c r="M11" s="78"/>
    </row>
    <row r="12" spans="1:18" s="68" customFormat="1" ht="12" customHeight="1">
      <c r="A12" s="46" t="s">
        <v>22</v>
      </c>
      <c r="B12" s="79">
        <f>+' Staff G-48 Price Out'!N16</f>
        <v>85.61999999999999</v>
      </c>
      <c r="D12" s="79">
        <f>+' Staff G-48 Price Out'!R16*References!$H$22</f>
        <v>10.285714285714285</v>
      </c>
      <c r="E12" s="124">
        <f>+References!$C$10</f>
        <v>4.333333333333333</v>
      </c>
      <c r="F12" s="81">
        <f>D12*E12</f>
        <v>44.571428571428562</v>
      </c>
      <c r="G12" s="68">
        <f>+References!C16</f>
        <v>20</v>
      </c>
      <c r="H12" s="125">
        <f>F12*G12</f>
        <v>891.42857142857122</v>
      </c>
      <c r="I12" s="125">
        <f t="shared" ref="I12:I27" si="0">H12*$D$91</f>
        <v>696.72577127258444</v>
      </c>
      <c r="J12" s="125">
        <f>I12*References!$D$60</f>
        <v>0.40410094733809704</v>
      </c>
      <c r="K12" s="125">
        <f>J12/References!$H$63</f>
        <v>0.41238998605786004</v>
      </c>
      <c r="L12" s="126">
        <f>K12/F12*E12</f>
        <v>4.0093470866736397E-2</v>
      </c>
      <c r="M12" s="78">
        <f>+'Rate Schedule G-48'!C10</f>
        <v>16.84</v>
      </c>
      <c r="N12" s="80">
        <f>M12+L12</f>
        <v>16.880093470866736</v>
      </c>
      <c r="P12" s="127">
        <f t="shared" ref="P12:P23" si="1">L12*D12</f>
        <v>0.41238998605786004</v>
      </c>
      <c r="Q12" s="126">
        <f>M12*D12</f>
        <v>173.21142857142854</v>
      </c>
      <c r="R12" s="148">
        <f>N12*D12</f>
        <v>173.6238185574864</v>
      </c>
    </row>
    <row r="13" spans="1:18" s="68" customFormat="1" ht="12" customHeight="1">
      <c r="A13" s="46" t="s">
        <v>23</v>
      </c>
      <c r="B13" s="79">
        <f>+' Staff G-48 Price Out'!N17</f>
        <v>162638</v>
      </c>
      <c r="D13" s="79">
        <f>+' Staff G-48 Price Out'!R17*References!$H$22</f>
        <v>10529.779305343425</v>
      </c>
      <c r="E13" s="124">
        <f>+References!$C$10</f>
        <v>4.333333333333333</v>
      </c>
      <c r="F13" s="81">
        <f t="shared" ref="F13:F27" si="2">D13*E13</f>
        <v>45629.043656488175</v>
      </c>
      <c r="G13" s="68">
        <f>+References!C17</f>
        <v>34</v>
      </c>
      <c r="H13" s="125">
        <f t="shared" ref="H13:H27" si="3">F13*G13</f>
        <v>1551387.484320598</v>
      </c>
      <c r="I13" s="125">
        <f t="shared" si="0"/>
        <v>1212538.7004633532</v>
      </c>
      <c r="J13" s="125">
        <f>I13*References!$D$60</f>
        <v>703.27244626874142</v>
      </c>
      <c r="K13" s="125">
        <f>J13/References!$H$63</f>
        <v>717.69817968031577</v>
      </c>
      <c r="L13" s="126">
        <f t="shared" ref="L13:L27" si="4">K13/F13*E13</f>
        <v>6.8158900473451869E-2</v>
      </c>
      <c r="M13" s="78">
        <f>+'Rate Schedule G-48'!C13</f>
        <v>19.47</v>
      </c>
      <c r="N13" s="80">
        <f t="shared" ref="N13:N27" si="5">M13+L13</f>
        <v>19.538158900473451</v>
      </c>
      <c r="P13" s="127">
        <f t="shared" si="1"/>
        <v>717.69817968031566</v>
      </c>
      <c r="Q13" s="128">
        <f t="shared" ref="Q13:Q27" si="6">M13*D13</f>
        <v>205014.80307503647</v>
      </c>
      <c r="R13" s="148">
        <f t="shared" ref="R13:R27" si="7">N13*D13</f>
        <v>205732.5012547168</v>
      </c>
    </row>
    <row r="14" spans="1:18" s="68" customFormat="1" ht="12" customHeight="1">
      <c r="A14" s="46" t="s">
        <v>24</v>
      </c>
      <c r="B14" s="79">
        <f>+' Staff G-48 Price Out'!N18</f>
        <v>87380.37</v>
      </c>
      <c r="D14" s="79">
        <f>+' Staff G-48 Price Out'!R18*References!$H$22</f>
        <v>4161.8386803808244</v>
      </c>
      <c r="E14" s="124">
        <f>+References!$C$10</f>
        <v>4.333333333333333</v>
      </c>
      <c r="F14" s="81">
        <f t="shared" si="2"/>
        <v>18034.634281650237</v>
      </c>
      <c r="G14" s="68">
        <f>+References!C18</f>
        <v>51</v>
      </c>
      <c r="H14" s="125">
        <f t="shared" si="3"/>
        <v>919766.34836416203</v>
      </c>
      <c r="I14" s="125">
        <f t="shared" si="0"/>
        <v>718874.10724072543</v>
      </c>
      <c r="J14" s="125">
        <f>I14*References!$D$60</f>
        <v>416.94698219961873</v>
      </c>
      <c r="K14" s="125">
        <f>J14/References!$H$63</f>
        <v>425.49952260395827</v>
      </c>
      <c r="L14" s="126">
        <f t="shared" si="4"/>
        <v>0.1022383507101778</v>
      </c>
      <c r="M14" s="78">
        <f>+'Rate Schedule G-48'!C14</f>
        <v>26.67</v>
      </c>
      <c r="N14" s="80">
        <f t="shared" si="5"/>
        <v>26.772238350710179</v>
      </c>
      <c r="P14" s="127">
        <f t="shared" si="1"/>
        <v>425.49952260395827</v>
      </c>
      <c r="Q14" s="128">
        <f t="shared" si="6"/>
        <v>110996.2376057566</v>
      </c>
      <c r="R14" s="148">
        <f t="shared" si="7"/>
        <v>111421.73712836055</v>
      </c>
    </row>
    <row r="15" spans="1:18" s="68" customFormat="1" ht="12" customHeight="1">
      <c r="A15" s="46" t="s">
        <v>25</v>
      </c>
      <c r="B15" s="79">
        <f>+' Staff G-48 Price Out'!N19</f>
        <v>12200.68</v>
      </c>
      <c r="D15" s="79">
        <f>+' Staff G-48 Price Out'!R19*References!$H$22</f>
        <v>455.30798288277111</v>
      </c>
      <c r="E15" s="124">
        <f>+References!$C$10</f>
        <v>4.333333333333333</v>
      </c>
      <c r="F15" s="81">
        <f t="shared" si="2"/>
        <v>1973.0012591586747</v>
      </c>
      <c r="G15" s="68">
        <f>+References!C19</f>
        <v>77</v>
      </c>
      <c r="H15" s="125">
        <f t="shared" si="3"/>
        <v>151921.09695521794</v>
      </c>
      <c r="I15" s="125">
        <f t="shared" si="0"/>
        <v>118739.00707386367</v>
      </c>
      <c r="J15" s="125">
        <f>I15*References!$D$60</f>
        <v>68.868624102840599</v>
      </c>
      <c r="K15" s="125">
        <f>J15/References!$H$63</f>
        <v>70.281277786346152</v>
      </c>
      <c r="L15" s="126">
        <f t="shared" si="4"/>
        <v>0.15435986283693515</v>
      </c>
      <c r="M15" s="78">
        <f>+'Rate Schedule G-48'!C15</f>
        <v>34.729999999999997</v>
      </c>
      <c r="N15" s="80">
        <f t="shared" si="5"/>
        <v>34.884359862836931</v>
      </c>
      <c r="P15" s="127">
        <f t="shared" si="1"/>
        <v>70.281277786346166</v>
      </c>
      <c r="Q15" s="128">
        <f t="shared" si="6"/>
        <v>15812.84624551864</v>
      </c>
      <c r="R15" s="148">
        <f t="shared" si="7"/>
        <v>15883.127523304986</v>
      </c>
    </row>
    <row r="16" spans="1:18" s="68" customFormat="1" ht="12" customHeight="1">
      <c r="A16" s="46" t="s">
        <v>26</v>
      </c>
      <c r="B16" s="79">
        <f>+' Staff G-48 Price Out'!N20</f>
        <v>3146.3900000000003</v>
      </c>
      <c r="D16" s="79">
        <f>+' Staff G-48 Price Out'!R20*References!$H$22</f>
        <v>89.648784951703107</v>
      </c>
      <c r="E16" s="124">
        <f>+References!$C$10</f>
        <v>4.333333333333333</v>
      </c>
      <c r="F16" s="81">
        <f t="shared" si="2"/>
        <v>388.47806812404679</v>
      </c>
      <c r="G16" s="68">
        <f>+References!C20</f>
        <v>97</v>
      </c>
      <c r="H16" s="125">
        <f t="shared" si="3"/>
        <v>37682.372608032536</v>
      </c>
      <c r="I16" s="125">
        <f t="shared" si="0"/>
        <v>29451.916799837611</v>
      </c>
      <c r="J16" s="125">
        <f>I16*References!$D$60</f>
        <v>17.082111743905731</v>
      </c>
      <c r="K16" s="125">
        <f>J16/References!$H$63</f>
        <v>17.432505096342208</v>
      </c>
      <c r="L16" s="126">
        <f t="shared" si="4"/>
        <v>0.19445333370367149</v>
      </c>
      <c r="M16" s="78">
        <f>+'Rate Schedule G-48'!C16</f>
        <v>42.27</v>
      </c>
      <c r="N16" s="80">
        <f t="shared" si="5"/>
        <v>42.464453333703673</v>
      </c>
      <c r="P16" s="127">
        <f t="shared" si="1"/>
        <v>17.432505096342208</v>
      </c>
      <c r="Q16" s="128">
        <f t="shared" si="6"/>
        <v>3789.4541399084906</v>
      </c>
      <c r="R16" s="148">
        <f t="shared" si="7"/>
        <v>3806.8866450048326</v>
      </c>
    </row>
    <row r="17" spans="1:19" s="68" customFormat="1" ht="12" customHeight="1">
      <c r="A17" s="46" t="s">
        <v>27</v>
      </c>
      <c r="B17" s="79">
        <f>+' Staff G-48 Price Out'!N21</f>
        <v>257.04000000000002</v>
      </c>
      <c r="D17" s="79">
        <f>+' Staff G-48 Price Out'!R21*References!$H$22</f>
        <v>7.7142857142857135</v>
      </c>
      <c r="E17" s="124">
        <f>+References!$C$10</f>
        <v>4.333333333333333</v>
      </c>
      <c r="F17" s="81">
        <f t="shared" si="2"/>
        <v>33.428571428571423</v>
      </c>
      <c r="G17" s="68">
        <f>+References!C21</f>
        <v>117</v>
      </c>
      <c r="H17" s="125">
        <f t="shared" si="3"/>
        <v>3911.1428571428564</v>
      </c>
      <c r="I17" s="125">
        <f t="shared" si="0"/>
        <v>3056.8843214584645</v>
      </c>
      <c r="J17" s="125">
        <f>I17*References!$D$60</f>
        <v>1.7729929064459007</v>
      </c>
      <c r="K17" s="125">
        <f>J17/References!$H$63</f>
        <v>1.8093610638288609</v>
      </c>
      <c r="L17" s="126">
        <f t="shared" si="4"/>
        <v>0.23454680457040789</v>
      </c>
      <c r="M17" s="78">
        <f>+'Rate Schedule G-48'!C17</f>
        <v>51.23</v>
      </c>
      <c r="N17" s="80">
        <f t="shared" si="5"/>
        <v>51.464546804570404</v>
      </c>
      <c r="P17" s="127">
        <f t="shared" si="1"/>
        <v>1.8093610638288606</v>
      </c>
      <c r="Q17" s="128">
        <f t="shared" si="6"/>
        <v>395.20285714285706</v>
      </c>
      <c r="R17" s="148">
        <f t="shared" si="7"/>
        <v>397.01221820668593</v>
      </c>
    </row>
    <row r="18" spans="1:19" s="68" customFormat="1" ht="12" customHeight="1">
      <c r="A18" s="46" t="s">
        <v>28</v>
      </c>
      <c r="B18" s="79">
        <f>+' Staff G-48 Price Out'!N22</f>
        <v>904.1</v>
      </c>
      <c r="D18" s="79">
        <f>+' Staff G-48 Price Out'!R22*References!$H$22</f>
        <v>20.571428571428573</v>
      </c>
      <c r="E18" s="124">
        <f>+References!$C$10</f>
        <v>4.333333333333333</v>
      </c>
      <c r="F18" s="81">
        <f t="shared" si="2"/>
        <v>89.142857142857139</v>
      </c>
      <c r="G18" s="68">
        <f>+References!C22</f>
        <v>137</v>
      </c>
      <c r="H18" s="125">
        <f t="shared" si="3"/>
        <v>12212.571428571428</v>
      </c>
      <c r="I18" s="125">
        <f t="shared" si="0"/>
        <v>9545.143066434408</v>
      </c>
      <c r="J18" s="125">
        <f>I18*References!$D$60</f>
        <v>5.5361829785319294</v>
      </c>
      <c r="K18" s="125">
        <f>J18/References!$H$63</f>
        <v>5.6497428089926824</v>
      </c>
      <c r="L18" s="126">
        <f t="shared" si="4"/>
        <v>0.27464027543714425</v>
      </c>
      <c r="M18" s="78">
        <f>+'Rate Schedule G-48'!C18</f>
        <v>60.8</v>
      </c>
      <c r="N18" s="80">
        <f t="shared" si="5"/>
        <v>61.07464027543714</v>
      </c>
      <c r="P18" s="127">
        <f t="shared" si="1"/>
        <v>5.6497428089926824</v>
      </c>
      <c r="Q18" s="128">
        <f t="shared" si="6"/>
        <v>1250.7428571428572</v>
      </c>
      <c r="R18" s="148">
        <f t="shared" si="7"/>
        <v>1256.3925999518499</v>
      </c>
    </row>
    <row r="19" spans="1:19" s="68" customFormat="1" ht="12" customHeight="1">
      <c r="A19" s="46" t="s">
        <v>29</v>
      </c>
      <c r="B19" s="79">
        <f>+' Staff G-48 Price Out'!N23</f>
        <v>10458.91</v>
      </c>
      <c r="D19" s="79">
        <f>+' Staff G-48 Price Out'!R23*References!$H$22</f>
        <v>1045.3341572071108</v>
      </c>
      <c r="E19" s="124">
        <f>+References!$C$11</f>
        <v>2.1666666666666665</v>
      </c>
      <c r="F19" s="81">
        <f t="shared" si="2"/>
        <v>2264.8906739487397</v>
      </c>
      <c r="G19" s="68">
        <f>+References!C17</f>
        <v>34</v>
      </c>
      <c r="H19" s="125">
        <f t="shared" si="3"/>
        <v>77006.282914257157</v>
      </c>
      <c r="I19" s="125">
        <f t="shared" si="0"/>
        <v>60186.832210560045</v>
      </c>
      <c r="J19" s="125">
        <f>I19*References!$D$60</f>
        <v>34.908362682124654</v>
      </c>
      <c r="K19" s="125">
        <f>J19/References!$H$63</f>
        <v>35.624413391289572</v>
      </c>
      <c r="L19" s="126">
        <f t="shared" si="4"/>
        <v>3.4079450236725928E-2</v>
      </c>
      <c r="M19" s="78">
        <f>+'Rate Schedule G-48'!C12</f>
        <v>12.33</v>
      </c>
      <c r="N19" s="80">
        <f t="shared" si="5"/>
        <v>12.364079450236726</v>
      </c>
      <c r="P19" s="127">
        <f t="shared" si="1"/>
        <v>35.624413391289572</v>
      </c>
      <c r="Q19" s="128">
        <f t="shared" si="6"/>
        <v>12888.970158363676</v>
      </c>
      <c r="R19" s="148">
        <f t="shared" si="7"/>
        <v>12924.594571754966</v>
      </c>
    </row>
    <row r="20" spans="1:19" s="68" customFormat="1" ht="12" customHeight="1">
      <c r="A20" s="46" t="s">
        <v>30</v>
      </c>
      <c r="B20" s="79">
        <f>+' Staff G-48 Price Out'!N24</f>
        <v>1556.3700000000001</v>
      </c>
      <c r="D20" s="79">
        <f>+' Staff G-48 Price Out'!R24*References!$H$22</f>
        <v>312.15465838509323</v>
      </c>
      <c r="E20" s="124">
        <f>+References!$C$12</f>
        <v>1</v>
      </c>
      <c r="F20" s="81">
        <f t="shared" si="2"/>
        <v>312.15465838509323</v>
      </c>
      <c r="G20" s="68">
        <f>+References!C17</f>
        <v>34</v>
      </c>
      <c r="H20" s="125">
        <f t="shared" si="3"/>
        <v>10613.25838509317</v>
      </c>
      <c r="I20" s="125">
        <f t="shared" si="0"/>
        <v>8295.1465446289822</v>
      </c>
      <c r="J20" s="125">
        <f>I20*References!$D$60</f>
        <v>4.8111849958847861</v>
      </c>
      <c r="K20" s="125">
        <f>J20/References!$H$63</f>
        <v>4.9098734522755239</v>
      </c>
      <c r="L20" s="126">
        <f t="shared" si="4"/>
        <v>1.5728977032335046E-2</v>
      </c>
      <c r="M20" s="78">
        <f>+'Rate Schedule G-48'!C11</f>
        <v>6.16</v>
      </c>
      <c r="N20" s="80">
        <f t="shared" si="5"/>
        <v>6.1757289770323354</v>
      </c>
      <c r="P20" s="127">
        <f t="shared" si="1"/>
        <v>4.9098734522755239</v>
      </c>
      <c r="Q20" s="128">
        <f t="shared" si="6"/>
        <v>1922.8726956521743</v>
      </c>
      <c r="R20" s="148">
        <f t="shared" si="7"/>
        <v>1927.78256910445</v>
      </c>
    </row>
    <row r="21" spans="1:19" s="68" customFormat="1" ht="12" customHeight="1">
      <c r="A21" s="46" t="s">
        <v>31</v>
      </c>
      <c r="B21" s="79">
        <f>+' Staff G-48 Price Out'!N25</f>
        <v>28931.53</v>
      </c>
      <c r="D21" s="79">
        <f>+' Staff G-48 Price Out'!R25*References!$H$22</f>
        <v>1167.4734048825521</v>
      </c>
      <c r="E21" s="124">
        <f>+References!$C$10</f>
        <v>4.333333333333333</v>
      </c>
      <c r="F21" s="81">
        <f t="shared" si="2"/>
        <v>5059.0514211577256</v>
      </c>
      <c r="G21" s="68">
        <f>+References!C23</f>
        <v>40</v>
      </c>
      <c r="H21" s="125">
        <f t="shared" si="3"/>
        <v>202362.05684630902</v>
      </c>
      <c r="I21" s="125">
        <f t="shared" si="0"/>
        <v>158162.82386664403</v>
      </c>
      <c r="J21" s="125">
        <f>I21*References!$D$60</f>
        <v>91.734437842653094</v>
      </c>
      <c r="K21" s="125">
        <f>J21/References!$H$63</f>
        <v>93.616121892696285</v>
      </c>
      <c r="L21" s="126">
        <f t="shared" si="4"/>
        <v>8.018694173347278E-2</v>
      </c>
      <c r="M21" s="78">
        <f>+'Rate Schedule G-48'!C20</f>
        <v>31.52</v>
      </c>
      <c r="N21" s="80">
        <f t="shared" si="5"/>
        <v>31.600186941733472</v>
      </c>
      <c r="P21" s="127">
        <f t="shared" si="1"/>
        <v>93.616121892696285</v>
      </c>
      <c r="Q21" s="128">
        <f t="shared" si="6"/>
        <v>36798.761721898045</v>
      </c>
      <c r="R21" s="148">
        <f t="shared" si="7"/>
        <v>36892.377843790739</v>
      </c>
    </row>
    <row r="22" spans="1:19" s="68" customFormat="1" ht="12" customHeight="1">
      <c r="A22" s="46" t="s">
        <v>32</v>
      </c>
      <c r="B22" s="79">
        <f>+' Staff G-48 Price Out'!N26</f>
        <v>696.95</v>
      </c>
      <c r="D22" s="79">
        <f>+' Staff G-48 Price Out'!R26*References!$H$22</f>
        <v>29.086720321931594</v>
      </c>
      <c r="E22" s="124">
        <f>+References!$C$12</f>
        <v>1</v>
      </c>
      <c r="F22" s="81">
        <f t="shared" si="2"/>
        <v>29.086720321931594</v>
      </c>
      <c r="G22" s="68">
        <f>+References!C24</f>
        <v>47</v>
      </c>
      <c r="H22" s="125">
        <f t="shared" si="3"/>
        <v>1367.0758551307849</v>
      </c>
      <c r="I22" s="125">
        <f t="shared" si="0"/>
        <v>1068.4837911664856</v>
      </c>
      <c r="J22" s="125">
        <f>I22*References!$D$60</f>
        <v>0.61972059887655861</v>
      </c>
      <c r="K22" s="125">
        <f>J22/References!$H$63</f>
        <v>0.63243249196505624</v>
      </c>
      <c r="L22" s="126">
        <f t="shared" si="4"/>
        <v>2.1742997662345508E-2</v>
      </c>
      <c r="M22" s="78">
        <f>+'Rate Schedule G-48'!C23</f>
        <v>33.97</v>
      </c>
      <c r="N22" s="80">
        <f t="shared" si="5"/>
        <v>33.991742997662342</v>
      </c>
      <c r="P22" s="127">
        <f t="shared" si="1"/>
        <v>0.63243249196505624</v>
      </c>
      <c r="Q22" s="128">
        <f t="shared" si="6"/>
        <v>988.07588933601619</v>
      </c>
      <c r="R22" s="148">
        <f t="shared" si="7"/>
        <v>988.70832182798119</v>
      </c>
    </row>
    <row r="23" spans="1:19" s="68" customFormat="1" ht="12" customHeight="1">
      <c r="A23" s="46" t="s">
        <v>33</v>
      </c>
      <c r="B23" s="79">
        <f>+' Staff G-48 Price Out'!N27</f>
        <v>2931.75</v>
      </c>
      <c r="D23" s="79">
        <f>+' Staff G-48 Price Out'!R27*References!$H$22</f>
        <v>91.076601483479436</v>
      </c>
      <c r="E23" s="124">
        <f>+References!$C$10</f>
        <v>4.333333333333333</v>
      </c>
      <c r="F23" s="81">
        <f t="shared" si="2"/>
        <v>394.66527309507751</v>
      </c>
      <c r="G23" s="68">
        <f>+References!C24</f>
        <v>47</v>
      </c>
      <c r="H23" s="125">
        <f t="shared" si="3"/>
        <v>18549.267835468643</v>
      </c>
      <c r="I23" s="125">
        <f t="shared" si="0"/>
        <v>14497.799771548149</v>
      </c>
      <c r="J23" s="125">
        <f>I23*References!$D$60</f>
        <v>8.4087238674978853</v>
      </c>
      <c r="K23" s="125">
        <f>J23/References!$H$63</f>
        <v>8.5812061103152217</v>
      </c>
      <c r="L23" s="126">
        <f t="shared" si="4"/>
        <v>9.4219656536830523E-2</v>
      </c>
      <c r="M23" s="78">
        <f>+'Rate Schedule G-48'!C22</f>
        <v>39.35</v>
      </c>
      <c r="N23" s="80">
        <f t="shared" si="5"/>
        <v>39.444219656536831</v>
      </c>
      <c r="P23" s="127">
        <f t="shared" si="1"/>
        <v>8.5812061103152217</v>
      </c>
      <c r="Q23" s="128">
        <f t="shared" si="6"/>
        <v>3583.8642683749158</v>
      </c>
      <c r="R23" s="148">
        <f t="shared" si="7"/>
        <v>3592.445474485231</v>
      </c>
    </row>
    <row r="24" spans="1:19" s="68" customFormat="1" ht="12" customHeight="1">
      <c r="A24" s="46" t="s">
        <v>34</v>
      </c>
      <c r="B24" s="79">
        <f>+' Staff G-48 Price Out'!N28</f>
        <v>3005.3</v>
      </c>
      <c r="D24" s="79">
        <f>+' Staff G-48 Price Out'!R28*References!$H$22</f>
        <v>613.62722924252171</v>
      </c>
      <c r="E24" s="124">
        <f>+References!$C$12</f>
        <v>1</v>
      </c>
      <c r="F24" s="81">
        <f t="shared" si="2"/>
        <v>613.62722924252171</v>
      </c>
      <c r="G24" s="68">
        <f>+References!C17</f>
        <v>34</v>
      </c>
      <c r="H24" s="125">
        <f t="shared" si="3"/>
        <v>20863.325794245739</v>
      </c>
      <c r="I24" s="125">
        <f t="shared" si="0"/>
        <v>16306.429052427804</v>
      </c>
      <c r="J24" s="125">
        <f>I24*References!$D$60</f>
        <v>9.4577288504080812</v>
      </c>
      <c r="K24" s="125">
        <f>J24/References!$H$63</f>
        <v>9.6517285951710186</v>
      </c>
      <c r="L24" s="126">
        <f t="shared" si="4"/>
        <v>1.5728977032335049E-2</v>
      </c>
      <c r="M24" s="78">
        <f>+'Rate Schedule G-48'!C29</f>
        <v>6.16</v>
      </c>
      <c r="N24" s="80">
        <f t="shared" si="5"/>
        <v>6.1757289770323354</v>
      </c>
      <c r="P24" s="127">
        <f>L24*F24</f>
        <v>9.6517285951710186</v>
      </c>
      <c r="Q24" s="128">
        <f t="shared" si="6"/>
        <v>3779.9437321339337</v>
      </c>
      <c r="R24" s="148">
        <f t="shared" si="7"/>
        <v>3789.5954607291051</v>
      </c>
    </row>
    <row r="25" spans="1:19" s="68" customFormat="1" ht="12" customHeight="1">
      <c r="A25" s="46" t="s">
        <v>35</v>
      </c>
      <c r="B25" s="79">
        <f>+' Staff G-48 Price Out'!N29</f>
        <v>20381.23</v>
      </c>
      <c r="D25" s="79">
        <f>+' Staff G-48 Price Out'!R29*References!$H$22</f>
        <v>6055.9575589005226</v>
      </c>
      <c r="E25" s="124">
        <f>+References!$C$12</f>
        <v>1</v>
      </c>
      <c r="F25" s="81">
        <f t="shared" si="2"/>
        <v>6055.9575589005226</v>
      </c>
      <c r="G25" s="68">
        <f>+References!C17</f>
        <v>34</v>
      </c>
      <c r="H25" s="125">
        <f t="shared" si="3"/>
        <v>205902.55700261777</v>
      </c>
      <c r="I25" s="125">
        <f t="shared" si="0"/>
        <v>160930.02000681462</v>
      </c>
      <c r="J25" s="125">
        <f>I25*References!$D$60</f>
        <v>93.33941160395203</v>
      </c>
      <c r="K25" s="125">
        <f>J25/References!$H$63</f>
        <v>95.254017352742153</v>
      </c>
      <c r="L25" s="126">
        <f t="shared" si="4"/>
        <v>1.5728977032335049E-2</v>
      </c>
      <c r="M25" s="78">
        <f>+'Rate Schedule G-48'!C26</f>
        <v>4.5199999999999996</v>
      </c>
      <c r="N25" s="80">
        <f t="shared" si="5"/>
        <v>4.5357289770323348</v>
      </c>
      <c r="P25" s="127">
        <f>L25*F25</f>
        <v>95.254017352742153</v>
      </c>
      <c r="Q25" s="128">
        <f t="shared" si="6"/>
        <v>27372.928166230358</v>
      </c>
      <c r="R25" s="148">
        <f t="shared" si="7"/>
        <v>27468.182183583103</v>
      </c>
    </row>
    <row r="26" spans="1:19" s="68" customFormat="1" ht="12" customHeight="1">
      <c r="A26" s="46" t="s">
        <v>36</v>
      </c>
      <c r="B26" s="79">
        <f>+' Staff G-48 Price Out'!N30</f>
        <v>0</v>
      </c>
      <c r="D26" s="79">
        <v>0.01</v>
      </c>
      <c r="E26" s="124">
        <f>+References!$C$12</f>
        <v>1</v>
      </c>
      <c r="F26" s="81">
        <f t="shared" si="2"/>
        <v>0.01</v>
      </c>
      <c r="G26" s="68">
        <f>+References!C17</f>
        <v>34</v>
      </c>
      <c r="H26" s="125">
        <f t="shared" si="3"/>
        <v>0.34</v>
      </c>
      <c r="I26" s="125">
        <f t="shared" si="0"/>
        <v>0.26573835506871019</v>
      </c>
      <c r="J26" s="125">
        <f>I26*References!$D$60</f>
        <v>1.5412824593985115E-4</v>
      </c>
      <c r="K26" s="125">
        <f>J26/References!$H$63</f>
        <v>1.5728977032335051E-4</v>
      </c>
      <c r="L26" s="126">
        <f t="shared" si="4"/>
        <v>1.5728977032335049E-2</v>
      </c>
      <c r="M26" s="78">
        <f>+'Rate Schedule G-48'!C7</f>
        <v>4.32</v>
      </c>
      <c r="N26" s="80">
        <f t="shared" si="5"/>
        <v>4.3357289770323355</v>
      </c>
      <c r="P26" s="127">
        <f>L26*F26</f>
        <v>1.5728977032335051E-4</v>
      </c>
      <c r="Q26" s="128">
        <f t="shared" si="6"/>
        <v>4.3200000000000002E-2</v>
      </c>
      <c r="R26" s="148">
        <f t="shared" si="7"/>
        <v>4.3357289770323354E-2</v>
      </c>
    </row>
    <row r="27" spans="1:19" s="68" customFormat="1" ht="12" customHeight="1">
      <c r="A27" s="46" t="s">
        <v>37</v>
      </c>
      <c r="B27" s="79">
        <f>+' Staff G-48 Price Out'!N31</f>
        <v>134.54000000000002</v>
      </c>
      <c r="D27" s="79">
        <f>+' Staff G-48 Price Out'!R31*References!$H$22</f>
        <v>10.154914632970002</v>
      </c>
      <c r="E27" s="124">
        <f>+References!$C$12</f>
        <v>1</v>
      </c>
      <c r="F27" s="81">
        <f t="shared" si="2"/>
        <v>10.154914632970002</v>
      </c>
      <c r="G27" s="68">
        <f>+References!C30</f>
        <v>125</v>
      </c>
      <c r="H27" s="125">
        <f t="shared" si="3"/>
        <v>1269.3643291212502</v>
      </c>
      <c r="I27" s="125">
        <f t="shared" si="0"/>
        <v>992.11408471640539</v>
      </c>
      <c r="J27" s="125">
        <f>I27*References!$D$60</f>
        <v>0.57542616913551237</v>
      </c>
      <c r="K27" s="125">
        <f>J27/References!$H$63</f>
        <v>0.58722948171804512</v>
      </c>
      <c r="L27" s="126">
        <f t="shared" si="4"/>
        <v>5.7827121442408272E-2</v>
      </c>
      <c r="M27" s="78">
        <f>+'Rate Schedule G-48'!C32</f>
        <v>17.68</v>
      </c>
      <c r="N27" s="80">
        <f t="shared" si="5"/>
        <v>17.737827121442407</v>
      </c>
      <c r="P27" s="127">
        <f>L27*F27</f>
        <v>0.58722948171804512</v>
      </c>
      <c r="Q27" s="128">
        <f t="shared" si="6"/>
        <v>179.53889071090961</v>
      </c>
      <c r="R27" s="148">
        <f t="shared" si="7"/>
        <v>180.12612019262767</v>
      </c>
    </row>
    <row r="28" spans="1:19" s="68" customFormat="1" ht="12" customHeight="1">
      <c r="A28" s="82"/>
      <c r="B28" s="79"/>
      <c r="F28" s="69"/>
      <c r="M28" s="78"/>
    </row>
    <row r="29" spans="1:19" s="83" customFormat="1" ht="12" customHeight="1" thickBot="1">
      <c r="A29" s="84" t="s">
        <v>49</v>
      </c>
      <c r="B29" s="86">
        <f>SUM(B12:B28)</f>
        <v>334708.77999999985</v>
      </c>
      <c r="D29" s="87">
        <f>+SUM(D12:D27)</f>
        <v>24600.021427186333</v>
      </c>
      <c r="E29" s="87"/>
      <c r="F29" s="87">
        <f>+SUM(F12:F27)</f>
        <v>80931.898572248567</v>
      </c>
      <c r="H29" s="87">
        <f>+SUM(H12:H27)</f>
        <v>3215705.974067396</v>
      </c>
      <c r="I29" s="87">
        <f>+SUM(I12:I27)</f>
        <v>2513342.3998038066</v>
      </c>
      <c r="J29" s="87">
        <f>+SUM(J12:J27)</f>
        <v>1457.7385918862005</v>
      </c>
      <c r="K29" s="87">
        <f>+SUM(K12:K27)</f>
        <v>1487.6401590837856</v>
      </c>
      <c r="M29" s="85"/>
      <c r="P29" s="129">
        <f>+SUM(P12:P27)</f>
        <v>1487.6401590837852</v>
      </c>
      <c r="Q29" s="87">
        <f>+SUM(Q12:Q27)</f>
        <v>424947.49693177745</v>
      </c>
      <c r="R29" s="87">
        <f>+SUM(R12:R27)</f>
        <v>426435.13709086116</v>
      </c>
      <c r="S29" s="87">
        <f>R29-Q29</f>
        <v>1487.6401590837049</v>
      </c>
    </row>
    <row r="30" spans="1:19" s="68" customFormat="1" ht="12" customHeight="1">
      <c r="A30" s="89"/>
      <c r="B30" s="80"/>
      <c r="D30" s="79"/>
      <c r="E30" s="79"/>
      <c r="F30" s="69"/>
      <c r="M30" s="78"/>
      <c r="P30" s="130"/>
    </row>
    <row r="31" spans="1:19" s="68" customFormat="1" ht="12" customHeight="1">
      <c r="A31" s="90"/>
      <c r="B31" s="80"/>
      <c r="D31" s="79"/>
      <c r="E31" s="79"/>
      <c r="F31" s="69"/>
      <c r="M31" s="78"/>
    </row>
    <row r="32" spans="1:19" s="68" customFormat="1" ht="12" customHeight="1">
      <c r="B32" s="80"/>
      <c r="D32" s="79"/>
      <c r="E32" s="79"/>
      <c r="F32" s="69"/>
      <c r="M32" s="78"/>
    </row>
    <row r="33" spans="1:25" ht="12" customHeight="1">
      <c r="A33" s="76" t="s">
        <v>50</v>
      </c>
    </row>
    <row r="34" spans="1:25" ht="12" customHeight="1">
      <c r="A34" s="76"/>
    </row>
    <row r="35" spans="1:25" s="68" customFormat="1" ht="12" customHeight="1">
      <c r="A35" s="77" t="s">
        <v>51</v>
      </c>
      <c r="B35" s="80"/>
      <c r="D35" s="79"/>
      <c r="E35" s="79"/>
      <c r="F35" s="69"/>
      <c r="L35" s="131"/>
      <c r="M35" s="132"/>
      <c r="N35" s="131"/>
      <c r="O35" s="131"/>
      <c r="P35" s="131" t="s">
        <v>397</v>
      </c>
      <c r="Q35" s="131"/>
    </row>
    <row r="36" spans="1:25" s="68" customFormat="1" ht="12" customHeight="1">
      <c r="A36" s="1" t="s">
        <v>52</v>
      </c>
      <c r="B36" s="79">
        <f>+' Staff G-48 Price Out'!N51</f>
        <v>20008.410000000003</v>
      </c>
      <c r="D36" s="79">
        <f>+' Staff G-48 Price Out'!R51*References!$H$22</f>
        <v>360.53852478326866</v>
      </c>
      <c r="E36" s="148">
        <f>+References!$C$10</f>
        <v>4.333333333333333</v>
      </c>
      <c r="F36" s="81">
        <f t="shared" ref="F36:F77" si="8">D36*E36</f>
        <v>1562.3336073941641</v>
      </c>
      <c r="G36" s="68">
        <f>+References!C31</f>
        <v>175</v>
      </c>
      <c r="H36" s="125">
        <f t="shared" ref="H36:H77" si="9">F36*G36</f>
        <v>273408.38129397872</v>
      </c>
      <c r="I36" s="125">
        <f>H36*$D$91</f>
        <v>213691.45149135473</v>
      </c>
      <c r="J36" s="125">
        <f>I36*References!$D$60</f>
        <v>123.94104186498514</v>
      </c>
      <c r="K36" s="125">
        <f>J36/References!$H$63</f>
        <v>126.48335734767338</v>
      </c>
      <c r="L36" s="126">
        <f>K36/F36</f>
        <v>8.0957970019371578E-2</v>
      </c>
      <c r="M36" s="78">
        <f>+'Rate Schedule G-48'!$C$44</f>
        <v>16.71</v>
      </c>
      <c r="N36" s="80">
        <f>M36+L36</f>
        <v>16.790957970019374</v>
      </c>
      <c r="P36" s="80">
        <f>L36*D36*E36</f>
        <v>126.48335734767339</v>
      </c>
      <c r="Q36" s="128">
        <f>M36*D36*E36</f>
        <v>26106.594579556484</v>
      </c>
      <c r="R36" s="128">
        <f>N36*D36*E36</f>
        <v>26233.077936904159</v>
      </c>
      <c r="S36" s="128">
        <f>R36-Q36</f>
        <v>126.48335734767534</v>
      </c>
      <c r="T36" s="80">
        <f>P36-S36</f>
        <v>-1.9468870959826745E-12</v>
      </c>
      <c r="V36" s="148"/>
      <c r="W36" s="80"/>
      <c r="X36" s="80"/>
      <c r="Y36" s="80"/>
    </row>
    <row r="37" spans="1:25" s="68" customFormat="1" ht="12" customHeight="1">
      <c r="A37" s="1" t="s">
        <v>53</v>
      </c>
      <c r="B37" s="79">
        <f>+' Staff G-48 Price Out'!N52</f>
        <v>1756.84</v>
      </c>
      <c r="D37" s="79">
        <f>+' Staff G-48 Price Out'!R52*References!$H$22</f>
        <v>17.399936728883265</v>
      </c>
      <c r="E37" s="148">
        <f>+References!$C$9</f>
        <v>8.6666666666666661</v>
      </c>
      <c r="F37" s="81">
        <f t="shared" si="8"/>
        <v>150.79945165032163</v>
      </c>
      <c r="G37" s="68">
        <f>+References!$C$31</f>
        <v>175</v>
      </c>
      <c r="H37" s="125">
        <f t="shared" si="9"/>
        <v>26389.904038806286</v>
      </c>
      <c r="I37" s="125">
        <f t="shared" ref="I37:I77" si="10">H37*$D$91</f>
        <v>20625.910852039684</v>
      </c>
      <c r="J37" s="125">
        <f>I37*References!$D$60</f>
        <v>11.963028294182958</v>
      </c>
      <c r="K37" s="125">
        <f>J37/References!$H$63</f>
        <v>12.208417485644411</v>
      </c>
      <c r="L37" s="126">
        <f t="shared" ref="L37:L60" si="11">K37/F37</f>
        <v>8.0957970019371564E-2</v>
      </c>
      <c r="M37" s="78">
        <f>+'Rate Schedule G-48'!$C$44</f>
        <v>16.71</v>
      </c>
      <c r="N37" s="80">
        <f t="shared" ref="N37:N77" si="12">M37+L37</f>
        <v>16.790957970019374</v>
      </c>
      <c r="P37" s="80">
        <f t="shared" ref="P37:P44" si="13">L37*D37*E37</f>
        <v>12.208417485644411</v>
      </c>
      <c r="Q37" s="128">
        <f t="shared" ref="Q37:Q77" si="14">M37*F37</f>
        <v>2519.8588370768744</v>
      </c>
      <c r="R37" s="128">
        <f t="shared" ref="R37:R77" si="15">N37*F37</f>
        <v>2532.0672545625193</v>
      </c>
      <c r="S37" s="128">
        <f t="shared" ref="S37:S77" si="16">R37-Q37</f>
        <v>12.208417485644986</v>
      </c>
      <c r="T37" s="80">
        <f t="shared" ref="T37:T77" si="17">P37-S37</f>
        <v>-5.7553961596568115E-13</v>
      </c>
      <c r="V37" s="148"/>
      <c r="W37" s="80"/>
    </row>
    <row r="38" spans="1:25" s="68" customFormat="1" ht="12" customHeight="1">
      <c r="A38" s="1" t="s">
        <v>54</v>
      </c>
      <c r="B38" s="79">
        <f>+' Staff G-48 Price Out'!N53</f>
        <v>2660.22</v>
      </c>
      <c r="D38" s="79">
        <f>+' Staff G-48 Price Out'!R53*References!$H$22</f>
        <v>24</v>
      </c>
      <c r="E38" s="148">
        <f>+References!$C$10</f>
        <v>4.333333333333333</v>
      </c>
      <c r="F38" s="81">
        <f t="shared" si="8"/>
        <v>104</v>
      </c>
      <c r="G38" s="68">
        <f>+References!$C$31</f>
        <v>175</v>
      </c>
      <c r="H38" s="125">
        <f t="shared" si="9"/>
        <v>18200</v>
      </c>
      <c r="I38" s="125">
        <f t="shared" si="10"/>
        <v>14224.817830148602</v>
      </c>
      <c r="J38" s="125">
        <f>I38*References!$D$60</f>
        <v>8.2503943414861496</v>
      </c>
      <c r="K38" s="125">
        <f>J38/References!$H$63</f>
        <v>8.4196288820146439</v>
      </c>
      <c r="L38" s="126">
        <f t="shared" si="11"/>
        <v>8.0957970019371578E-2</v>
      </c>
      <c r="M38" s="78">
        <f>+'Rate Schedule G-48'!$C$44</f>
        <v>16.71</v>
      </c>
      <c r="N38" s="80">
        <f t="shared" si="12"/>
        <v>16.790957970019374</v>
      </c>
      <c r="P38" s="80">
        <f t="shared" si="13"/>
        <v>8.4196288820146439</v>
      </c>
      <c r="Q38" s="128">
        <f t="shared" si="14"/>
        <v>1737.8400000000001</v>
      </c>
      <c r="R38" s="128">
        <f t="shared" si="15"/>
        <v>1746.2596288820148</v>
      </c>
      <c r="S38" s="128">
        <f t="shared" si="16"/>
        <v>8.4196288820146492</v>
      </c>
      <c r="T38" s="80">
        <f t="shared" si="17"/>
        <v>0</v>
      </c>
      <c r="V38" s="148"/>
      <c r="W38" s="80"/>
    </row>
    <row r="39" spans="1:25" s="68" customFormat="1" ht="12" customHeight="1">
      <c r="A39" s="1" t="s">
        <v>55</v>
      </c>
      <c r="B39" s="79">
        <f>+' Staff G-48 Price Out'!N54</f>
        <v>7000.76</v>
      </c>
      <c r="D39" s="79">
        <f>+' Staff G-48 Price Out'!R54*References!$H$22</f>
        <v>250.71428571428572</v>
      </c>
      <c r="E39" s="148">
        <f>+References!C11</f>
        <v>2.1666666666666665</v>
      </c>
      <c r="F39" s="81">
        <f t="shared" si="8"/>
        <v>543.21428571428567</v>
      </c>
      <c r="G39" s="68">
        <f>+References!C31</f>
        <v>175</v>
      </c>
      <c r="H39" s="125">
        <f t="shared" si="9"/>
        <v>95062.499999999985</v>
      </c>
      <c r="I39" s="125">
        <f t="shared" si="10"/>
        <v>74299.271702115453</v>
      </c>
      <c r="J39" s="125">
        <f>I39*References!$D$60</f>
        <v>43.093577587226754</v>
      </c>
      <c r="K39" s="125">
        <f>J39/References!$H$63</f>
        <v>43.97752585695148</v>
      </c>
      <c r="L39" s="126">
        <f t="shared" si="11"/>
        <v>8.0957970019371564E-2</v>
      </c>
      <c r="M39" s="78">
        <f>+'Rate Schedule G-48'!$C$44</f>
        <v>16.71</v>
      </c>
      <c r="N39" s="80">
        <f t="shared" si="12"/>
        <v>16.790957970019374</v>
      </c>
      <c r="P39" s="80">
        <f t="shared" si="13"/>
        <v>43.97752585695148</v>
      </c>
      <c r="Q39" s="128">
        <f t="shared" si="14"/>
        <v>9077.1107142857145</v>
      </c>
      <c r="R39" s="128">
        <f t="shared" si="15"/>
        <v>9121.0882401426661</v>
      </c>
      <c r="S39" s="128">
        <f t="shared" si="16"/>
        <v>43.977525856951615</v>
      </c>
      <c r="T39" s="80">
        <f t="shared" si="17"/>
        <v>-1.3500311979441904E-13</v>
      </c>
      <c r="V39" s="148"/>
      <c r="W39" s="80"/>
    </row>
    <row r="40" spans="1:25" s="68" customFormat="1" ht="12" customHeight="1">
      <c r="A40" s="1" t="s">
        <v>56</v>
      </c>
      <c r="B40" s="79">
        <f>+' Staff G-48 Price Out'!N55</f>
        <v>19026.97</v>
      </c>
      <c r="D40" s="79">
        <f>+' Staff G-48 Price Out'!R55*References!$H$22</f>
        <v>228.59450173552659</v>
      </c>
      <c r="E40" s="148">
        <f>+References!C10</f>
        <v>4.333333333333333</v>
      </c>
      <c r="F40" s="81">
        <f t="shared" si="8"/>
        <v>990.57617418728182</v>
      </c>
      <c r="G40" s="68">
        <f>+References!C32</f>
        <v>250</v>
      </c>
      <c r="H40" s="125">
        <f t="shared" si="9"/>
        <v>247644.04354682047</v>
      </c>
      <c r="I40" s="125">
        <f t="shared" si="10"/>
        <v>193554.47286675323</v>
      </c>
      <c r="J40" s="125">
        <f>I40*References!$D$60</f>
        <v>112.26159426271633</v>
      </c>
      <c r="K40" s="125">
        <f>J40/References!$H$63</f>
        <v>114.56433744536824</v>
      </c>
      <c r="L40" s="126">
        <f t="shared" si="11"/>
        <v>0.11565424288481654</v>
      </c>
      <c r="M40" s="78">
        <f>'Rate Schedule G-48'!$C$45</f>
        <v>24.64</v>
      </c>
      <c r="N40" s="80">
        <f t="shared" si="12"/>
        <v>24.755654242884816</v>
      </c>
      <c r="P40" s="80">
        <f t="shared" si="13"/>
        <v>114.56433744536822</v>
      </c>
      <c r="Q40" s="128">
        <f t="shared" si="14"/>
        <v>24407.796931974626</v>
      </c>
      <c r="R40" s="128">
        <f t="shared" si="15"/>
        <v>24522.361269419991</v>
      </c>
      <c r="S40" s="128">
        <f t="shared" si="16"/>
        <v>114.5643374453648</v>
      </c>
      <c r="T40" s="80">
        <f t="shared" si="17"/>
        <v>3.4248159863636829E-12</v>
      </c>
      <c r="V40" s="148"/>
      <c r="W40" s="80"/>
    </row>
    <row r="41" spans="1:25" s="68" customFormat="1" ht="12" customHeight="1">
      <c r="A41" s="1" t="s">
        <v>57</v>
      </c>
      <c r="B41" s="79">
        <f>+' Staff G-48 Price Out'!N56</f>
        <v>4398.42</v>
      </c>
      <c r="D41" s="79">
        <f>+' Staff G-48 Price Out'!R56*References!$H$22</f>
        <v>27.257142857142856</v>
      </c>
      <c r="E41" s="148">
        <f>+References!$C$9</f>
        <v>8.6666666666666661</v>
      </c>
      <c r="F41" s="81">
        <f t="shared" si="8"/>
        <v>236.2285714285714</v>
      </c>
      <c r="G41" s="68">
        <f>+References!C32</f>
        <v>250</v>
      </c>
      <c r="H41" s="125">
        <f t="shared" si="9"/>
        <v>59057.142857142848</v>
      </c>
      <c r="I41" s="125">
        <f t="shared" si="10"/>
        <v>46158.082346808718</v>
      </c>
      <c r="J41" s="125">
        <f>I41*References!$D$60</f>
        <v>26.771687761148925</v>
      </c>
      <c r="K41" s="125">
        <f>J41/References!$H$63</f>
        <v>27.320836576333225</v>
      </c>
      <c r="L41" s="126">
        <f t="shared" si="11"/>
        <v>0.11565424288481652</v>
      </c>
      <c r="M41" s="78">
        <f>'Rate Schedule G-48'!$C$45</f>
        <v>24.64</v>
      </c>
      <c r="N41" s="80">
        <f t="shared" si="12"/>
        <v>24.755654242884816</v>
      </c>
      <c r="P41" s="80">
        <f t="shared" si="13"/>
        <v>27.320836576333225</v>
      </c>
      <c r="Q41" s="128">
        <f t="shared" si="14"/>
        <v>5820.6719999999996</v>
      </c>
      <c r="R41" s="128">
        <f t="shared" si="15"/>
        <v>5847.9928365763326</v>
      </c>
      <c r="S41" s="128">
        <f t="shared" si="16"/>
        <v>27.320836576333022</v>
      </c>
      <c r="T41" s="80">
        <f t="shared" si="17"/>
        <v>2.0250467969162855E-13</v>
      </c>
      <c r="V41" s="148"/>
      <c r="W41" s="80"/>
    </row>
    <row r="42" spans="1:25" s="68" customFormat="1" ht="12" customHeight="1">
      <c r="A42" s="1" t="s">
        <v>58</v>
      </c>
      <c r="B42" s="79">
        <f>+' Staff G-48 Price Out'!N57</f>
        <v>7419.5500000000011</v>
      </c>
      <c r="D42" s="79">
        <f>+' Staff G-48 Price Out'!R57*References!$H$22</f>
        <v>46.850065513744212</v>
      </c>
      <c r="E42" s="148">
        <f>+References!C9</f>
        <v>8.6666666666666661</v>
      </c>
      <c r="F42" s="81">
        <f t="shared" si="8"/>
        <v>406.03390111911648</v>
      </c>
      <c r="G42" s="68">
        <f>+References!C32</f>
        <v>250</v>
      </c>
      <c r="H42" s="125">
        <f t="shared" si="9"/>
        <v>101508.47527977912</v>
      </c>
      <c r="I42" s="125">
        <f t="shared" si="10"/>
        <v>79337.338959945089</v>
      </c>
      <c r="J42" s="125">
        <f>I42*References!$D$60</f>
        <v>46.015656596767926</v>
      </c>
      <c r="K42" s="125">
        <f>J42/References!$H$63</f>
        <v>46.959543419499873</v>
      </c>
      <c r="L42" s="126">
        <f t="shared" si="11"/>
        <v>0.11565424288481653</v>
      </c>
      <c r="M42" s="78">
        <f>'Rate Schedule G-48'!$C$45</f>
        <v>24.64</v>
      </c>
      <c r="N42" s="80">
        <f t="shared" si="12"/>
        <v>24.755654242884816</v>
      </c>
      <c r="P42" s="80">
        <f t="shared" si="13"/>
        <v>46.95954341949988</v>
      </c>
      <c r="Q42" s="128">
        <f t="shared" si="14"/>
        <v>10004.675323575031</v>
      </c>
      <c r="R42" s="128">
        <f t="shared" si="15"/>
        <v>10051.634866994529</v>
      </c>
      <c r="S42" s="128">
        <f t="shared" si="16"/>
        <v>46.959543419498004</v>
      </c>
      <c r="T42" s="80">
        <f t="shared" si="17"/>
        <v>1.8758328224066645E-12</v>
      </c>
      <c r="V42" s="148"/>
      <c r="W42" s="80"/>
    </row>
    <row r="43" spans="1:25" s="68" customFormat="1" ht="12" customHeight="1">
      <c r="A43" s="1" t="s">
        <v>59</v>
      </c>
      <c r="B43" s="79">
        <f>+' Staff G-48 Price Out'!N58</f>
        <v>3379.2200000000003</v>
      </c>
      <c r="D43" s="79">
        <f>+' Staff G-48 Price Out'!R58*References!$H$22</f>
        <v>13.694501400992095</v>
      </c>
      <c r="E43" s="148">
        <f>+References!$C$8</f>
        <v>13</v>
      </c>
      <c r="F43" s="81">
        <f t="shared" si="8"/>
        <v>178.02851821289724</v>
      </c>
      <c r="G43" s="68">
        <f>+References!C32</f>
        <v>250</v>
      </c>
      <c r="H43" s="125">
        <f t="shared" si="9"/>
        <v>44507.129553224309</v>
      </c>
      <c r="I43" s="125">
        <f t="shared" si="10"/>
        <v>34786.0335185406</v>
      </c>
      <c r="J43" s="125">
        <f>I43*References!$D$60</f>
        <v>20.175899440753451</v>
      </c>
      <c r="K43" s="125">
        <f>J43/References!$H$63</f>
        <v>20.589753485818402</v>
      </c>
      <c r="L43" s="126">
        <f t="shared" si="11"/>
        <v>0.11565424288481654</v>
      </c>
      <c r="M43" s="78">
        <f>'Rate Schedule G-48'!$C$45</f>
        <v>24.64</v>
      </c>
      <c r="N43" s="80">
        <f t="shared" si="12"/>
        <v>24.755654242884816</v>
      </c>
      <c r="P43" s="80">
        <f t="shared" si="13"/>
        <v>20.589753485818402</v>
      </c>
      <c r="Q43" s="128">
        <f t="shared" si="14"/>
        <v>4386.6226887657876</v>
      </c>
      <c r="R43" s="128">
        <f t="shared" si="15"/>
        <v>4407.2124422516063</v>
      </c>
      <c r="S43" s="128">
        <f t="shared" si="16"/>
        <v>20.589753485818619</v>
      </c>
      <c r="T43" s="80">
        <f t="shared" si="17"/>
        <v>-2.1671553440683056E-13</v>
      </c>
      <c r="V43" s="148"/>
      <c r="W43" s="80"/>
    </row>
    <row r="44" spans="1:25" s="68" customFormat="1" ht="12" customHeight="1">
      <c r="A44" s="1" t="s">
        <v>60</v>
      </c>
      <c r="B44" s="79">
        <f>+' Staff G-48 Price Out'!N59</f>
        <v>5268.4500000000007</v>
      </c>
      <c r="D44" s="79">
        <f>+' Staff G-48 Price Out'!R59*References!$H$22</f>
        <v>10.200014168654217</v>
      </c>
      <c r="E44" s="148">
        <f>+References!$C$9</f>
        <v>8.6666666666666661</v>
      </c>
      <c r="F44" s="81">
        <f t="shared" si="8"/>
        <v>88.400122795003213</v>
      </c>
      <c r="G44" s="68">
        <f>+References!C32</f>
        <v>250</v>
      </c>
      <c r="H44" s="125">
        <f t="shared" si="9"/>
        <v>22100.030698750805</v>
      </c>
      <c r="I44" s="125">
        <f t="shared" si="10"/>
        <v>17273.017073100105</v>
      </c>
      <c r="J44" s="125">
        <f>I44*References!$D$60</f>
        <v>10.018349902398013</v>
      </c>
      <c r="K44" s="125">
        <f>J44/References!$H$63</f>
        <v>10.223849272780908</v>
      </c>
      <c r="L44" s="126">
        <f t="shared" si="11"/>
        <v>0.11565424288481653</v>
      </c>
      <c r="M44" s="78">
        <f>'Rate Schedule G-48'!$C$45</f>
        <v>24.64</v>
      </c>
      <c r="N44" s="80">
        <f t="shared" si="12"/>
        <v>24.755654242884816</v>
      </c>
      <c r="P44" s="80">
        <f t="shared" si="13"/>
        <v>10.223849272780907</v>
      </c>
      <c r="Q44" s="128">
        <f t="shared" si="14"/>
        <v>2178.1790256688791</v>
      </c>
      <c r="R44" s="128">
        <f t="shared" si="15"/>
        <v>2188.4028749416602</v>
      </c>
      <c r="S44" s="128">
        <f t="shared" si="16"/>
        <v>10.223849272781081</v>
      </c>
      <c r="T44" s="80">
        <f t="shared" si="17"/>
        <v>-1.7408297026122455E-13</v>
      </c>
      <c r="V44" s="148"/>
      <c r="W44" s="80"/>
    </row>
    <row r="45" spans="1:25" s="68" customFormat="1" ht="12" customHeight="1">
      <c r="A45" s="1" t="s">
        <v>61</v>
      </c>
      <c r="B45" s="79">
        <f>+' Staff G-48 Price Out'!N60</f>
        <v>8092.94</v>
      </c>
      <c r="D45" s="79">
        <f>+' Staff G-48 Price Out'!R60*References!$H$22</f>
        <v>187.66454250850711</v>
      </c>
      <c r="E45" s="148">
        <f>+References!C11</f>
        <v>2.1666666666666665</v>
      </c>
      <c r="F45" s="81">
        <f t="shared" si="8"/>
        <v>406.60650876843204</v>
      </c>
      <c r="G45" s="68">
        <f>+References!C32</f>
        <v>250</v>
      </c>
      <c r="H45" s="125">
        <f t="shared" si="9"/>
        <v>101651.627192108</v>
      </c>
      <c r="I45" s="125">
        <f t="shared" si="10"/>
        <v>79449.224117907492</v>
      </c>
      <c r="J45" s="125">
        <f>I45*References!$D$60</f>
        <v>46.080549988386124</v>
      </c>
      <c r="K45" s="125">
        <f>J45/References!$H$63</f>
        <v>47.025767923651522</v>
      </c>
      <c r="L45" s="126">
        <f t="shared" si="11"/>
        <v>0.11565424288481653</v>
      </c>
      <c r="M45" s="78">
        <f>'Rate Schedule G-48'!$C$45</f>
        <v>24.64</v>
      </c>
      <c r="N45" s="80">
        <f t="shared" si="12"/>
        <v>24.755654242884816</v>
      </c>
      <c r="P45" s="80">
        <f t="shared" ref="P45:P53" si="18">L45*D45*E45</f>
        <v>47.025767923651522</v>
      </c>
      <c r="Q45" s="128">
        <f t="shared" si="14"/>
        <v>10018.784376054165</v>
      </c>
      <c r="R45" s="128">
        <f t="shared" si="15"/>
        <v>10065.810143977817</v>
      </c>
      <c r="S45" s="128">
        <f t="shared" si="16"/>
        <v>47.025767923651074</v>
      </c>
      <c r="T45" s="80">
        <f t="shared" si="17"/>
        <v>4.4764192352886312E-13</v>
      </c>
      <c r="V45" s="148"/>
      <c r="W45" s="80"/>
    </row>
    <row r="46" spans="1:25" s="68" customFormat="1" ht="12" customHeight="1">
      <c r="A46" s="1" t="s">
        <v>62</v>
      </c>
      <c r="B46" s="79">
        <f>+' Staff G-48 Price Out'!N61</f>
        <v>60746.520000000004</v>
      </c>
      <c r="D46" s="79">
        <f>+' Staff G-48 Price Out'!R61*References!$H$22</f>
        <v>571.1568313847747</v>
      </c>
      <c r="E46" s="148">
        <f>+References!$C$10</f>
        <v>4.333333333333333</v>
      </c>
      <c r="F46" s="81">
        <f t="shared" si="8"/>
        <v>2475.0129360006904</v>
      </c>
      <c r="G46" s="68">
        <f>+References!C33</f>
        <v>324</v>
      </c>
      <c r="H46" s="125">
        <f t="shared" si="9"/>
        <v>801904.19126422366</v>
      </c>
      <c r="I46" s="125">
        <f t="shared" si="10"/>
        <v>626755.00208605628</v>
      </c>
      <c r="J46" s="125">
        <f>I46*References!$D$60</f>
        <v>363.51790120991086</v>
      </c>
      <c r="K46" s="125">
        <f>J46/References!$H$63</f>
        <v>370.9744884272996</v>
      </c>
      <c r="L46" s="126">
        <f t="shared" si="11"/>
        <v>0.14988789877872224</v>
      </c>
      <c r="M46" s="78">
        <f>+'Rate Schedule G-48'!$C$46</f>
        <v>32.19</v>
      </c>
      <c r="N46" s="80">
        <f t="shared" si="12"/>
        <v>32.33988789877872</v>
      </c>
      <c r="P46" s="80">
        <f t="shared" si="18"/>
        <v>370.9744884272996</v>
      </c>
      <c r="Q46" s="128">
        <f t="shared" si="14"/>
        <v>79670.666409862213</v>
      </c>
      <c r="R46" s="128">
        <f t="shared" si="15"/>
        <v>80041.640898289523</v>
      </c>
      <c r="S46" s="128">
        <f t="shared" si="16"/>
        <v>370.97448842730955</v>
      </c>
      <c r="T46" s="80">
        <f t="shared" si="17"/>
        <v>-9.9475983006414026E-12</v>
      </c>
      <c r="V46" s="148"/>
      <c r="W46" s="80"/>
    </row>
    <row r="47" spans="1:25" s="68" customFormat="1" ht="12" customHeight="1">
      <c r="A47" s="1" t="s">
        <v>63</v>
      </c>
      <c r="B47" s="79">
        <f>+' Staff G-48 Price Out'!N62</f>
        <v>7663.8599999999988</v>
      </c>
      <c r="D47" s="79">
        <f>+' Staff G-48 Price Out'!R62*References!$H$22</f>
        <v>41.987007346644859</v>
      </c>
      <c r="E47" s="148">
        <f>+References!$C$9</f>
        <v>8.6666666666666661</v>
      </c>
      <c r="F47" s="81">
        <f t="shared" si="8"/>
        <v>363.88739700425543</v>
      </c>
      <c r="G47" s="68">
        <f>+References!C33</f>
        <v>324</v>
      </c>
      <c r="H47" s="125">
        <f t="shared" si="9"/>
        <v>117899.51662937876</v>
      </c>
      <c r="I47" s="125">
        <f t="shared" si="10"/>
        <v>92148.304742609267</v>
      </c>
      <c r="J47" s="125">
        <f>I47*References!$D$60</f>
        <v>53.446016750713113</v>
      </c>
      <c r="K47" s="125">
        <f>J47/References!$H$63</f>
        <v>54.542317329026545</v>
      </c>
      <c r="L47" s="126">
        <f t="shared" si="11"/>
        <v>0.14988789877872222</v>
      </c>
      <c r="M47" s="78">
        <f>+'Rate Schedule G-48'!$C$46</f>
        <v>32.19</v>
      </c>
      <c r="N47" s="80">
        <f t="shared" si="12"/>
        <v>32.33988789877872</v>
      </c>
      <c r="P47" s="80">
        <f t="shared" si="18"/>
        <v>54.542317329026545</v>
      </c>
      <c r="Q47" s="128">
        <f t="shared" si="14"/>
        <v>11713.535309566982</v>
      </c>
      <c r="R47" s="128">
        <f t="shared" si="15"/>
        <v>11768.077626896009</v>
      </c>
      <c r="S47" s="128">
        <f t="shared" si="16"/>
        <v>54.542317329027355</v>
      </c>
      <c r="T47" s="80">
        <f t="shared" si="17"/>
        <v>-8.1001871876651421E-13</v>
      </c>
      <c r="V47" s="148"/>
      <c r="W47" s="80"/>
    </row>
    <row r="48" spans="1:25" s="68" customFormat="1" ht="12" customHeight="1">
      <c r="A48" s="1" t="s">
        <v>64</v>
      </c>
      <c r="B48" s="79">
        <f>+' Staff G-48 Price Out'!N63</f>
        <v>10332.1</v>
      </c>
      <c r="D48" s="79">
        <f>+' Staff G-48 Price Out'!R63*References!$H$22</f>
        <v>34.022057478729749</v>
      </c>
      <c r="E48" s="148">
        <f>+References!$C$8</f>
        <v>13</v>
      </c>
      <c r="F48" s="81">
        <f t="shared" si="8"/>
        <v>442.28674722348671</v>
      </c>
      <c r="G48" s="68">
        <f>+References!C33</f>
        <v>324</v>
      </c>
      <c r="H48" s="125">
        <f t="shared" si="9"/>
        <v>143300.90610040969</v>
      </c>
      <c r="I48" s="125">
        <f t="shared" si="10"/>
        <v>112001.60902052518</v>
      </c>
      <c r="J48" s="125">
        <f>I48*References!$D$60</f>
        <v>64.960933231904292</v>
      </c>
      <c r="K48" s="125">
        <f>J48/References!$H$63</f>
        <v>66.293431199004274</v>
      </c>
      <c r="L48" s="126">
        <f t="shared" si="11"/>
        <v>0.14988789877872222</v>
      </c>
      <c r="M48" s="78">
        <f>+'Rate Schedule G-48'!$C$46</f>
        <v>32.19</v>
      </c>
      <c r="N48" s="80">
        <f t="shared" si="12"/>
        <v>32.33988789877872</v>
      </c>
      <c r="P48" s="80">
        <f t="shared" si="18"/>
        <v>66.293431199004274</v>
      </c>
      <c r="Q48" s="128">
        <f t="shared" si="14"/>
        <v>14237.210393124036</v>
      </c>
      <c r="R48" s="128">
        <f t="shared" si="15"/>
        <v>14303.503824323041</v>
      </c>
      <c r="S48" s="128">
        <f t="shared" si="16"/>
        <v>66.293431199004772</v>
      </c>
      <c r="T48" s="80">
        <f t="shared" si="17"/>
        <v>-4.9737991503207013E-13</v>
      </c>
      <c r="V48" s="148"/>
      <c r="W48" s="80"/>
    </row>
    <row r="49" spans="1:23" s="68" customFormat="1" ht="12" customHeight="1">
      <c r="A49" s="1" t="s">
        <v>65</v>
      </c>
      <c r="B49" s="79">
        <f>+' Staff G-48 Price Out'!N64</f>
        <v>5450.58</v>
      </c>
      <c r="D49" s="79">
        <f>+' Staff G-48 Price Out'!R64*References!$H$22</f>
        <v>12.814318166013768</v>
      </c>
      <c r="E49" s="148">
        <f>+References!$F$10</f>
        <v>17.333333333333332</v>
      </c>
      <c r="F49" s="81">
        <f t="shared" si="8"/>
        <v>222.11484821090531</v>
      </c>
      <c r="G49" s="68">
        <f>+References!C33</f>
        <v>324</v>
      </c>
      <c r="H49" s="125">
        <f t="shared" si="9"/>
        <v>71965.210820333319</v>
      </c>
      <c r="I49" s="125">
        <f t="shared" si="10"/>
        <v>56246.813957553873</v>
      </c>
      <c r="J49" s="125">
        <f>I49*References!$D$60</f>
        <v>32.623152095381087</v>
      </c>
      <c r="K49" s="125">
        <f>J49/References!$H$63</f>
        <v>33.292327885887424</v>
      </c>
      <c r="L49" s="126">
        <f t="shared" si="11"/>
        <v>0.14988789877872222</v>
      </c>
      <c r="M49" s="78">
        <f>+'Rate Schedule G-48'!$C$46</f>
        <v>32.19</v>
      </c>
      <c r="N49" s="80">
        <f t="shared" si="12"/>
        <v>32.33988789877872</v>
      </c>
      <c r="P49" s="80">
        <f t="shared" si="18"/>
        <v>33.292327885887424</v>
      </c>
      <c r="Q49" s="128">
        <f t="shared" si="14"/>
        <v>7149.8769639090415</v>
      </c>
      <c r="R49" s="128">
        <f t="shared" si="15"/>
        <v>7183.1692917949285</v>
      </c>
      <c r="S49" s="128">
        <f t="shared" si="16"/>
        <v>33.292327885887062</v>
      </c>
      <c r="T49" s="80">
        <f t="shared" si="17"/>
        <v>3.6237679523765109E-13</v>
      </c>
      <c r="V49" s="148"/>
      <c r="W49" s="80"/>
    </row>
    <row r="50" spans="1:23" s="68" customFormat="1" ht="12" customHeight="1">
      <c r="A50" s="1" t="s">
        <v>66</v>
      </c>
      <c r="B50" s="79">
        <f>+' Staff G-48 Price Out'!N65</f>
        <v>9008.7799999999988</v>
      </c>
      <c r="D50" s="79">
        <f>+' Staff G-48 Price Out'!R65*References!$H$22</f>
        <v>12</v>
      </c>
      <c r="E50" s="148">
        <f>References!C10*7</f>
        <v>30.333333333333332</v>
      </c>
      <c r="F50" s="81">
        <f t="shared" si="8"/>
        <v>364</v>
      </c>
      <c r="G50" s="68">
        <f>+References!C33</f>
        <v>324</v>
      </c>
      <c r="H50" s="125">
        <f t="shared" si="9"/>
        <v>117936</v>
      </c>
      <c r="I50" s="125">
        <f t="shared" si="10"/>
        <v>92176.819539362943</v>
      </c>
      <c r="J50" s="125">
        <f>I50*References!$D$60</f>
        <v>53.462555332830249</v>
      </c>
      <c r="K50" s="125">
        <f>J50/References!$H$63</f>
        <v>54.559195155454894</v>
      </c>
      <c r="L50" s="126">
        <f t="shared" si="11"/>
        <v>0.14988789877872224</v>
      </c>
      <c r="M50" s="78">
        <f>+'Rate Schedule G-48'!$C$46</f>
        <v>32.19</v>
      </c>
      <c r="N50" s="80">
        <f t="shared" si="12"/>
        <v>32.33988789877872</v>
      </c>
      <c r="P50" s="80">
        <f t="shared" si="18"/>
        <v>54.559195155454901</v>
      </c>
      <c r="Q50" s="128">
        <f t="shared" si="14"/>
        <v>11717.16</v>
      </c>
      <c r="R50" s="128">
        <f t="shared" si="15"/>
        <v>11771.719195155454</v>
      </c>
      <c r="S50" s="128">
        <f t="shared" si="16"/>
        <v>54.55919515545429</v>
      </c>
      <c r="T50" s="80">
        <f t="shared" si="17"/>
        <v>6.1106675275368616E-13</v>
      </c>
      <c r="V50" s="148"/>
      <c r="W50" s="80"/>
    </row>
    <row r="51" spans="1:23" s="68" customFormat="1" ht="12" customHeight="1">
      <c r="A51" s="1" t="s">
        <v>67</v>
      </c>
      <c r="B51" s="79">
        <f>+' Staff G-48 Price Out'!N66</f>
        <v>12520.71</v>
      </c>
      <c r="D51" s="79">
        <f>+' Staff G-48 Price Out'!R66*References!$H$22</f>
        <v>58.203295012338899</v>
      </c>
      <c r="E51" s="148">
        <f>+References!$C$9</f>
        <v>8.6666666666666661</v>
      </c>
      <c r="F51" s="81">
        <f t="shared" si="8"/>
        <v>504.42855677360376</v>
      </c>
      <c r="G51" s="68">
        <f>+References!C33</f>
        <v>324</v>
      </c>
      <c r="H51" s="125">
        <f t="shared" si="9"/>
        <v>163434.85239464761</v>
      </c>
      <c r="I51" s="125">
        <f t="shared" si="10"/>
        <v>127737.96716544441</v>
      </c>
      <c r="J51" s="125">
        <f>I51*References!$D$60</f>
        <v>74.088020955957404</v>
      </c>
      <c r="K51" s="125">
        <f>J51/References!$H$63</f>
        <v>75.607736458778859</v>
      </c>
      <c r="L51" s="126">
        <f t="shared" si="11"/>
        <v>0.14988789877872222</v>
      </c>
      <c r="M51" s="78">
        <f>+'Rate Schedule G-48'!$C$46</f>
        <v>32.19</v>
      </c>
      <c r="N51" s="80">
        <f t="shared" si="12"/>
        <v>32.33988789877872</v>
      </c>
      <c r="P51" s="80">
        <f t="shared" si="18"/>
        <v>75.607736458778859</v>
      </c>
      <c r="Q51" s="128">
        <f t="shared" si="14"/>
        <v>16237.555242542305</v>
      </c>
      <c r="R51" s="128">
        <f t="shared" si="15"/>
        <v>16313.162979001083</v>
      </c>
      <c r="S51" s="128">
        <f t="shared" si="16"/>
        <v>75.607736458778163</v>
      </c>
      <c r="T51" s="80">
        <f t="shared" si="17"/>
        <v>6.9633188104489818E-13</v>
      </c>
      <c r="V51" s="148"/>
      <c r="W51" s="80"/>
    </row>
    <row r="52" spans="1:23" s="68" customFormat="1" ht="12" customHeight="1">
      <c r="A52" s="1" t="s">
        <v>68</v>
      </c>
      <c r="B52" s="79">
        <f>+' Staff G-48 Price Out'!N67</f>
        <v>8315.7599999999984</v>
      </c>
      <c r="D52" s="79">
        <f>+' Staff G-48 Price Out'!R67*References!$H$22</f>
        <v>19.402627803606066</v>
      </c>
      <c r="E52" s="148">
        <f>+References!$C$9</f>
        <v>8.6666666666666661</v>
      </c>
      <c r="F52" s="81">
        <f t="shared" si="8"/>
        <v>168.15610763125255</v>
      </c>
      <c r="G52" s="68">
        <f>+References!C33</f>
        <v>324</v>
      </c>
      <c r="H52" s="125">
        <f t="shared" si="9"/>
        <v>54482.578872525824</v>
      </c>
      <c r="I52" s="125">
        <f t="shared" si="10"/>
        <v>42582.679086724333</v>
      </c>
      <c r="J52" s="125">
        <f>I52*References!$D$60</f>
        <v>24.697953870299994</v>
      </c>
      <c r="K52" s="125">
        <f>J52/References!$H$63</f>
        <v>25.204565639657101</v>
      </c>
      <c r="L52" s="126">
        <f t="shared" si="11"/>
        <v>0.14988789877872222</v>
      </c>
      <c r="M52" s="78">
        <f>+'Rate Schedule G-48'!$C$46</f>
        <v>32.19</v>
      </c>
      <c r="N52" s="80">
        <f t="shared" si="12"/>
        <v>32.33988789877872</v>
      </c>
      <c r="P52" s="80">
        <f t="shared" si="18"/>
        <v>25.204565639657105</v>
      </c>
      <c r="Q52" s="128">
        <f t="shared" si="14"/>
        <v>5412.9451046500189</v>
      </c>
      <c r="R52" s="128">
        <f t="shared" si="15"/>
        <v>5438.1496702896766</v>
      </c>
      <c r="S52" s="128">
        <f t="shared" si="16"/>
        <v>25.204565639657631</v>
      </c>
      <c r="T52" s="80">
        <f t="shared" si="17"/>
        <v>-5.2580162446247414E-13</v>
      </c>
      <c r="V52" s="148"/>
      <c r="W52" s="80"/>
    </row>
    <row r="53" spans="1:23" s="68" customFormat="1" ht="12" customHeight="1">
      <c r="A53" s="1" t="s">
        <v>69</v>
      </c>
      <c r="B53" s="79">
        <f>+' Staff G-48 Price Out'!N68</f>
        <v>1109.3399999999999</v>
      </c>
      <c r="D53" s="79">
        <f>+' Staff G-48 Price Out'!R68*References!$H$22</f>
        <v>4.8000000000000007</v>
      </c>
      <c r="E53" s="148">
        <f>+References!$C$8</f>
        <v>13</v>
      </c>
      <c r="F53" s="81">
        <f t="shared" si="8"/>
        <v>62.400000000000006</v>
      </c>
      <c r="G53" s="68">
        <f>+References!C33</f>
        <v>324</v>
      </c>
      <c r="H53" s="125">
        <f t="shared" si="9"/>
        <v>20217.600000000002</v>
      </c>
      <c r="I53" s="125">
        <f t="shared" si="10"/>
        <v>15801.740492462221</v>
      </c>
      <c r="J53" s="125">
        <f>I53*References!$D$60</f>
        <v>9.165009485628044</v>
      </c>
      <c r="K53" s="125">
        <f>J53/References!$H$63</f>
        <v>9.3530048837922681</v>
      </c>
      <c r="L53" s="126">
        <f t="shared" si="11"/>
        <v>0.14988789877872224</v>
      </c>
      <c r="M53" s="78">
        <f>+'Rate Schedule G-48'!$C$46</f>
        <v>32.19</v>
      </c>
      <c r="N53" s="80">
        <f t="shared" si="12"/>
        <v>32.33988789877872</v>
      </c>
      <c r="P53" s="80">
        <f t="shared" si="18"/>
        <v>9.3530048837922699</v>
      </c>
      <c r="Q53" s="128">
        <f t="shared" si="14"/>
        <v>2008.6559999999999</v>
      </c>
      <c r="R53" s="128">
        <f t="shared" si="15"/>
        <v>2018.0090048837924</v>
      </c>
      <c r="S53" s="128">
        <f t="shared" si="16"/>
        <v>9.3530048837924369</v>
      </c>
      <c r="T53" s="80">
        <f t="shared" si="17"/>
        <v>-1.6697754290362354E-13</v>
      </c>
      <c r="V53" s="148"/>
      <c r="W53" s="80"/>
    </row>
    <row r="54" spans="1:23" s="68" customFormat="1" ht="12" customHeight="1">
      <c r="A54" s="1" t="s">
        <v>70</v>
      </c>
      <c r="B54" s="79">
        <f>+' Staff G-48 Price Out'!N69</f>
        <v>18017.489999999998</v>
      </c>
      <c r="D54" s="79">
        <f>+' Staff G-48 Price Out'!R69*References!$H$22</f>
        <v>12</v>
      </c>
      <c r="E54" s="148">
        <f>E50</f>
        <v>30.333333333333332</v>
      </c>
      <c r="F54" s="81">
        <f t="shared" si="8"/>
        <v>364</v>
      </c>
      <c r="G54" s="68">
        <f>+References!C33</f>
        <v>324</v>
      </c>
      <c r="H54" s="125">
        <f t="shared" si="9"/>
        <v>117936</v>
      </c>
      <c r="I54" s="125">
        <f t="shared" si="10"/>
        <v>92176.819539362943</v>
      </c>
      <c r="J54" s="125">
        <f>I54*References!$D$60</f>
        <v>53.462555332830249</v>
      </c>
      <c r="K54" s="125">
        <f>J54/References!$H$63</f>
        <v>54.559195155454894</v>
      </c>
      <c r="L54" s="126">
        <f t="shared" si="11"/>
        <v>0.14988789877872224</v>
      </c>
      <c r="M54" s="78">
        <f>+'Rate Schedule G-48'!$C$46</f>
        <v>32.19</v>
      </c>
      <c r="N54" s="80">
        <f t="shared" si="12"/>
        <v>32.33988789877872</v>
      </c>
      <c r="P54" s="80">
        <f t="shared" ref="P54:P60" si="19">L54*D54*E54</f>
        <v>54.559195155454901</v>
      </c>
      <c r="Q54" s="128">
        <f>M54*F54</f>
        <v>11717.16</v>
      </c>
      <c r="R54" s="128">
        <f t="shared" si="15"/>
        <v>11771.719195155454</v>
      </c>
      <c r="S54" s="128">
        <f t="shared" si="16"/>
        <v>54.55919515545429</v>
      </c>
      <c r="T54" s="80">
        <f t="shared" si="17"/>
        <v>6.1106675275368616E-13</v>
      </c>
      <c r="V54" s="148"/>
      <c r="W54" s="80"/>
    </row>
    <row r="55" spans="1:23" s="68" customFormat="1" ht="12" customHeight="1">
      <c r="A55" s="1" t="s">
        <v>71</v>
      </c>
      <c r="B55" s="79">
        <f>+' Staff G-48 Price Out'!N70</f>
        <v>13945.45</v>
      </c>
      <c r="D55" s="79">
        <f>+' Staff G-48 Price Out'!R70*References!$H$22</f>
        <v>38.828571428571436</v>
      </c>
      <c r="E55" s="148">
        <f>+References!$E$10</f>
        <v>13</v>
      </c>
      <c r="F55" s="81">
        <f t="shared" si="8"/>
        <v>504.77142857142866</v>
      </c>
      <c r="G55" s="68">
        <f>+References!C33</f>
        <v>324</v>
      </c>
      <c r="H55" s="125">
        <f t="shared" si="9"/>
        <v>163545.94285714289</v>
      </c>
      <c r="I55" s="125">
        <f t="shared" si="10"/>
        <v>127824.79362652476</v>
      </c>
      <c r="J55" s="125">
        <f>I55*References!$D$60</f>
        <v>74.138380303383997</v>
      </c>
      <c r="K55" s="125">
        <f>J55/References!$H$63</f>
        <v>75.659128792105321</v>
      </c>
      <c r="L55" s="126">
        <f t="shared" si="11"/>
        <v>0.14988789877872224</v>
      </c>
      <c r="M55" s="78">
        <f>+'Rate Schedule G-48'!$C$46</f>
        <v>32.19</v>
      </c>
      <c r="N55" s="80">
        <f t="shared" si="12"/>
        <v>32.33988789877872</v>
      </c>
      <c r="P55" s="80">
        <f t="shared" si="19"/>
        <v>75.659128792105335</v>
      </c>
      <c r="Q55" s="128">
        <f t="shared" si="14"/>
        <v>16248.592285714287</v>
      </c>
      <c r="R55" s="128">
        <f t="shared" si="15"/>
        <v>16324.251414506392</v>
      </c>
      <c r="S55" s="128">
        <f t="shared" si="16"/>
        <v>75.659128792105548</v>
      </c>
      <c r="T55" s="80">
        <f t="shared" si="17"/>
        <v>-2.1316282072803006E-13</v>
      </c>
      <c r="V55" s="148"/>
      <c r="W55" s="80"/>
    </row>
    <row r="56" spans="1:23" s="68" customFormat="1" ht="12" customHeight="1">
      <c r="A56" s="1" t="s">
        <v>72</v>
      </c>
      <c r="B56" s="79">
        <f>+' Staff G-48 Price Out'!N71</f>
        <v>16136.919999999998</v>
      </c>
      <c r="D56" s="79">
        <f>+' Staff G-48 Price Out'!R71*References!$H$22</f>
        <v>25.500005408621341</v>
      </c>
      <c r="E56" s="148">
        <f>+References!$E$10</f>
        <v>13</v>
      </c>
      <c r="F56" s="81">
        <f>D56*E56</f>
        <v>331.50007031207741</v>
      </c>
      <c r="G56" s="68">
        <f>+References!C33*2</f>
        <v>648</v>
      </c>
      <c r="H56" s="125">
        <f t="shared" si="9"/>
        <v>214812.04556222615</v>
      </c>
      <c r="I56" s="125">
        <f t="shared" si="10"/>
        <v>167893.52834309058</v>
      </c>
      <c r="J56" s="125">
        <f>I56*References!$D$60</f>
        <v>97.378246438992065</v>
      </c>
      <c r="K56" s="125">
        <f>J56/References!$H$63</f>
        <v>99.375697968151925</v>
      </c>
      <c r="L56" s="126">
        <f t="shared" si="11"/>
        <v>0.29977579755744449</v>
      </c>
      <c r="M56" s="78">
        <f>+'Rate Schedule G-48'!$C$46</f>
        <v>32.19</v>
      </c>
      <c r="N56" s="80">
        <f t="shared" si="12"/>
        <v>32.489775797557442</v>
      </c>
      <c r="P56" s="80">
        <f t="shared" si="19"/>
        <v>99.37569796815194</v>
      </c>
      <c r="Q56" s="128">
        <f t="shared" si="14"/>
        <v>10670.987263345771</v>
      </c>
      <c r="R56" s="128">
        <f t="shared" si="15"/>
        <v>10770.362961313924</v>
      </c>
      <c r="S56" s="128">
        <f t="shared" si="16"/>
        <v>99.375697968152963</v>
      </c>
      <c r="T56" s="80">
        <f t="shared" si="17"/>
        <v>-1.0231815394945443E-12</v>
      </c>
      <c r="V56" s="148"/>
      <c r="W56" s="80"/>
    </row>
    <row r="57" spans="1:23" s="68" customFormat="1" ht="12" customHeight="1">
      <c r="A57" s="1" t="s">
        <v>73</v>
      </c>
      <c r="B57" s="79">
        <f>+' Staff G-48 Price Out'!N72</f>
        <v>8236.5899999999983</v>
      </c>
      <c r="D57" s="79">
        <f>+' Staff G-48 Price Out'!R72*References!$H$22</f>
        <v>20.006736051551883</v>
      </c>
      <c r="E57" s="148">
        <f>+References!$F$10</f>
        <v>17.333333333333332</v>
      </c>
      <c r="F57" s="81">
        <f t="shared" si="8"/>
        <v>346.78342489356595</v>
      </c>
      <c r="G57" s="68">
        <f>+References!C33</f>
        <v>324</v>
      </c>
      <c r="H57" s="125">
        <f t="shared" si="9"/>
        <v>112357.82966551537</v>
      </c>
      <c r="I57" s="125">
        <f t="shared" si="10"/>
        <v>87817.014218836397</v>
      </c>
      <c r="J57" s="125">
        <f>I57*References!$D$60</f>
        <v>50.93386824692486</v>
      </c>
      <c r="K57" s="125">
        <f>J57/References!$H$63</f>
        <v>51.978638888585429</v>
      </c>
      <c r="L57" s="126">
        <f t="shared" si="11"/>
        <v>0.14988789877872222</v>
      </c>
      <c r="M57" s="78">
        <f>+'Rate Schedule G-48'!$C$46</f>
        <v>32.19</v>
      </c>
      <c r="N57" s="80">
        <f t="shared" si="12"/>
        <v>32.33988789877872</v>
      </c>
      <c r="P57" s="80">
        <f t="shared" si="19"/>
        <v>51.978638888585429</v>
      </c>
      <c r="Q57" s="128">
        <f t="shared" si="14"/>
        <v>11162.958447323887</v>
      </c>
      <c r="R57" s="128">
        <f t="shared" si="15"/>
        <v>11214.937086212472</v>
      </c>
      <c r="S57" s="128">
        <f t="shared" si="16"/>
        <v>51.97863888858592</v>
      </c>
      <c r="T57" s="80">
        <f t="shared" si="17"/>
        <v>-4.9027448767446913E-13</v>
      </c>
      <c r="V57" s="148"/>
      <c r="W57" s="80"/>
    </row>
    <row r="58" spans="1:23" s="68" customFormat="1" ht="12" customHeight="1">
      <c r="A58" s="1" t="s">
        <v>74</v>
      </c>
      <c r="B58" s="79">
        <f>+' Staff G-48 Price Out'!N73</f>
        <v>13453.59</v>
      </c>
      <c r="D58" s="79">
        <f>+' Staff G-48 Price Out'!R73*References!$H$22</f>
        <v>255.51508836150572</v>
      </c>
      <c r="E58" s="148">
        <f>+References!C11</f>
        <v>2.1666666666666665</v>
      </c>
      <c r="F58" s="81">
        <f t="shared" si="8"/>
        <v>553.61602478326233</v>
      </c>
      <c r="G58" s="68">
        <f>+References!C33</f>
        <v>324</v>
      </c>
      <c r="H58" s="125">
        <f t="shared" si="9"/>
        <v>179371.59202977701</v>
      </c>
      <c r="I58" s="125">
        <f t="shared" si="10"/>
        <v>140193.85827073146</v>
      </c>
      <c r="J58" s="125">
        <f>I58*References!$D$60</f>
        <v>81.312437797023861</v>
      </c>
      <c r="K58" s="125">
        <f>J58/References!$H$63</f>
        <v>82.980342684992209</v>
      </c>
      <c r="L58" s="126">
        <f t="shared" si="11"/>
        <v>0.14988789877872224</v>
      </c>
      <c r="M58" s="78">
        <f>+'Rate Schedule G-48'!$C$46</f>
        <v>32.19</v>
      </c>
      <c r="N58" s="80">
        <f t="shared" si="12"/>
        <v>32.33988789877872</v>
      </c>
      <c r="P58" s="80">
        <f t="shared" si="19"/>
        <v>82.980342684992223</v>
      </c>
      <c r="Q58" s="128">
        <f t="shared" si="14"/>
        <v>17820.899837773213</v>
      </c>
      <c r="R58" s="128">
        <f t="shared" si="15"/>
        <v>17903.880180458207</v>
      </c>
      <c r="S58" s="128">
        <f t="shared" si="16"/>
        <v>82.980342684993957</v>
      </c>
      <c r="T58" s="80">
        <f t="shared" si="17"/>
        <v>-1.7337242752546445E-12</v>
      </c>
      <c r="V58" s="148"/>
      <c r="W58" s="80"/>
    </row>
    <row r="59" spans="1:23" s="68" customFormat="1" ht="12" customHeight="1">
      <c r="A59" s="1" t="s">
        <v>75</v>
      </c>
      <c r="B59" s="79">
        <f>+' Staff G-48 Price Out'!N74</f>
        <v>4650.83</v>
      </c>
      <c r="D59" s="79">
        <f>+' Staff G-48 Price Out'!R74*References!$H$22</f>
        <v>27.011941748412312</v>
      </c>
      <c r="E59" s="148">
        <f>+References!C10</f>
        <v>4.333333333333333</v>
      </c>
      <c r="F59" s="81">
        <f t="shared" si="8"/>
        <v>117.05174757645334</v>
      </c>
      <c r="G59" s="68">
        <f>+References!C35</f>
        <v>613</v>
      </c>
      <c r="H59" s="125">
        <f t="shared" si="9"/>
        <v>71752.7212643659</v>
      </c>
      <c r="I59" s="125">
        <f t="shared" si="10"/>
        <v>56080.735648518392</v>
      </c>
      <c r="J59" s="125">
        <f>I59*References!$D$60</f>
        <v>32.526826676140509</v>
      </c>
      <c r="K59" s="125">
        <f>J59/References!$H$63</f>
        <v>33.194026611022053</v>
      </c>
      <c r="L59" s="126">
        <f t="shared" si="11"/>
        <v>0.28358420355357011</v>
      </c>
      <c r="M59" s="78">
        <f>+'Rate Schedule G-48'!$C$48</f>
        <v>54.16</v>
      </c>
      <c r="N59" s="80">
        <f t="shared" si="12"/>
        <v>54.44358420355357</v>
      </c>
      <c r="P59" s="80">
        <f t="shared" si="19"/>
        <v>33.194026611022053</v>
      </c>
      <c r="Q59" s="128">
        <f t="shared" si="14"/>
        <v>6339.5226487407126</v>
      </c>
      <c r="R59" s="128">
        <f t="shared" si="15"/>
        <v>6372.7166753517349</v>
      </c>
      <c r="S59" s="128">
        <f t="shared" si="16"/>
        <v>33.194026611022309</v>
      </c>
      <c r="T59" s="80">
        <f t="shared" si="17"/>
        <v>-2.5579538487363607E-13</v>
      </c>
      <c r="V59" s="148"/>
      <c r="W59" s="80"/>
    </row>
    <row r="60" spans="1:23" s="68" customFormat="1" ht="12" customHeight="1">
      <c r="A60" s="1" t="s">
        <v>76</v>
      </c>
      <c r="B60" s="79">
        <f>+' Staff G-48 Price Out'!N75</f>
        <v>99.26</v>
      </c>
      <c r="D60" s="79">
        <v>0.1</v>
      </c>
      <c r="E60" s="148">
        <f>+References!C11</f>
        <v>2.1666666666666665</v>
      </c>
      <c r="F60" s="81">
        <f t="shared" si="8"/>
        <v>0.21666666666666667</v>
      </c>
      <c r="G60" s="68">
        <f>+References!C35</f>
        <v>613</v>
      </c>
      <c r="H60" s="125">
        <f t="shared" si="9"/>
        <v>132.81666666666666</v>
      </c>
      <c r="I60" s="125">
        <f t="shared" si="10"/>
        <v>103.80730154620349</v>
      </c>
      <c r="J60" s="125">
        <f>I60*References!$D$60</f>
        <v>6.0208234896797733E-2</v>
      </c>
      <c r="K60" s="125">
        <f>J60/References!$H$63</f>
        <v>6.144324410327353E-2</v>
      </c>
      <c r="L60" s="126">
        <f t="shared" si="11"/>
        <v>0.28358420355357011</v>
      </c>
      <c r="M60" s="78">
        <f>+'Rate Schedule G-48'!$C$48</f>
        <v>54.16</v>
      </c>
      <c r="N60" s="80">
        <f t="shared" si="12"/>
        <v>54.44358420355357</v>
      </c>
      <c r="P60" s="80">
        <f t="shared" si="19"/>
        <v>6.1443244103273523E-2</v>
      </c>
      <c r="Q60" s="128">
        <f t="shared" si="14"/>
        <v>11.734666666666666</v>
      </c>
      <c r="R60" s="128">
        <f t="shared" si="15"/>
        <v>11.796109910769941</v>
      </c>
      <c r="S60" s="128">
        <f t="shared" si="16"/>
        <v>6.1443244103275063E-2</v>
      </c>
      <c r="T60" s="80">
        <f t="shared" si="17"/>
        <v>-1.5404344466674047E-15</v>
      </c>
      <c r="V60" s="148"/>
      <c r="W60" s="80"/>
    </row>
    <row r="61" spans="1:23" s="68" customFormat="1" ht="12" customHeight="1">
      <c r="A61" s="1" t="s">
        <v>77</v>
      </c>
      <c r="B61" s="79">
        <f>+' Staff G-48 Price Out'!N76</f>
        <v>9310.2999999999993</v>
      </c>
      <c r="D61" s="79">
        <f>+' Staff G-48 Price Out'!R76*References!$H$22</f>
        <v>622.72057553956824</v>
      </c>
      <c r="E61" s="148">
        <f>E36</f>
        <v>4.333333333333333</v>
      </c>
      <c r="F61" s="81">
        <f t="shared" si="8"/>
        <v>2698.455827338129</v>
      </c>
      <c r="G61" s="68">
        <f>+References!C29</f>
        <v>29</v>
      </c>
      <c r="H61" s="125">
        <f t="shared" si="9"/>
        <v>78255.218992805734</v>
      </c>
      <c r="I61" s="125">
        <f t="shared" si="10"/>
        <v>61162.979913793766</v>
      </c>
      <c r="J61" s="125">
        <f>I61*References!$D$60</f>
        <v>35.474528350000213</v>
      </c>
      <c r="K61" s="125">
        <f>J61/References!$H$63</f>
        <v>36.202192417593849</v>
      </c>
      <c r="L61" s="126">
        <f t="shared" ref="L61" si="20">K61/F61*E61</f>
        <v>5.813553275676777E-2</v>
      </c>
      <c r="M61" s="78">
        <f>+'Rate Schedule G-48'!C67</f>
        <v>19.100000000000001</v>
      </c>
      <c r="N61" s="80">
        <f t="shared" si="12"/>
        <v>19.15813553275677</v>
      </c>
      <c r="P61" s="80">
        <f>L61*D61</f>
        <v>36.202192417593849</v>
      </c>
      <c r="Q61" s="128">
        <f>M61*D61</f>
        <v>11893.962992805755</v>
      </c>
      <c r="R61" s="128">
        <f>N61*D61</f>
        <v>11930.165185223348</v>
      </c>
      <c r="S61" s="128">
        <f t="shared" si="16"/>
        <v>36.202192417593324</v>
      </c>
      <c r="T61" s="80">
        <f t="shared" si="17"/>
        <v>5.2580162446247414E-13</v>
      </c>
      <c r="V61" s="148"/>
      <c r="W61" s="80"/>
    </row>
    <row r="62" spans="1:23" s="68" customFormat="1" ht="12" customHeight="1">
      <c r="A62" s="1" t="s">
        <v>24</v>
      </c>
      <c r="B62" s="79">
        <f>+' Staff G-48 Price Out'!N77</f>
        <v>2122.09</v>
      </c>
      <c r="D62" s="79">
        <f>+' Staff G-48 Price Out'!R77*References!$H$22</f>
        <v>77.866123627365056</v>
      </c>
      <c r="E62" s="148">
        <f>+References!$C$10</f>
        <v>4.333333333333333</v>
      </c>
      <c r="F62" s="81">
        <f t="shared" si="8"/>
        <v>337.41986905191521</v>
      </c>
      <c r="G62" s="68">
        <f>+References!C29*2</f>
        <v>58</v>
      </c>
      <c r="H62" s="125">
        <f t="shared" si="9"/>
        <v>19570.352405011083</v>
      </c>
      <c r="I62" s="125">
        <f t="shared" si="10"/>
        <v>15295.862518301825</v>
      </c>
      <c r="J62" s="125">
        <f>I62*References!$D$60</f>
        <v>8.8716002606150148</v>
      </c>
      <c r="K62" s="125">
        <f>J62/References!$H$63</f>
        <v>9.0535771615624192</v>
      </c>
      <c r="L62" s="126">
        <f>K62/D62</f>
        <v>0.11627106551353553</v>
      </c>
      <c r="M62" s="78">
        <f>'Rate Schedule G-48'!$C$65*References!$C$10*2</f>
        <v>38.22</v>
      </c>
      <c r="N62" s="80">
        <f t="shared" si="12"/>
        <v>38.336271065513536</v>
      </c>
      <c r="P62" s="80">
        <f>L62*D62</f>
        <v>9.0535771615624192</v>
      </c>
      <c r="Q62" s="128">
        <f>M62*D62</f>
        <v>2976.0432450378921</v>
      </c>
      <c r="R62" s="128">
        <f>N62*D62</f>
        <v>2985.0968221994549</v>
      </c>
      <c r="S62" s="128">
        <f t="shared" si="16"/>
        <v>9.0535771615627709</v>
      </c>
      <c r="T62" s="80">
        <f t="shared" si="17"/>
        <v>-3.5171865420124959E-13</v>
      </c>
      <c r="V62" s="148"/>
      <c r="W62" s="80"/>
    </row>
    <row r="63" spans="1:23" s="68" customFormat="1" ht="12" customHeight="1">
      <c r="A63" s="1" t="s">
        <v>25</v>
      </c>
      <c r="B63" s="79">
        <f>+' Staff G-48 Price Out'!N78</f>
        <v>505.20999999999992</v>
      </c>
      <c r="D63" s="79">
        <f>+' Staff G-48 Price Out'!R78*References!$H$22</f>
        <v>12</v>
      </c>
      <c r="E63" s="148">
        <f>+References!$C$10</f>
        <v>4.333333333333333</v>
      </c>
      <c r="F63" s="81">
        <f t="shared" si="8"/>
        <v>52</v>
      </c>
      <c r="G63" s="68">
        <f>+References!C29*3</f>
        <v>87</v>
      </c>
      <c r="H63" s="125">
        <f t="shared" si="9"/>
        <v>4524</v>
      </c>
      <c r="I63" s="125">
        <f t="shared" si="10"/>
        <v>3535.8832892083669</v>
      </c>
      <c r="J63" s="125">
        <f>I63*References!$D$60</f>
        <v>2.0508123077408427</v>
      </c>
      <c r="K63" s="125">
        <f>J63/References!$H$63</f>
        <v>2.0928791792436399</v>
      </c>
      <c r="L63" s="126">
        <f t="shared" ref="L63:L64" si="21">K63/D63</f>
        <v>0.17440659827030333</v>
      </c>
      <c r="M63" s="78">
        <f>'Rate Schedule G-48'!$C$65*References!$C$10*3</f>
        <v>57.33</v>
      </c>
      <c r="N63" s="80">
        <f t="shared" si="12"/>
        <v>57.5044065982703</v>
      </c>
      <c r="P63" s="80">
        <f>L63*D63</f>
        <v>2.0928791792436399</v>
      </c>
      <c r="Q63" s="128">
        <f t="shared" ref="Q63:Q64" si="22">M63*D63</f>
        <v>687.96</v>
      </c>
      <c r="R63" s="128">
        <f t="shared" ref="R63:R64" si="23">N63*D63</f>
        <v>690.05287917924363</v>
      </c>
      <c r="S63" s="128">
        <f t="shared" si="16"/>
        <v>2.0928791792435959</v>
      </c>
      <c r="T63" s="80">
        <f t="shared" si="17"/>
        <v>4.3964831775156199E-14</v>
      </c>
      <c r="V63" s="148"/>
      <c r="W63" s="80"/>
    </row>
    <row r="64" spans="1:23" s="68" customFormat="1" ht="12" customHeight="1">
      <c r="A64" s="1" t="s">
        <v>79</v>
      </c>
      <c r="B64" s="79">
        <f>+' Staff G-48 Price Out'!N79</f>
        <v>673.57999999999993</v>
      </c>
      <c r="D64" s="79">
        <f>+' Staff G-48 Price Out'!R79*References!$H$22</f>
        <v>12</v>
      </c>
      <c r="E64" s="148">
        <f>+References!$C$10</f>
        <v>4.333333333333333</v>
      </c>
      <c r="F64" s="81">
        <f t="shared" si="8"/>
        <v>52</v>
      </c>
      <c r="G64" s="68">
        <f>+References!C29*4</f>
        <v>116</v>
      </c>
      <c r="H64" s="125">
        <f t="shared" si="9"/>
        <v>6032</v>
      </c>
      <c r="I64" s="125">
        <f t="shared" si="10"/>
        <v>4714.5110522778223</v>
      </c>
      <c r="J64" s="125">
        <f>I64*References!$D$60</f>
        <v>2.7344164103211237</v>
      </c>
      <c r="K64" s="125">
        <f>J64/References!$H$63</f>
        <v>2.7905055723248533</v>
      </c>
      <c r="L64" s="126">
        <f t="shared" si="21"/>
        <v>0.23254213102707111</v>
      </c>
      <c r="M64" s="78">
        <f>'Rate Schedule G-48'!$C$65*References!$C$10*4</f>
        <v>76.44</v>
      </c>
      <c r="N64" s="80">
        <f t="shared" si="12"/>
        <v>76.672542131027072</v>
      </c>
      <c r="P64" s="80">
        <f>L64*D64</f>
        <v>2.7905055723248533</v>
      </c>
      <c r="Q64" s="128">
        <f t="shared" si="22"/>
        <v>917.28</v>
      </c>
      <c r="R64" s="128">
        <f t="shared" si="23"/>
        <v>920.07050557232492</v>
      </c>
      <c r="S64" s="128">
        <f t="shared" si="16"/>
        <v>2.7905055723249461</v>
      </c>
      <c r="T64" s="80">
        <f t="shared" si="17"/>
        <v>-9.2814644858663087E-14</v>
      </c>
      <c r="V64" s="148"/>
      <c r="W64" s="80"/>
    </row>
    <row r="65" spans="1:23" s="68" customFormat="1" ht="12.75" customHeight="1">
      <c r="A65" s="1" t="s">
        <v>29</v>
      </c>
      <c r="B65" s="79">
        <f>+' Staff G-48 Price Out'!N80</f>
        <v>41.7</v>
      </c>
      <c r="D65" s="79">
        <f>+' Staff G-48 Price Out'!R80*References!$H$22</f>
        <v>7.1999999999999993</v>
      </c>
      <c r="E65" s="148">
        <f>+References!C11</f>
        <v>2.1666666666666665</v>
      </c>
      <c r="F65" s="81">
        <f t="shared" si="8"/>
        <v>15.599999999999998</v>
      </c>
      <c r="G65" s="68">
        <f>+References!C29</f>
        <v>29</v>
      </c>
      <c r="H65" s="125">
        <f t="shared" si="9"/>
        <v>452.39999999999992</v>
      </c>
      <c r="I65" s="125">
        <f t="shared" si="10"/>
        <v>353.5883289208366</v>
      </c>
      <c r="J65" s="125">
        <f>I65*References!$D$60</f>
        <v>0.20508123077408424</v>
      </c>
      <c r="K65" s="125">
        <f>J65/References!$H$63</f>
        <v>0.20928791792436396</v>
      </c>
      <c r="L65" s="126">
        <f>L66</f>
        <v>5.813553275676777E-2</v>
      </c>
      <c r="M65" s="78">
        <f>+'Rate Schedule G-48'!C67</f>
        <v>19.100000000000001</v>
      </c>
      <c r="N65" s="80">
        <f t="shared" si="12"/>
        <v>19.15813553275677</v>
      </c>
      <c r="P65" s="80">
        <f t="shared" ref="P65" si="24">L65*D65*E65</f>
        <v>0.90691431100557707</v>
      </c>
      <c r="Q65" s="128">
        <f t="shared" si="14"/>
        <v>297.95999999999998</v>
      </c>
      <c r="R65" s="128">
        <f t="shared" si="15"/>
        <v>298.86691431100559</v>
      </c>
      <c r="S65" s="128">
        <f t="shared" si="16"/>
        <v>0.90691431100560749</v>
      </c>
      <c r="T65" s="80">
        <f t="shared" si="17"/>
        <v>-3.0420110874729289E-14</v>
      </c>
      <c r="V65" s="148"/>
      <c r="W65" s="80"/>
    </row>
    <row r="66" spans="1:23" s="68" customFormat="1" ht="12" customHeight="1">
      <c r="A66" s="1" t="s">
        <v>80</v>
      </c>
      <c r="B66" s="79">
        <f>+' Staff G-48 Price Out'!N81</f>
        <v>0</v>
      </c>
      <c r="D66" s="79">
        <v>0.1</v>
      </c>
      <c r="E66" s="148">
        <f>References!C10</f>
        <v>4.333333333333333</v>
      </c>
      <c r="F66" s="81">
        <f t="shared" si="8"/>
        <v>0.43333333333333335</v>
      </c>
      <c r="G66" s="68">
        <f>+References!C29</f>
        <v>29</v>
      </c>
      <c r="H66" s="125">
        <f t="shared" si="9"/>
        <v>12.566666666666666</v>
      </c>
      <c r="I66" s="125">
        <f t="shared" si="10"/>
        <v>9.8218980255787969</v>
      </c>
      <c r="J66" s="125">
        <f>I66*References!$D$60</f>
        <v>5.6967008548356743E-3</v>
      </c>
      <c r="K66" s="125">
        <f>J66/References!$H$63</f>
        <v>5.8135532756767774E-3</v>
      </c>
      <c r="L66" s="126">
        <f>K66/F66*E66</f>
        <v>5.813553275676777E-2</v>
      </c>
      <c r="M66" s="78">
        <f>+'Rate Schedule G-48'!C67</f>
        <v>19.100000000000001</v>
      </c>
      <c r="N66" s="80">
        <f t="shared" si="12"/>
        <v>19.15813553275677</v>
      </c>
      <c r="P66" s="80">
        <f>L66*D66*E66</f>
        <v>2.5192064194599368E-2</v>
      </c>
      <c r="Q66" s="128">
        <f t="shared" si="14"/>
        <v>8.2766666666666673</v>
      </c>
      <c r="R66" s="128">
        <f t="shared" si="15"/>
        <v>8.3018587308612677</v>
      </c>
      <c r="S66" s="128">
        <f t="shared" si="16"/>
        <v>2.5192064194600405E-2</v>
      </c>
      <c r="T66" s="80">
        <f t="shared" si="17"/>
        <v>-1.0373646386341306E-15</v>
      </c>
      <c r="V66" s="148"/>
      <c r="W66" s="80"/>
    </row>
    <row r="67" spans="1:23" s="68" customFormat="1" ht="12" customHeight="1">
      <c r="A67" s="1" t="s">
        <v>81</v>
      </c>
      <c r="B67" s="79">
        <f>+' Staff G-48 Price Out'!N82</f>
        <v>77.400000000000006</v>
      </c>
      <c r="D67" s="79">
        <f>+' Staff G-48 Price Out'!R82*References!$H$22</f>
        <v>9.6000000000000014</v>
      </c>
      <c r="E67" s="148">
        <v>1</v>
      </c>
      <c r="F67" s="81">
        <f t="shared" si="8"/>
        <v>9.6000000000000014</v>
      </c>
      <c r="G67" s="68">
        <f>+References!C23</f>
        <v>40</v>
      </c>
      <c r="H67" s="125">
        <f t="shared" si="9"/>
        <v>384.00000000000006</v>
      </c>
      <c r="I67" s="125">
        <f t="shared" si="10"/>
        <v>300.12802454819035</v>
      </c>
      <c r="J67" s="125">
        <f>I67*References!$D$60</f>
        <v>0.17407425423794956</v>
      </c>
      <c r="K67" s="125">
        <f>J67/References!$H$63</f>
        <v>0.17764491707107824</v>
      </c>
      <c r="L67" s="126">
        <f>L68</f>
        <v>8.0186941733472808E-2</v>
      </c>
      <c r="M67" s="78">
        <f>+'Rate Schedule G-48'!C75</f>
        <v>27.16</v>
      </c>
      <c r="N67" s="80">
        <f t="shared" si="12"/>
        <v>27.240186941733473</v>
      </c>
      <c r="P67" s="80">
        <f>L67*D67*E67</f>
        <v>0.76979464064133907</v>
      </c>
      <c r="Q67" s="128">
        <f t="shared" si="14"/>
        <v>260.73600000000005</v>
      </c>
      <c r="R67" s="128">
        <f t="shared" si="15"/>
        <v>261.5057946406414</v>
      </c>
      <c r="S67" s="128">
        <f t="shared" si="16"/>
        <v>0.76979464064135072</v>
      </c>
      <c r="T67" s="80">
        <f t="shared" si="17"/>
        <v>-1.1657341758564144E-14</v>
      </c>
      <c r="V67" s="148"/>
      <c r="W67" s="80"/>
    </row>
    <row r="68" spans="1:23" s="68" customFormat="1" ht="12" customHeight="1">
      <c r="A68" s="1" t="s">
        <v>82</v>
      </c>
      <c r="B68" s="79">
        <f>+' Staff G-48 Price Out'!N83</f>
        <v>556.98000000000013</v>
      </c>
      <c r="D68" s="79">
        <f>+' Staff G-48 Price Out'!R83*References!$H$22</f>
        <v>21.6</v>
      </c>
      <c r="E68" s="148">
        <f>+References!C10</f>
        <v>4.333333333333333</v>
      </c>
      <c r="F68" s="81">
        <f t="shared" si="8"/>
        <v>93.6</v>
      </c>
      <c r="G68" s="68">
        <f>+References!C23</f>
        <v>40</v>
      </c>
      <c r="H68" s="125">
        <f t="shared" si="9"/>
        <v>3744</v>
      </c>
      <c r="I68" s="125">
        <f t="shared" si="10"/>
        <v>2926.2482393448554</v>
      </c>
      <c r="J68" s="125">
        <f>I68*References!$D$60</f>
        <v>1.6972239788200079</v>
      </c>
      <c r="K68" s="125">
        <f>J68/References!$H$63</f>
        <v>1.7320379414430125</v>
      </c>
      <c r="L68" s="126">
        <f t="shared" ref="L68" si="25">K68/F68*E68</f>
        <v>8.0186941733472808E-2</v>
      </c>
      <c r="M68" s="78">
        <f>+'Rate Schedule G-48'!C75</f>
        <v>27.16</v>
      </c>
      <c r="N68" s="80">
        <f t="shared" si="12"/>
        <v>27.240186941733473</v>
      </c>
      <c r="P68" s="80">
        <f>L68*D68*E68</f>
        <v>7.505497746253055</v>
      </c>
      <c r="Q68" s="128">
        <f t="shared" si="14"/>
        <v>2542.1759999999999</v>
      </c>
      <c r="R68" s="128">
        <f t="shared" si="15"/>
        <v>2549.6814977462527</v>
      </c>
      <c r="S68" s="128">
        <f t="shared" si="16"/>
        <v>7.5054977462527859</v>
      </c>
      <c r="T68" s="80">
        <f t="shared" si="17"/>
        <v>2.6911806116913795E-13</v>
      </c>
      <c r="V68" s="148"/>
      <c r="W68" s="80"/>
    </row>
    <row r="69" spans="1:23" s="68" customFormat="1" ht="12" customHeight="1">
      <c r="A69" s="1" t="s">
        <v>83</v>
      </c>
      <c r="B69" s="79">
        <f>+' Staff G-48 Price Out'!N84</f>
        <v>3375.3399999999997</v>
      </c>
      <c r="D69" s="79">
        <f>+' Staff G-48 Price Out'!R84*References!$H$22</f>
        <v>994.25898617511518</v>
      </c>
      <c r="E69" s="148">
        <f>+References!C12</f>
        <v>1</v>
      </c>
      <c r="F69" s="81">
        <f t="shared" si="8"/>
        <v>994.25898617511518</v>
      </c>
      <c r="G69" s="68">
        <f>+References!C29</f>
        <v>29</v>
      </c>
      <c r="H69" s="125">
        <f t="shared" si="9"/>
        <v>28833.510599078341</v>
      </c>
      <c r="I69" s="125">
        <f t="shared" si="10"/>
        <v>22535.793168986169</v>
      </c>
      <c r="J69" s="125">
        <f>I69*References!$D$60</f>
        <v>13.070760038011915</v>
      </c>
      <c r="K69" s="125">
        <f>J69/References!$H$63</f>
        <v>13.338871352190953</v>
      </c>
      <c r="L69" s="126">
        <f t="shared" ref="L69:L77" si="26">K69/F69</f>
        <v>1.3415892174638717E-2</v>
      </c>
      <c r="M69" s="78">
        <f>+'Rate Schedule G-48'!C66</f>
        <v>4.41</v>
      </c>
      <c r="N69" s="80">
        <f t="shared" si="12"/>
        <v>4.4234158921746385</v>
      </c>
      <c r="P69" s="80">
        <f>L69*D69</f>
        <v>13.338871352190953</v>
      </c>
      <c r="Q69" s="128">
        <f t="shared" si="14"/>
        <v>4384.6821290322578</v>
      </c>
      <c r="R69" s="128">
        <f t="shared" si="15"/>
        <v>4398.0210003844486</v>
      </c>
      <c r="S69" s="128">
        <f t="shared" si="16"/>
        <v>13.338871352190836</v>
      </c>
      <c r="T69" s="80">
        <f t="shared" si="17"/>
        <v>1.1723955140041653E-13</v>
      </c>
      <c r="V69" s="148"/>
      <c r="W69" s="80"/>
    </row>
    <row r="70" spans="1:23" s="68" customFormat="1" ht="11.25" customHeight="1">
      <c r="A70" s="1" t="s">
        <v>34</v>
      </c>
      <c r="B70" s="79">
        <f>+' Staff G-48 Price Out'!N85</f>
        <v>190.2</v>
      </c>
      <c r="D70" s="79">
        <f>+' Staff G-48 Price Out'!R85*References!$H$22</f>
        <v>44.698938053097351</v>
      </c>
      <c r="E70" s="148">
        <f>+References!C12</f>
        <v>1</v>
      </c>
      <c r="F70" s="81">
        <f t="shared" si="8"/>
        <v>44.698938053097351</v>
      </c>
      <c r="G70" s="68">
        <f>+References!C29</f>
        <v>29</v>
      </c>
      <c r="H70" s="125">
        <f t="shared" si="9"/>
        <v>1296.2692035398231</v>
      </c>
      <c r="I70" s="125">
        <f t="shared" si="10"/>
        <v>1013.1424878673519</v>
      </c>
      <c r="J70" s="125">
        <f>I70*References!$D$60</f>
        <v>0.58762264296306121</v>
      </c>
      <c r="K70" s="125">
        <f>J70/References!$H$63</f>
        <v>0.5996761332412095</v>
      </c>
      <c r="L70" s="126">
        <f t="shared" si="26"/>
        <v>1.3415892174638717E-2</v>
      </c>
      <c r="M70" s="78">
        <f>+'Rate Schedule G-48'!C29</f>
        <v>6.16</v>
      </c>
      <c r="N70" s="80">
        <f t="shared" si="12"/>
        <v>6.1734158921746385</v>
      </c>
      <c r="P70" s="80">
        <f>L70*D70</f>
        <v>0.5996761332412095</v>
      </c>
      <c r="Q70" s="128">
        <f t="shared" si="14"/>
        <v>275.34545840707966</v>
      </c>
      <c r="R70" s="128">
        <f t="shared" si="15"/>
        <v>275.94513454032085</v>
      </c>
      <c r="S70" s="128">
        <f t="shared" si="16"/>
        <v>0.59967613324118929</v>
      </c>
      <c r="T70" s="80">
        <f t="shared" si="17"/>
        <v>2.0206059048177849E-14</v>
      </c>
      <c r="V70" s="148"/>
      <c r="W70" s="80"/>
    </row>
    <row r="71" spans="1:23" s="68" customFormat="1" ht="12" customHeight="1">
      <c r="A71" s="1" t="s">
        <v>84</v>
      </c>
      <c r="B71" s="79">
        <f>+' Staff G-48 Price Out'!N86</f>
        <v>544.22</v>
      </c>
      <c r="D71" s="79">
        <f>+' Staff G-48 Price Out'!R86*References!$H$22</f>
        <v>30.032940148536479</v>
      </c>
      <c r="E71" s="148">
        <f>+References!C12</f>
        <v>1</v>
      </c>
      <c r="F71" s="81">
        <f t="shared" si="8"/>
        <v>30.032940148536479</v>
      </c>
      <c r="G71" s="68">
        <f>+References!C31</f>
        <v>175</v>
      </c>
      <c r="H71" s="125">
        <f t="shared" si="9"/>
        <v>5255.7645259938836</v>
      </c>
      <c r="I71" s="125">
        <f t="shared" si="10"/>
        <v>4107.8182934296874</v>
      </c>
      <c r="J71" s="125">
        <f>I71*References!$D$60</f>
        <v>2.3825346101892073</v>
      </c>
      <c r="K71" s="125">
        <f>J71/References!$H$63</f>
        <v>2.4314058681387971</v>
      </c>
      <c r="L71" s="126">
        <f t="shared" si="26"/>
        <v>8.0957970019371578E-2</v>
      </c>
      <c r="M71" s="78">
        <f>+'Rate Schedule G-48'!C51</f>
        <v>23.19</v>
      </c>
      <c r="N71" s="80">
        <f t="shared" si="12"/>
        <v>23.270957970019374</v>
      </c>
      <c r="P71" s="80">
        <f t="shared" ref="P71:P77" si="27">L71*F71</f>
        <v>2.4314058681387971</v>
      </c>
      <c r="Q71" s="128">
        <f t="shared" si="14"/>
        <v>696.46388204456093</v>
      </c>
      <c r="R71" s="128">
        <f t="shared" si="15"/>
        <v>698.89528791269981</v>
      </c>
      <c r="S71" s="128">
        <f t="shared" si="16"/>
        <v>2.4314058681388815</v>
      </c>
      <c r="T71" s="80">
        <f t="shared" si="17"/>
        <v>-8.4376949871511897E-14</v>
      </c>
      <c r="V71" s="148"/>
      <c r="W71" s="80"/>
    </row>
    <row r="72" spans="1:23" s="68" customFormat="1" ht="12" customHeight="1">
      <c r="A72" s="1" t="s">
        <v>85</v>
      </c>
      <c r="B72" s="79">
        <f>+' Staff G-48 Price Out'!N87</f>
        <v>1099.54</v>
      </c>
      <c r="D72" s="79">
        <f>+' Staff G-48 Price Out'!R87*References!$H$22</f>
        <v>43.617319016279872</v>
      </c>
      <c r="E72" s="148">
        <f>+References!C12</f>
        <v>1</v>
      </c>
      <c r="F72" s="81">
        <f t="shared" si="8"/>
        <v>43.617319016279872</v>
      </c>
      <c r="G72" s="68">
        <f>+References!C32</f>
        <v>250</v>
      </c>
      <c r="H72" s="125">
        <f t="shared" si="9"/>
        <v>10904.329754069968</v>
      </c>
      <c r="I72" s="125">
        <f t="shared" si="10"/>
        <v>8522.6430940392529</v>
      </c>
      <c r="J72" s="125">
        <f>I72*References!$D$60</f>
        <v>4.9431329945427427</v>
      </c>
      <c r="K72" s="125">
        <f>J72/References!$H$63</f>
        <v>5.0445280074933594</v>
      </c>
      <c r="L72" s="126">
        <f t="shared" si="26"/>
        <v>0.11565424288481653</v>
      </c>
      <c r="M72" s="78">
        <f>+'Rate Schedule G-48'!C52</f>
        <v>34.119999999999997</v>
      </c>
      <c r="N72" s="80">
        <f t="shared" si="12"/>
        <v>34.235654242884813</v>
      </c>
      <c r="P72" s="80">
        <f t="shared" si="27"/>
        <v>5.0445280074933594</v>
      </c>
      <c r="Q72" s="128">
        <f t="shared" si="14"/>
        <v>1488.222924835469</v>
      </c>
      <c r="R72" s="128">
        <f t="shared" si="15"/>
        <v>1493.2674528429625</v>
      </c>
      <c r="S72" s="128">
        <f t="shared" si="16"/>
        <v>5.0445280074934544</v>
      </c>
      <c r="T72" s="80">
        <f t="shared" si="17"/>
        <v>-9.50350909079134E-14</v>
      </c>
      <c r="V72" s="148"/>
      <c r="W72" s="80"/>
    </row>
    <row r="73" spans="1:23" s="68" customFormat="1" ht="12" customHeight="1">
      <c r="A73" s="1" t="s">
        <v>86</v>
      </c>
      <c r="B73" s="79">
        <f>+' Staff G-48 Price Out'!N88</f>
        <v>6189.33</v>
      </c>
      <c r="D73" s="79">
        <f>+' Staff G-48 Price Out'!R88*References!$H$22</f>
        <v>179.85674150109935</v>
      </c>
      <c r="E73" s="148">
        <f>+References!C12</f>
        <v>1</v>
      </c>
      <c r="F73" s="81">
        <f t="shared" si="8"/>
        <v>179.85674150109935</v>
      </c>
      <c r="G73" s="68">
        <f>+References!C33</f>
        <v>324</v>
      </c>
      <c r="H73" s="125">
        <f t="shared" si="9"/>
        <v>58273.584246356186</v>
      </c>
      <c r="I73" s="125">
        <f t="shared" si="10"/>
        <v>45545.665945837041</v>
      </c>
      <c r="J73" s="125">
        <f>I73*References!$D$60</f>
        <v>26.416486248585354</v>
      </c>
      <c r="K73" s="125">
        <f>J73/References!$H$63</f>
        <v>26.958349064787583</v>
      </c>
      <c r="L73" s="126">
        <f t="shared" si="26"/>
        <v>0.14988789877872219</v>
      </c>
      <c r="M73" s="78">
        <f>+'Rate Schedule G-48'!C53</f>
        <v>44.92</v>
      </c>
      <c r="N73" s="80">
        <f t="shared" si="12"/>
        <v>45.069887898778724</v>
      </c>
      <c r="P73" s="80">
        <f t="shared" si="27"/>
        <v>26.958349064787583</v>
      </c>
      <c r="Q73" s="128">
        <f t="shared" si="14"/>
        <v>8079.1648282293827</v>
      </c>
      <c r="R73" s="128">
        <f t="shared" si="15"/>
        <v>8106.123177294171</v>
      </c>
      <c r="S73" s="128">
        <f t="shared" si="16"/>
        <v>26.958349064788308</v>
      </c>
      <c r="T73" s="80">
        <f t="shared" si="17"/>
        <v>-7.2475359047530219E-13</v>
      </c>
      <c r="V73" s="148"/>
      <c r="W73" s="80"/>
    </row>
    <row r="74" spans="1:23" s="68" customFormat="1" ht="12" customHeight="1">
      <c r="A74" s="1" t="s">
        <v>87</v>
      </c>
      <c r="B74" s="79">
        <f>+' Staff G-48 Price Out'!N89</f>
        <v>48.7</v>
      </c>
      <c r="D74" s="79">
        <f>+' Staff G-48 Price Out'!R89*References!$H$22</f>
        <v>4.8000000000000007</v>
      </c>
      <c r="E74" s="148">
        <f>+References!C12</f>
        <v>1</v>
      </c>
      <c r="F74" s="81">
        <f t="shared" si="8"/>
        <v>4.8000000000000007</v>
      </c>
      <c r="G74" s="68">
        <f>+References!C32</f>
        <v>250</v>
      </c>
      <c r="H74" s="125">
        <f t="shared" si="9"/>
        <v>1200.0000000000002</v>
      </c>
      <c r="I74" s="125">
        <f t="shared" si="10"/>
        <v>937.90007671309479</v>
      </c>
      <c r="J74" s="125">
        <f>I74*References!$D$60</f>
        <v>0.54398204449359233</v>
      </c>
      <c r="K74" s="125">
        <f>J74/References!$H$63</f>
        <v>0.55514036584711945</v>
      </c>
      <c r="L74" s="126">
        <f t="shared" si="26"/>
        <v>0.11565424288481653</v>
      </c>
      <c r="M74" s="78">
        <f>+'Rate Schedule G-48'!C59</f>
        <v>34.130000000000003</v>
      </c>
      <c r="N74" s="80">
        <f t="shared" si="12"/>
        <v>34.245654242884818</v>
      </c>
      <c r="P74" s="80">
        <f t="shared" si="27"/>
        <v>0.55514036584711945</v>
      </c>
      <c r="Q74" s="128">
        <f t="shared" si="14"/>
        <v>163.82400000000004</v>
      </c>
      <c r="R74" s="128">
        <f t="shared" si="15"/>
        <v>164.37914036584715</v>
      </c>
      <c r="S74" s="128">
        <f t="shared" si="16"/>
        <v>0.5551403658471088</v>
      </c>
      <c r="T74" s="80">
        <f t="shared" si="17"/>
        <v>1.0658141036401503E-14</v>
      </c>
      <c r="V74" s="148"/>
      <c r="W74" s="80"/>
    </row>
    <row r="75" spans="1:23" s="68" customFormat="1" ht="12" customHeight="1">
      <c r="A75" s="1" t="s">
        <v>88</v>
      </c>
      <c r="B75" s="79">
        <f>+' Staff G-48 Price Out'!N90</f>
        <v>315.84000000000003</v>
      </c>
      <c r="D75" s="79">
        <f>+' Staff G-48 Price Out'!R90*References!$H$22</f>
        <v>19.021276595744681</v>
      </c>
      <c r="E75" s="148">
        <f>+References!C12</f>
        <v>1</v>
      </c>
      <c r="F75" s="81">
        <f t="shared" si="8"/>
        <v>19.021276595744681</v>
      </c>
      <c r="G75" s="68">
        <f>+References!C31</f>
        <v>175</v>
      </c>
      <c r="H75" s="125">
        <f t="shared" si="9"/>
        <v>3328.7234042553191</v>
      </c>
      <c r="I75" s="125">
        <f t="shared" si="10"/>
        <v>2601.6749468397811</v>
      </c>
      <c r="J75" s="125">
        <f>I75*References!$D$60</f>
        <v>1.5089714691670657</v>
      </c>
      <c r="K75" s="125">
        <f>J75/References!$H$63</f>
        <v>1.5399239403684719</v>
      </c>
      <c r="L75" s="126">
        <f t="shared" si="26"/>
        <v>8.0957970019371564E-2</v>
      </c>
      <c r="M75" s="78">
        <f>+'Rate Schedule G-48'!C58</f>
        <v>23.2</v>
      </c>
      <c r="N75" s="80">
        <f t="shared" si="12"/>
        <v>23.280957970019372</v>
      </c>
      <c r="P75" s="80">
        <f t="shared" si="27"/>
        <v>1.5399239403684719</v>
      </c>
      <c r="Q75" s="128">
        <f t="shared" si="14"/>
        <v>441.29361702127659</v>
      </c>
      <c r="R75" s="128">
        <f t="shared" si="15"/>
        <v>442.8335409616451</v>
      </c>
      <c r="S75" s="128">
        <f t="shared" si="16"/>
        <v>1.5399239403685101</v>
      </c>
      <c r="T75" s="80">
        <f t="shared" si="17"/>
        <v>-3.8191672047105385E-14</v>
      </c>
      <c r="V75" s="148"/>
      <c r="W75" s="80"/>
    </row>
    <row r="76" spans="1:23" s="68" customFormat="1" ht="12" customHeight="1">
      <c r="A76" s="1" t="s">
        <v>89</v>
      </c>
      <c r="B76" s="79">
        <f>+' Staff G-48 Price Out'!N91</f>
        <v>27.950000000000003</v>
      </c>
      <c r="D76" s="79">
        <f>+' Staff G-48 Price Out'!R91*References!$H$22</f>
        <v>2.0864696734059098</v>
      </c>
      <c r="E76" s="148">
        <f>+References!C12</f>
        <v>1</v>
      </c>
      <c r="F76" s="81">
        <f t="shared" si="8"/>
        <v>2.0864696734059098</v>
      </c>
      <c r="G76" s="68">
        <f>+References!C33</f>
        <v>324</v>
      </c>
      <c r="H76" s="125">
        <f t="shared" si="9"/>
        <v>676.01617418351475</v>
      </c>
      <c r="I76" s="125">
        <f t="shared" si="10"/>
        <v>528.363018021676</v>
      </c>
      <c r="J76" s="125">
        <f>I76*References!$D$60</f>
        <v>0.30645055045257058</v>
      </c>
      <c r="K76" s="125">
        <f>J76/References!$H$63</f>
        <v>0.31273655521233856</v>
      </c>
      <c r="L76" s="126">
        <f t="shared" si="26"/>
        <v>0.14988789877872219</v>
      </c>
      <c r="M76" s="78">
        <f>+'Rate Schedule G-48'!C60</f>
        <v>44.93</v>
      </c>
      <c r="N76" s="80">
        <f t="shared" si="12"/>
        <v>45.079887898778722</v>
      </c>
      <c r="P76" s="80">
        <f t="shared" si="27"/>
        <v>0.31273655521233856</v>
      </c>
      <c r="Q76" s="128">
        <f t="shared" si="14"/>
        <v>93.745082426127524</v>
      </c>
      <c r="R76" s="128">
        <f t="shared" si="15"/>
        <v>94.057818981339864</v>
      </c>
      <c r="S76" s="128">
        <f t="shared" si="16"/>
        <v>0.31273655521233934</v>
      </c>
      <c r="T76" s="80">
        <f t="shared" si="17"/>
        <v>-7.7715611723760958E-16</v>
      </c>
      <c r="V76" s="148"/>
      <c r="W76" s="80"/>
    </row>
    <row r="77" spans="1:23" s="68" customFormat="1" ht="12" customHeight="1">
      <c r="A77" s="1" t="s">
        <v>90</v>
      </c>
      <c r="B77" s="79">
        <f>+' Staff G-48 Price Out'!N92</f>
        <v>133.72999999999999</v>
      </c>
      <c r="D77" s="79">
        <f>+' Staff G-48 Price Out'!R92*References!$H$22</f>
        <v>10.581691907012633</v>
      </c>
      <c r="E77" s="148">
        <f>+References!C12</f>
        <v>1</v>
      </c>
      <c r="F77" s="81">
        <f t="shared" si="8"/>
        <v>10.581691907012633</v>
      </c>
      <c r="G77" s="68">
        <f>+References!C30</f>
        <v>125</v>
      </c>
      <c r="H77" s="125">
        <f t="shared" si="9"/>
        <v>1322.7114883765792</v>
      </c>
      <c r="I77" s="125">
        <f t="shared" si="10"/>
        <v>1033.8093386814044</v>
      </c>
      <c r="J77" s="125">
        <f>I77*References!$D$60</f>
        <v>0.5996094164352116</v>
      </c>
      <c r="K77" s="125">
        <f>J77/References!$H$63</f>
        <v>0.61190878297296825</v>
      </c>
      <c r="L77" s="126">
        <f t="shared" si="26"/>
        <v>5.7827121442408265E-2</v>
      </c>
      <c r="M77" s="78">
        <f>+'Rate Schedule G-48'!C32</f>
        <v>17.68</v>
      </c>
      <c r="N77" s="80">
        <f t="shared" si="12"/>
        <v>17.737827121442407</v>
      </c>
      <c r="P77" s="80">
        <f t="shared" si="27"/>
        <v>0.61190878297296825</v>
      </c>
      <c r="Q77" s="128">
        <f t="shared" si="14"/>
        <v>187.08431291598336</v>
      </c>
      <c r="R77" s="128">
        <f t="shared" si="15"/>
        <v>187.69622169895632</v>
      </c>
      <c r="S77" s="128">
        <f t="shared" si="16"/>
        <v>0.61190878297296081</v>
      </c>
      <c r="T77" s="80">
        <f t="shared" si="17"/>
        <v>7.4384942649885488E-15</v>
      </c>
      <c r="V77" s="148"/>
      <c r="W77" s="80"/>
    </row>
    <row r="78" spans="1:23" s="68" customFormat="1" ht="12" customHeight="1">
      <c r="A78" s="82"/>
      <c r="B78" s="80"/>
      <c r="F78" s="69"/>
      <c r="M78" s="78"/>
    </row>
    <row r="79" spans="1:23" s="92" customFormat="1" ht="12" customHeight="1" thickBot="1">
      <c r="A79" s="84" t="s">
        <v>114</v>
      </c>
      <c r="B79" s="86">
        <f>SUM(B36:B78)</f>
        <v>293911.6700000001</v>
      </c>
      <c r="D79" s="93">
        <f>SUM(D36:D78)</f>
        <v>4392.3030578390008</v>
      </c>
      <c r="E79" s="93"/>
      <c r="F79" s="93">
        <f>SUM(F36:F78)</f>
        <v>16074.510489711389</v>
      </c>
      <c r="H79" s="93">
        <f>SUM(H36:H78)</f>
        <v>3564644.4860481601</v>
      </c>
      <c r="I79" s="93">
        <f>SUM(I36:I78)</f>
        <v>2786066.9474328998</v>
      </c>
      <c r="J79" s="93">
        <f>SUM(J36:J78)</f>
        <v>1615.9188295110741</v>
      </c>
      <c r="K79" s="93">
        <f>SUM(K36:K78)</f>
        <v>1649.065036749744</v>
      </c>
      <c r="M79" s="91"/>
      <c r="P79" s="133">
        <f>SUM(P36:P78)</f>
        <v>1656.1476511821245</v>
      </c>
      <c r="Q79" s="93">
        <f>SUM(Q36:Q78)</f>
        <v>353771.81618959917</v>
      </c>
      <c r="R79" s="93">
        <f>SUM(R36:R78)</f>
        <v>355427.96384078125</v>
      </c>
      <c r="S79" s="93">
        <f>SUM(S36:S78)</f>
        <v>1656.147651182135</v>
      </c>
    </row>
    <row r="80" spans="1:23" s="68" customFormat="1" ht="12" customHeight="1">
      <c r="A80" s="95"/>
      <c r="B80" s="80"/>
      <c r="F80" s="81">
        <f>F29+F79</f>
        <v>97006.409061959959</v>
      </c>
      <c r="G80" s="68" t="s">
        <v>115</v>
      </c>
      <c r="H80" s="134">
        <f>H29+H79</f>
        <v>6780350.4601155557</v>
      </c>
      <c r="I80" s="134">
        <f>I29+I79</f>
        <v>5299409.3472367059</v>
      </c>
      <c r="J80" s="134">
        <f>J29+J79</f>
        <v>3073.6574213972744</v>
      </c>
      <c r="K80" s="134">
        <f>K29+K79</f>
        <v>3136.7051958335296</v>
      </c>
      <c r="P80" s="135">
        <f>P29+P79</f>
        <v>3143.7878102659097</v>
      </c>
      <c r="Q80" s="135">
        <f>Q29+Q79</f>
        <v>778719.31312137656</v>
      </c>
      <c r="R80" s="135">
        <f>R29+R79</f>
        <v>781863.10093164234</v>
      </c>
      <c r="S80" s="135">
        <f>S29+S79</f>
        <v>3143.7878102658397</v>
      </c>
    </row>
    <row r="81" spans="1:19" s="68" customFormat="1" ht="12" customHeight="1">
      <c r="A81" s="95"/>
      <c r="B81" s="80"/>
      <c r="F81" s="69"/>
      <c r="H81" s="134"/>
      <c r="I81" s="134"/>
      <c r="J81" s="134"/>
      <c r="K81" s="134"/>
      <c r="S81" s="136"/>
    </row>
    <row r="82" spans="1:19" s="68" customFormat="1" ht="12" customHeight="1">
      <c r="A82" s="95" t="s">
        <v>116</v>
      </c>
      <c r="B82" s="80"/>
      <c r="F82" s="69"/>
      <c r="H82" s="134"/>
      <c r="I82" s="134"/>
      <c r="J82" s="134"/>
      <c r="K82" s="134"/>
    </row>
    <row r="83" spans="1:19" s="68" customFormat="1" ht="12" customHeight="1">
      <c r="A83" s="1" t="s">
        <v>117</v>
      </c>
      <c r="B83" s="79">
        <v>0.01</v>
      </c>
      <c r="D83" s="79">
        <v>0</v>
      </c>
      <c r="E83" s="124">
        <v>1</v>
      </c>
      <c r="F83" s="81">
        <v>12</v>
      </c>
      <c r="G83" s="68">
        <f>References!C34</f>
        <v>473</v>
      </c>
      <c r="H83" s="125">
        <f t="shared" ref="H83" si="28">F83*G83</f>
        <v>5676</v>
      </c>
      <c r="I83" s="125">
        <f t="shared" ref="I83" si="29">H83*$D$91</f>
        <v>4436.2673628529374</v>
      </c>
      <c r="J83" s="126">
        <f>I83*References!D60</f>
        <v>2.5730350704546914</v>
      </c>
      <c r="K83" s="128">
        <f>J83/References!H63</f>
        <v>2.6258139304568746</v>
      </c>
      <c r="L83" s="126">
        <f t="shared" ref="L83" si="30">K83/F83</f>
        <v>0.21881782753807288</v>
      </c>
      <c r="M83" s="78">
        <v>43.83</v>
      </c>
      <c r="N83" s="80">
        <f t="shared" ref="N83" si="31">M83+L83</f>
        <v>44.048817827538073</v>
      </c>
    </row>
    <row r="84" spans="1:19" s="68" customFormat="1" ht="12" customHeight="1">
      <c r="A84" s="95"/>
      <c r="B84" s="80"/>
      <c r="F84" s="69"/>
      <c r="H84" s="134"/>
      <c r="I84" s="134"/>
      <c r="J84" s="134"/>
      <c r="K84" s="134"/>
    </row>
    <row r="85" spans="1:19" s="68" customFormat="1" ht="12" customHeight="1">
      <c r="A85" s="95"/>
      <c r="B85" s="80"/>
      <c r="F85" s="69"/>
      <c r="H85" s="134"/>
      <c r="I85" s="134"/>
      <c r="J85" s="134"/>
      <c r="K85" s="134"/>
      <c r="P85" s="159"/>
    </row>
    <row r="86" spans="1:19" ht="15.75" thickBot="1">
      <c r="P86" s="159"/>
    </row>
    <row r="87" spans="1:19">
      <c r="B87" s="137"/>
      <c r="C87" s="138"/>
      <c r="D87" s="139"/>
      <c r="G87" s="67" t="s">
        <v>412</v>
      </c>
    </row>
    <row r="88" spans="1:19">
      <c r="B88" s="140" t="s">
        <v>118</v>
      </c>
      <c r="C88" s="36"/>
      <c r="D88" s="141">
        <f>'Disposal Schedule'!O10</f>
        <v>2649.7046736183524</v>
      </c>
      <c r="G88" s="69" t="s">
        <v>413</v>
      </c>
      <c r="H88" s="142">
        <f>P29</f>
        <v>1487.6401590837852</v>
      </c>
      <c r="I88" s="159">
        <f>H88/Q29</f>
        <v>3.5007622584552279E-3</v>
      </c>
    </row>
    <row r="89" spans="1:19">
      <c r="B89" s="140" t="s">
        <v>119</v>
      </c>
      <c r="C89" s="36"/>
      <c r="D89" s="141">
        <f>D88*References!H19</f>
        <v>5299409.347236705</v>
      </c>
      <c r="G89" s="69" t="s">
        <v>414</v>
      </c>
      <c r="H89" s="143">
        <f>P79</f>
        <v>1656.1476511821245</v>
      </c>
      <c r="I89" s="159">
        <f>H89/Q79</f>
        <v>4.6814007656690625E-3</v>
      </c>
    </row>
    <row r="90" spans="1:19">
      <c r="B90" s="140" t="s">
        <v>120</v>
      </c>
      <c r="C90" s="36"/>
      <c r="D90" s="141">
        <f>F29+F79</f>
        <v>97006.409061959959</v>
      </c>
      <c r="G90" s="67" t="s">
        <v>416</v>
      </c>
      <c r="H90" s="144">
        <f>SUM(H88:H89)</f>
        <v>3143.7878102659097</v>
      </c>
    </row>
    <row r="91" spans="1:19" ht="15.75" thickBot="1">
      <c r="B91" s="145" t="s">
        <v>121</v>
      </c>
      <c r="C91" s="146"/>
      <c r="D91" s="147">
        <f>D89/H80</f>
        <v>0.78158339726091219</v>
      </c>
      <c r="G91" s="69" t="s">
        <v>415</v>
      </c>
      <c r="H91" s="142">
        <f>References!C74</f>
        <v>1812.7776234410792</v>
      </c>
    </row>
  </sheetData>
  <pageMargins left="0.7" right="0.7" top="0.75" bottom="0.75" header="0.3" footer="0.3"/>
  <pageSetup scale="46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1"/>
  <sheetViews>
    <sheetView zoomScale="85" zoomScaleNormal="85" workbookViewId="0">
      <selection activeCell="C74" sqref="C74"/>
    </sheetView>
  </sheetViews>
  <sheetFormatPr defaultRowHeight="15"/>
  <cols>
    <col min="1" max="1" width="32.42578125" style="63" bestFit="1" customWidth="1"/>
    <col min="2" max="2" width="9" style="63" customWidth="1"/>
    <col min="3" max="3" width="10.140625" style="63" bestFit="1" customWidth="1"/>
    <col min="4" max="4" width="13.28515625" style="63" customWidth="1"/>
    <col min="5" max="5" width="11.85546875" style="63" customWidth="1"/>
    <col min="6" max="6" width="9.5703125" style="63" bestFit="1" customWidth="1"/>
    <col min="7" max="7" width="10.85546875" style="36" customWidth="1"/>
    <col min="8" max="8" width="1.85546875" style="63" customWidth="1"/>
    <col min="9" max="9" width="14.85546875" style="63" customWidth="1"/>
    <col min="10" max="11" width="9.140625" style="63"/>
    <col min="12" max="12" width="16.42578125" style="63" customWidth="1"/>
    <col min="13" max="16384" width="9.140625" style="63"/>
  </cols>
  <sheetData>
    <row r="1" spans="1:13">
      <c r="A1" s="98" t="s">
        <v>276</v>
      </c>
      <c r="B1" s="99"/>
      <c r="C1" s="100"/>
      <c r="D1" s="100"/>
      <c r="E1" s="100"/>
      <c r="F1" s="101"/>
      <c r="G1" s="102"/>
      <c r="H1" s="36"/>
    </row>
    <row r="2" spans="1:13">
      <c r="A2" s="98" t="s">
        <v>407</v>
      </c>
      <c r="B2" s="99"/>
      <c r="C2" s="103"/>
      <c r="D2" s="103"/>
      <c r="E2" s="103"/>
      <c r="F2" s="101"/>
      <c r="G2" s="102"/>
      <c r="H2" s="36"/>
    </row>
    <row r="3" spans="1:13">
      <c r="B3" s="99"/>
      <c r="C3" s="100"/>
      <c r="D3" s="100"/>
      <c r="E3" s="100"/>
      <c r="F3" s="101"/>
      <c r="G3" s="102"/>
      <c r="H3" s="36"/>
    </row>
    <row r="4" spans="1:13">
      <c r="A4" s="98"/>
      <c r="B4" s="99"/>
      <c r="C4" s="100"/>
      <c r="D4" s="100"/>
      <c r="E4" s="100"/>
      <c r="F4" s="101"/>
      <c r="G4" s="102"/>
      <c r="H4" s="36"/>
    </row>
    <row r="5" spans="1:13" ht="45">
      <c r="A5" s="104"/>
      <c r="B5" s="105"/>
      <c r="C5" s="106" t="s">
        <v>410</v>
      </c>
      <c r="D5" s="106" t="s">
        <v>277</v>
      </c>
      <c r="E5" s="106" t="s">
        <v>411</v>
      </c>
      <c r="F5" s="106"/>
      <c r="G5" s="106"/>
      <c r="H5" s="107"/>
      <c r="I5" s="108"/>
      <c r="J5" s="108"/>
      <c r="K5" s="108"/>
      <c r="L5" s="36"/>
      <c r="M5" s="109"/>
    </row>
    <row r="6" spans="1:13">
      <c r="A6" s="110" t="s">
        <v>278</v>
      </c>
      <c r="B6" s="111"/>
      <c r="C6" s="112"/>
      <c r="D6" s="112"/>
      <c r="E6" s="112"/>
      <c r="F6" s="112"/>
      <c r="G6" s="112"/>
    </row>
    <row r="7" spans="1:13">
      <c r="A7" s="113" t="s">
        <v>279</v>
      </c>
      <c r="B7" s="114" t="s">
        <v>280</v>
      </c>
      <c r="C7" s="112">
        <v>4.32</v>
      </c>
      <c r="D7" s="115">
        <f>'G-48 DF Calc'!L26</f>
        <v>1.5728977032335049E-2</v>
      </c>
      <c r="E7" s="115">
        <f>C7+D7</f>
        <v>4.3357289770323355</v>
      </c>
      <c r="F7" s="112"/>
      <c r="G7" s="112"/>
    </row>
    <row r="8" spans="1:13">
      <c r="A8" s="113"/>
      <c r="B8" s="114"/>
      <c r="C8" s="112"/>
      <c r="D8" s="112"/>
      <c r="E8" s="112"/>
      <c r="F8" s="112"/>
      <c r="G8" s="112"/>
    </row>
    <row r="9" spans="1:13">
      <c r="A9" s="110" t="s">
        <v>283</v>
      </c>
      <c r="B9" s="111"/>
      <c r="C9" s="112"/>
      <c r="D9" s="112"/>
      <c r="E9" s="112"/>
      <c r="F9" s="112"/>
      <c r="G9" s="112"/>
    </row>
    <row r="10" spans="1:13">
      <c r="A10" s="113" t="s">
        <v>284</v>
      </c>
      <c r="B10" s="114" t="s">
        <v>285</v>
      </c>
      <c r="C10" s="112">
        <v>16.84</v>
      </c>
      <c r="D10" s="115">
        <f>'G-48 DF Calc'!L12</f>
        <v>4.0093470866736397E-2</v>
      </c>
      <c r="E10" s="112">
        <f>C10+D10</f>
        <v>16.880093470866736</v>
      </c>
      <c r="F10" s="112"/>
      <c r="G10" s="112"/>
    </row>
    <row r="11" spans="1:13">
      <c r="A11" s="113" t="s">
        <v>286</v>
      </c>
      <c r="B11" s="114" t="s">
        <v>287</v>
      </c>
      <c r="C11" s="112">
        <v>6.16</v>
      </c>
      <c r="D11" s="115">
        <f>'G-48 DF Calc'!L20</f>
        <v>1.5728977032335046E-2</v>
      </c>
      <c r="E11" s="112">
        <f t="shared" ref="E11:E23" si="0">C11+D11</f>
        <v>6.1757289770323354</v>
      </c>
      <c r="F11" s="112"/>
      <c r="G11" s="112"/>
    </row>
    <row r="12" spans="1:13">
      <c r="A12" s="113" t="s">
        <v>286</v>
      </c>
      <c r="B12" s="114" t="s">
        <v>288</v>
      </c>
      <c r="C12" s="112">
        <v>12.33</v>
      </c>
      <c r="D12" s="115">
        <f>'G-48 DF Calc'!L19</f>
        <v>3.4079450236725928E-2</v>
      </c>
      <c r="E12" s="112">
        <f t="shared" si="0"/>
        <v>12.364079450236726</v>
      </c>
      <c r="F12" s="112"/>
      <c r="G12" s="112"/>
    </row>
    <row r="13" spans="1:13">
      <c r="A13" s="113" t="s">
        <v>286</v>
      </c>
      <c r="B13" s="114" t="s">
        <v>285</v>
      </c>
      <c r="C13" s="112">
        <v>19.47</v>
      </c>
      <c r="D13" s="115">
        <f>'G-48 DF Calc'!L13</f>
        <v>6.8158900473451869E-2</v>
      </c>
      <c r="E13" s="112">
        <f t="shared" si="0"/>
        <v>19.538158900473451</v>
      </c>
      <c r="F13" s="112"/>
      <c r="G13" s="112"/>
    </row>
    <row r="14" spans="1:13">
      <c r="A14" s="113" t="s">
        <v>289</v>
      </c>
      <c r="B14" s="114" t="s">
        <v>285</v>
      </c>
      <c r="C14" s="112">
        <v>26.67</v>
      </c>
      <c r="D14" s="115">
        <f>'G-48 DF Calc'!L14</f>
        <v>0.1022383507101778</v>
      </c>
      <c r="E14" s="112">
        <f t="shared" si="0"/>
        <v>26.772238350710179</v>
      </c>
      <c r="F14" s="112"/>
      <c r="G14" s="112"/>
    </row>
    <row r="15" spans="1:13">
      <c r="A15" s="113" t="s">
        <v>290</v>
      </c>
      <c r="B15" s="114" t="s">
        <v>285</v>
      </c>
      <c r="C15" s="112">
        <v>34.729999999999997</v>
      </c>
      <c r="D15" s="115">
        <f>'G-48 DF Calc'!L15</f>
        <v>0.15435986283693515</v>
      </c>
      <c r="E15" s="112">
        <f t="shared" si="0"/>
        <v>34.884359862836931</v>
      </c>
      <c r="F15" s="112"/>
      <c r="G15" s="112"/>
    </row>
    <row r="16" spans="1:13">
      <c r="A16" s="113" t="s">
        <v>291</v>
      </c>
      <c r="B16" s="114" t="s">
        <v>285</v>
      </c>
      <c r="C16" s="112">
        <v>42.27</v>
      </c>
      <c r="D16" s="115">
        <f>'G-48 DF Calc'!L16</f>
        <v>0.19445333370367149</v>
      </c>
      <c r="E16" s="112">
        <f t="shared" si="0"/>
        <v>42.464453333703673</v>
      </c>
      <c r="F16" s="112"/>
      <c r="G16" s="112"/>
    </row>
    <row r="17" spans="1:8">
      <c r="A17" s="113" t="s">
        <v>292</v>
      </c>
      <c r="B17" s="114" t="s">
        <v>285</v>
      </c>
      <c r="C17" s="112">
        <v>51.23</v>
      </c>
      <c r="D17" s="115">
        <f>'G-48 DF Calc'!L17</f>
        <v>0.23454680457040789</v>
      </c>
      <c r="E17" s="112">
        <f t="shared" si="0"/>
        <v>51.464546804570404</v>
      </c>
      <c r="F17" s="112"/>
      <c r="G17" s="112"/>
    </row>
    <row r="18" spans="1:8">
      <c r="A18" s="113" t="s">
        <v>293</v>
      </c>
      <c r="B18" s="114" t="s">
        <v>285</v>
      </c>
      <c r="C18" s="112">
        <v>60.8</v>
      </c>
      <c r="D18" s="115">
        <f>'G-48 DF Calc'!L18</f>
        <v>0.27464027543714425</v>
      </c>
      <c r="E18" s="112">
        <f t="shared" si="0"/>
        <v>61.07464027543714</v>
      </c>
      <c r="F18" s="112"/>
      <c r="G18" s="112"/>
    </row>
    <row r="19" spans="1:8">
      <c r="A19" s="113"/>
      <c r="B19" s="114"/>
      <c r="C19" s="112"/>
      <c r="E19" s="112"/>
      <c r="F19" s="112"/>
      <c r="G19" s="112"/>
    </row>
    <row r="20" spans="1:8">
      <c r="A20" s="113" t="s">
        <v>294</v>
      </c>
      <c r="B20" s="114" t="s">
        <v>285</v>
      </c>
      <c r="C20" s="112">
        <v>31.52</v>
      </c>
      <c r="D20" s="115">
        <f>'G-48 DF Calc'!L21</f>
        <v>8.018694173347278E-2</v>
      </c>
      <c r="E20" s="112">
        <f t="shared" si="0"/>
        <v>31.600186941733472</v>
      </c>
      <c r="F20" s="112"/>
      <c r="G20" s="112"/>
    </row>
    <row r="21" spans="1:8">
      <c r="A21" s="113" t="s">
        <v>295</v>
      </c>
      <c r="B21" s="114" t="s">
        <v>285</v>
      </c>
      <c r="C21" s="112">
        <v>63.03</v>
      </c>
      <c r="D21" s="115">
        <v>0.16</v>
      </c>
      <c r="E21" s="112">
        <f t="shared" si="0"/>
        <v>63.19</v>
      </c>
      <c r="F21" s="112"/>
      <c r="G21" s="112"/>
      <c r="H21" s="116"/>
    </row>
    <row r="22" spans="1:8">
      <c r="A22" s="113" t="s">
        <v>296</v>
      </c>
      <c r="B22" s="114" t="s">
        <v>285</v>
      </c>
      <c r="C22" s="112">
        <v>39.35</v>
      </c>
      <c r="D22" s="115">
        <f>'G-48 DF Calc'!L23</f>
        <v>9.4219656536830523E-2</v>
      </c>
      <c r="E22" s="112">
        <f t="shared" si="0"/>
        <v>39.444219656536831</v>
      </c>
      <c r="F22" s="112"/>
      <c r="G22" s="112"/>
    </row>
    <row r="23" spans="1:8">
      <c r="A23" s="113" t="s">
        <v>296</v>
      </c>
      <c r="B23" s="114" t="s">
        <v>287</v>
      </c>
      <c r="C23" s="112">
        <v>33.97</v>
      </c>
      <c r="D23" s="115">
        <f>'G-48 DF Calc'!L22</f>
        <v>2.1742997662345508E-2</v>
      </c>
      <c r="E23" s="112">
        <f t="shared" si="0"/>
        <v>33.991742997662342</v>
      </c>
      <c r="F23" s="112"/>
      <c r="G23" s="112"/>
    </row>
    <row r="24" spans="1:8">
      <c r="A24" s="113"/>
      <c r="B24" s="114"/>
      <c r="C24" s="112"/>
      <c r="D24" s="112"/>
      <c r="E24" s="112"/>
      <c r="F24" s="112"/>
      <c r="G24" s="112"/>
    </row>
    <row r="25" spans="1:8">
      <c r="A25" s="110" t="s">
        <v>297</v>
      </c>
      <c r="B25" s="114"/>
      <c r="C25" s="112"/>
      <c r="D25" s="112"/>
      <c r="E25" s="112"/>
      <c r="F25" s="112"/>
      <c r="G25" s="112"/>
    </row>
    <row r="26" spans="1:8">
      <c r="A26" s="113" t="s">
        <v>298</v>
      </c>
      <c r="B26" s="114" t="s">
        <v>299</v>
      </c>
      <c r="C26" s="112">
        <v>4.5199999999999996</v>
      </c>
      <c r="D26" s="115">
        <f>'G-48 DF Calc'!L25</f>
        <v>1.5728977032335049E-2</v>
      </c>
      <c r="E26" s="112">
        <f t="shared" ref="E26:E29" si="1">C26+D26</f>
        <v>4.5357289770323348</v>
      </c>
      <c r="F26" s="112"/>
      <c r="G26" s="112"/>
    </row>
    <row r="27" spans="1:8">
      <c r="A27" s="113" t="s">
        <v>300</v>
      </c>
      <c r="B27" s="114" t="s">
        <v>299</v>
      </c>
      <c r="C27" s="112">
        <v>8.43</v>
      </c>
      <c r="D27" s="112">
        <f>'G-48 DF Calc'!L21/References!C10</f>
        <v>1.8504678861570641E-2</v>
      </c>
      <c r="E27" s="112">
        <f t="shared" si="1"/>
        <v>8.4485046788615712</v>
      </c>
      <c r="F27" s="112"/>
      <c r="G27" s="112"/>
    </row>
    <row r="28" spans="1:8">
      <c r="A28" s="113" t="s">
        <v>301</v>
      </c>
      <c r="B28" s="114" t="s">
        <v>299</v>
      </c>
      <c r="C28" s="112">
        <v>10.23</v>
      </c>
      <c r="D28" s="112">
        <f>'G-48 DF Calc'!L22</f>
        <v>2.1742997662345508E-2</v>
      </c>
      <c r="E28" s="112">
        <f t="shared" si="1"/>
        <v>10.251742997662346</v>
      </c>
      <c r="F28" s="112"/>
      <c r="G28" s="112"/>
    </row>
    <row r="29" spans="1:8">
      <c r="A29" s="113" t="s">
        <v>302</v>
      </c>
      <c r="B29" s="114" t="s">
        <v>299</v>
      </c>
      <c r="C29" s="112">
        <v>6.16</v>
      </c>
      <c r="D29" s="112">
        <f>D26</f>
        <v>1.5728977032335049E-2</v>
      </c>
      <c r="E29" s="112">
        <f t="shared" si="1"/>
        <v>6.1757289770323354</v>
      </c>
      <c r="F29" s="112"/>
      <c r="G29" s="112"/>
    </row>
    <row r="30" spans="1:8">
      <c r="A30" s="113"/>
      <c r="B30" s="114"/>
      <c r="C30" s="112"/>
      <c r="D30" s="112"/>
      <c r="E30" s="112"/>
      <c r="F30" s="112"/>
      <c r="G30" s="112"/>
    </row>
    <row r="31" spans="1:8">
      <c r="A31" s="110" t="s">
        <v>303</v>
      </c>
      <c r="B31" s="114"/>
      <c r="C31" s="112"/>
      <c r="D31" s="112"/>
      <c r="E31" s="112"/>
      <c r="F31" s="112"/>
      <c r="G31" s="112"/>
    </row>
    <row r="32" spans="1:8">
      <c r="A32" s="113" t="s">
        <v>304</v>
      </c>
      <c r="B32" s="114" t="s">
        <v>299</v>
      </c>
      <c r="C32" s="112">
        <v>17.68</v>
      </c>
      <c r="D32" s="115">
        <f>'G-48 DF Calc'!L27</f>
        <v>5.7827121442408272E-2</v>
      </c>
      <c r="E32" s="112">
        <f t="shared" ref="E32:E37" si="2">C32+D32</f>
        <v>17.737827121442407</v>
      </c>
      <c r="F32" s="112"/>
      <c r="G32" s="112"/>
    </row>
    <row r="33" spans="1:7">
      <c r="A33" s="113" t="s">
        <v>305</v>
      </c>
      <c r="B33" s="114" t="s">
        <v>299</v>
      </c>
      <c r="C33" s="112">
        <v>17.68</v>
      </c>
      <c r="D33" s="115">
        <f>D32</f>
        <v>5.7827121442408272E-2</v>
      </c>
      <c r="E33" s="112">
        <f t="shared" si="2"/>
        <v>17.737827121442407</v>
      </c>
      <c r="F33" s="112"/>
      <c r="G33" s="112"/>
    </row>
    <row r="34" spans="1:7">
      <c r="A34" s="113" t="s">
        <v>306</v>
      </c>
      <c r="B34" s="114" t="s">
        <v>299</v>
      </c>
      <c r="C34" s="112">
        <v>17.68</v>
      </c>
      <c r="D34" s="115">
        <f t="shared" ref="D34:D37" si="3">D33</f>
        <v>5.7827121442408272E-2</v>
      </c>
      <c r="E34" s="112">
        <f t="shared" si="2"/>
        <v>17.737827121442407</v>
      </c>
      <c r="F34" s="112"/>
      <c r="G34" s="112"/>
    </row>
    <row r="35" spans="1:7">
      <c r="A35" s="113" t="s">
        <v>307</v>
      </c>
      <c r="B35" s="114" t="s">
        <v>299</v>
      </c>
      <c r="C35" s="112">
        <v>17.68</v>
      </c>
      <c r="D35" s="115">
        <f t="shared" si="3"/>
        <v>5.7827121442408272E-2</v>
      </c>
      <c r="E35" s="112">
        <f t="shared" si="2"/>
        <v>17.737827121442407</v>
      </c>
      <c r="F35" s="112"/>
      <c r="G35" s="112"/>
    </row>
    <row r="36" spans="1:7">
      <c r="A36" s="113" t="s">
        <v>78</v>
      </c>
      <c r="B36" s="114" t="s">
        <v>299</v>
      </c>
      <c r="C36" s="112">
        <v>17.68</v>
      </c>
      <c r="D36" s="115">
        <f t="shared" si="3"/>
        <v>5.7827121442408272E-2</v>
      </c>
      <c r="E36" s="112">
        <f t="shared" si="2"/>
        <v>17.737827121442407</v>
      </c>
      <c r="F36" s="112"/>
      <c r="G36" s="112"/>
    </row>
    <row r="37" spans="1:7">
      <c r="A37" s="113" t="s">
        <v>78</v>
      </c>
      <c r="B37" s="114" t="s">
        <v>299</v>
      </c>
      <c r="C37" s="112">
        <v>17.68</v>
      </c>
      <c r="D37" s="115">
        <f t="shared" si="3"/>
        <v>5.7827121442408272E-2</v>
      </c>
      <c r="E37" s="112">
        <f t="shared" si="2"/>
        <v>17.737827121442407</v>
      </c>
      <c r="F37" s="112"/>
      <c r="G37" s="112"/>
    </row>
    <row r="38" spans="1:7">
      <c r="A38" s="113"/>
      <c r="B38" s="114"/>
      <c r="C38" s="112"/>
      <c r="D38" s="112"/>
      <c r="E38" s="112"/>
      <c r="F38" s="112"/>
      <c r="G38" s="112"/>
    </row>
    <row r="39" spans="1:7">
      <c r="A39" s="110" t="s">
        <v>308</v>
      </c>
      <c r="B39" s="114"/>
      <c r="C39" s="112"/>
      <c r="D39" s="112"/>
      <c r="E39" s="112"/>
      <c r="F39" s="112"/>
      <c r="G39" s="112"/>
    </row>
    <row r="40" spans="1:7">
      <c r="A40" s="113" t="s">
        <v>309</v>
      </c>
      <c r="B40" s="114" t="s">
        <v>310</v>
      </c>
      <c r="C40" s="112">
        <v>70</v>
      </c>
      <c r="D40" s="112">
        <f>References!C60</f>
        <v>1.1599999999999966</v>
      </c>
      <c r="E40" s="112">
        <f t="shared" ref="E40" si="4">C40+D40</f>
        <v>71.16</v>
      </c>
      <c r="F40" s="112"/>
      <c r="G40" s="112"/>
    </row>
    <row r="41" spans="1:7">
      <c r="A41" s="113"/>
      <c r="B41" s="114"/>
      <c r="C41" s="112"/>
      <c r="D41" s="112"/>
      <c r="E41" s="112"/>
      <c r="F41" s="112"/>
      <c r="G41" s="112"/>
    </row>
    <row r="42" spans="1:7">
      <c r="A42" s="110" t="s">
        <v>311</v>
      </c>
      <c r="B42" s="114"/>
      <c r="C42" s="112"/>
      <c r="D42" s="112"/>
      <c r="E42" s="112"/>
      <c r="F42" s="112"/>
      <c r="G42" s="112"/>
    </row>
    <row r="43" spans="1:7">
      <c r="A43" s="113" t="s">
        <v>317</v>
      </c>
      <c r="B43" s="114"/>
      <c r="C43" s="112"/>
      <c r="D43" s="112"/>
      <c r="E43" s="112"/>
      <c r="F43" s="112"/>
      <c r="G43" s="112"/>
    </row>
    <row r="44" spans="1:7">
      <c r="A44" s="113" t="s">
        <v>312</v>
      </c>
      <c r="B44" s="114" t="s">
        <v>299</v>
      </c>
      <c r="C44" s="112">
        <v>16.71</v>
      </c>
      <c r="D44" s="116">
        <f>'G-48 DF Calc'!L36</f>
        <v>8.0957970019371578E-2</v>
      </c>
      <c r="E44" s="112">
        <f t="shared" ref="E44:E48" si="5">C44+D44</f>
        <v>16.790957970019374</v>
      </c>
      <c r="F44" s="112"/>
      <c r="G44" s="112"/>
    </row>
    <row r="45" spans="1:7">
      <c r="A45" s="113" t="s">
        <v>313</v>
      </c>
      <c r="B45" s="114" t="s">
        <v>299</v>
      </c>
      <c r="C45" s="112">
        <v>24.64</v>
      </c>
      <c r="D45" s="115">
        <f>'G-48 DF Calc'!L40</f>
        <v>0.11565424288481654</v>
      </c>
      <c r="E45" s="112">
        <f t="shared" si="5"/>
        <v>24.755654242884816</v>
      </c>
      <c r="F45" s="112"/>
      <c r="G45" s="112"/>
    </row>
    <row r="46" spans="1:7">
      <c r="A46" s="113" t="s">
        <v>314</v>
      </c>
      <c r="B46" s="114" t="s">
        <v>299</v>
      </c>
      <c r="C46" s="112">
        <v>32.19</v>
      </c>
      <c r="D46" s="115">
        <f>'G-48 DF Calc'!L46</f>
        <v>0.14988789877872224</v>
      </c>
      <c r="E46" s="112">
        <f t="shared" si="5"/>
        <v>32.33988789877872</v>
      </c>
      <c r="F46" s="112"/>
      <c r="G46" s="112"/>
    </row>
    <row r="47" spans="1:7">
      <c r="A47" s="113" t="s">
        <v>315</v>
      </c>
      <c r="B47" s="114" t="s">
        <v>299</v>
      </c>
      <c r="C47" s="112">
        <v>43.83</v>
      </c>
      <c r="D47" s="115">
        <f>'G-48 DF Calc'!L83</f>
        <v>0.21881782753807288</v>
      </c>
      <c r="E47" s="112">
        <f t="shared" si="5"/>
        <v>44.048817827538073</v>
      </c>
      <c r="F47" s="112"/>
      <c r="G47" s="112"/>
    </row>
    <row r="48" spans="1:7">
      <c r="A48" s="113" t="s">
        <v>316</v>
      </c>
      <c r="B48" s="114" t="s">
        <v>299</v>
      </c>
      <c r="C48" s="112">
        <v>54.16</v>
      </c>
      <c r="D48" s="115">
        <f>'G-48 DF Calc'!L59</f>
        <v>0.28358420355357011</v>
      </c>
      <c r="E48" s="112">
        <f t="shared" si="5"/>
        <v>54.44358420355357</v>
      </c>
      <c r="F48" s="112"/>
      <c r="G48" s="112"/>
    </row>
    <row r="49" spans="1:7">
      <c r="A49" s="113"/>
      <c r="B49" s="114"/>
      <c r="C49" s="112"/>
      <c r="D49" s="112"/>
      <c r="E49" s="112"/>
      <c r="F49" s="112"/>
      <c r="G49" s="112"/>
    </row>
    <row r="50" spans="1:7">
      <c r="A50" s="113" t="s">
        <v>409</v>
      </c>
      <c r="B50" s="114"/>
      <c r="C50" s="112"/>
      <c r="D50" s="112"/>
      <c r="E50" s="112"/>
      <c r="F50" s="112"/>
      <c r="G50" s="112"/>
    </row>
    <row r="51" spans="1:7">
      <c r="A51" s="113" t="s">
        <v>312</v>
      </c>
      <c r="B51" s="114" t="s">
        <v>299</v>
      </c>
      <c r="C51" s="112">
        <v>23.19</v>
      </c>
      <c r="D51" s="116">
        <f>D44</f>
        <v>8.0957970019371578E-2</v>
      </c>
      <c r="E51" s="112">
        <f t="shared" ref="E51:E55" si="6">C51+D51</f>
        <v>23.270957970019374</v>
      </c>
      <c r="F51" s="112"/>
      <c r="G51" s="112"/>
    </row>
    <row r="52" spans="1:7">
      <c r="A52" s="113" t="s">
        <v>313</v>
      </c>
      <c r="B52" s="114" t="s">
        <v>299</v>
      </c>
      <c r="C52" s="112">
        <v>34.119999999999997</v>
      </c>
      <c r="D52" s="116">
        <f t="shared" ref="D52:D55" si="7">D45</f>
        <v>0.11565424288481654</v>
      </c>
      <c r="E52" s="112">
        <f t="shared" si="6"/>
        <v>34.235654242884813</v>
      </c>
      <c r="F52" s="112"/>
      <c r="G52" s="112"/>
    </row>
    <row r="53" spans="1:7">
      <c r="A53" s="113" t="s">
        <v>314</v>
      </c>
      <c r="B53" s="114" t="s">
        <v>299</v>
      </c>
      <c r="C53" s="112">
        <v>44.92</v>
      </c>
      <c r="D53" s="116">
        <f t="shared" si="7"/>
        <v>0.14988789877872224</v>
      </c>
      <c r="E53" s="112">
        <f t="shared" si="6"/>
        <v>45.069887898778724</v>
      </c>
      <c r="F53" s="112"/>
      <c r="G53" s="112"/>
    </row>
    <row r="54" spans="1:7">
      <c r="A54" s="113" t="s">
        <v>315</v>
      </c>
      <c r="B54" s="114" t="s">
        <v>299</v>
      </c>
      <c r="C54" s="112">
        <v>57.95</v>
      </c>
      <c r="D54" s="116">
        <f t="shared" si="7"/>
        <v>0.21881782753807288</v>
      </c>
      <c r="E54" s="112">
        <f t="shared" si="6"/>
        <v>58.168817827538078</v>
      </c>
      <c r="F54" s="112"/>
      <c r="G54" s="112"/>
    </row>
    <row r="55" spans="1:7">
      <c r="A55" s="113" t="s">
        <v>316</v>
      </c>
      <c r="B55" s="114" t="s">
        <v>299</v>
      </c>
      <c r="C55" s="112">
        <v>69.25</v>
      </c>
      <c r="D55" s="116">
        <f t="shared" si="7"/>
        <v>0.28358420355357011</v>
      </c>
      <c r="E55" s="112">
        <f t="shared" si="6"/>
        <v>69.533584203553573</v>
      </c>
      <c r="F55" s="112"/>
      <c r="G55" s="112"/>
    </row>
    <row r="56" spans="1:7">
      <c r="A56" s="113"/>
      <c r="B56" s="114"/>
      <c r="C56" s="112"/>
      <c r="D56" s="112"/>
      <c r="E56" s="112"/>
      <c r="F56" s="112"/>
      <c r="G56" s="112"/>
    </row>
    <row r="57" spans="1:7">
      <c r="A57" s="113" t="s">
        <v>408</v>
      </c>
      <c r="B57" s="114"/>
      <c r="C57" s="112"/>
      <c r="D57" s="112"/>
      <c r="E57" s="112"/>
      <c r="F57" s="112"/>
      <c r="G57" s="112"/>
    </row>
    <row r="58" spans="1:7">
      <c r="A58" s="113" t="s">
        <v>312</v>
      </c>
      <c r="B58" s="114" t="s">
        <v>299</v>
      </c>
      <c r="C58" s="112">
        <v>23.2</v>
      </c>
      <c r="D58" s="112">
        <f>D51</f>
        <v>8.0957970019371578E-2</v>
      </c>
      <c r="E58" s="112">
        <f t="shared" ref="E58:E62" si="8">C58+D58</f>
        <v>23.280957970019372</v>
      </c>
      <c r="F58" s="112"/>
      <c r="G58" s="112"/>
    </row>
    <row r="59" spans="1:7">
      <c r="A59" s="113" t="s">
        <v>313</v>
      </c>
      <c r="B59" s="114" t="s">
        <v>299</v>
      </c>
      <c r="C59" s="112">
        <v>34.130000000000003</v>
      </c>
      <c r="D59" s="112">
        <f t="shared" ref="D59:D62" si="9">D52</f>
        <v>0.11565424288481654</v>
      </c>
      <c r="E59" s="112">
        <f t="shared" si="8"/>
        <v>34.245654242884818</v>
      </c>
      <c r="F59" s="112"/>
      <c r="G59" s="112"/>
    </row>
    <row r="60" spans="1:7">
      <c r="A60" s="113" t="s">
        <v>314</v>
      </c>
      <c r="B60" s="114" t="s">
        <v>299</v>
      </c>
      <c r="C60" s="112">
        <v>44.93</v>
      </c>
      <c r="D60" s="112">
        <f t="shared" si="9"/>
        <v>0.14988789877872224</v>
      </c>
      <c r="E60" s="112">
        <f t="shared" si="8"/>
        <v>45.079887898778722</v>
      </c>
      <c r="F60" s="112"/>
      <c r="G60" s="112"/>
    </row>
    <row r="61" spans="1:7">
      <c r="A61" s="113" t="s">
        <v>315</v>
      </c>
      <c r="B61" s="114" t="s">
        <v>299</v>
      </c>
      <c r="C61" s="112">
        <v>57.95</v>
      </c>
      <c r="D61" s="112">
        <f t="shared" si="9"/>
        <v>0.21881782753807288</v>
      </c>
      <c r="E61" s="112">
        <f t="shared" si="8"/>
        <v>58.168817827538078</v>
      </c>
      <c r="F61" s="112"/>
      <c r="G61" s="112"/>
    </row>
    <row r="62" spans="1:7">
      <c r="A62" s="113" t="s">
        <v>316</v>
      </c>
      <c r="B62" s="114" t="s">
        <v>299</v>
      </c>
      <c r="C62" s="112">
        <v>69.25</v>
      </c>
      <c r="D62" s="112">
        <f t="shared" si="9"/>
        <v>0.28358420355357011</v>
      </c>
      <c r="E62" s="112">
        <f t="shared" si="8"/>
        <v>69.533584203553573</v>
      </c>
      <c r="F62" s="112"/>
      <c r="G62" s="112"/>
    </row>
    <row r="63" spans="1:7">
      <c r="A63" s="113"/>
      <c r="B63" s="114"/>
      <c r="C63" s="112"/>
      <c r="D63" s="112"/>
      <c r="E63" s="112"/>
      <c r="F63" s="112"/>
      <c r="G63" s="112"/>
    </row>
    <row r="64" spans="1:7">
      <c r="A64" s="110" t="s">
        <v>318</v>
      </c>
      <c r="B64" s="114"/>
      <c r="C64" s="112"/>
      <c r="D64" s="112"/>
      <c r="E64" s="112"/>
      <c r="F64" s="112"/>
      <c r="G64" s="112"/>
    </row>
    <row r="65" spans="1:7">
      <c r="A65" s="113" t="s">
        <v>319</v>
      </c>
      <c r="B65" s="114" t="s">
        <v>299</v>
      </c>
      <c r="C65" s="112">
        <v>4.41</v>
      </c>
      <c r="D65" s="115">
        <f>'G-48 DF Calc'!$L$69</f>
        <v>1.3415892174638717E-2</v>
      </c>
      <c r="E65" s="112">
        <f t="shared" ref="E65:E77" si="10">C65+D65</f>
        <v>4.4234158921746385</v>
      </c>
      <c r="F65" s="112"/>
      <c r="G65" s="112"/>
    </row>
    <row r="66" spans="1:7">
      <c r="A66" s="113" t="s">
        <v>320</v>
      </c>
      <c r="B66" s="114" t="s">
        <v>299</v>
      </c>
      <c r="C66" s="112">
        <v>4.41</v>
      </c>
      <c r="D66" s="115">
        <f>D65</f>
        <v>1.3415892174638717E-2</v>
      </c>
      <c r="E66" s="112">
        <f t="shared" si="10"/>
        <v>4.4234158921746385</v>
      </c>
      <c r="F66" s="112"/>
      <c r="G66" s="112"/>
    </row>
    <row r="67" spans="1:7">
      <c r="A67" s="113" t="s">
        <v>321</v>
      </c>
      <c r="B67" s="114" t="s">
        <v>282</v>
      </c>
      <c r="C67" s="112">
        <v>19.100000000000001</v>
      </c>
      <c r="D67" s="115">
        <f>'G-48 DF Calc'!L61</f>
        <v>5.813553275676777E-2</v>
      </c>
      <c r="E67" s="112">
        <f t="shared" si="10"/>
        <v>19.15813553275677</v>
      </c>
      <c r="F67" s="112"/>
      <c r="G67" s="112"/>
    </row>
    <row r="68" spans="1:7">
      <c r="A68" s="113" t="s">
        <v>322</v>
      </c>
      <c r="B68" s="114" t="s">
        <v>299</v>
      </c>
      <c r="C68" s="112">
        <v>5.34</v>
      </c>
      <c r="D68" s="115">
        <f>D65</f>
        <v>1.3415892174638717E-2</v>
      </c>
      <c r="E68" s="112">
        <f t="shared" si="10"/>
        <v>5.3534158921746382</v>
      </c>
      <c r="F68" s="112"/>
      <c r="G68" s="112"/>
    </row>
    <row r="69" spans="1:7">
      <c r="A69" s="113" t="s">
        <v>323</v>
      </c>
      <c r="B69" s="114" t="s">
        <v>299</v>
      </c>
      <c r="C69" s="112">
        <v>4.41</v>
      </c>
      <c r="D69" s="115">
        <f>D65</f>
        <v>1.3415892174638717E-2</v>
      </c>
      <c r="E69" s="112">
        <f t="shared" si="10"/>
        <v>4.4234158921746385</v>
      </c>
      <c r="F69" s="112"/>
      <c r="G69" s="112"/>
    </row>
    <row r="70" spans="1:7">
      <c r="A70" s="113" t="s">
        <v>324</v>
      </c>
      <c r="B70" s="114" t="s">
        <v>299</v>
      </c>
      <c r="C70" s="112">
        <v>4.41</v>
      </c>
      <c r="D70" s="115">
        <f>D65</f>
        <v>1.3415892174638717E-2</v>
      </c>
      <c r="E70" s="112">
        <f t="shared" si="10"/>
        <v>4.4234158921746385</v>
      </c>
      <c r="F70" s="112"/>
      <c r="G70" s="112"/>
    </row>
    <row r="71" spans="1:7">
      <c r="A71" s="110"/>
      <c r="B71" s="114"/>
      <c r="C71" s="112"/>
      <c r="D71" s="112"/>
      <c r="E71" s="112"/>
      <c r="F71" s="112"/>
      <c r="G71" s="112"/>
    </row>
    <row r="72" spans="1:7">
      <c r="A72" s="113" t="s">
        <v>325</v>
      </c>
      <c r="B72" s="114" t="s">
        <v>299</v>
      </c>
      <c r="C72" s="112">
        <v>5.08</v>
      </c>
      <c r="D72" s="112">
        <f>D65</f>
        <v>1.3415892174638717E-2</v>
      </c>
      <c r="E72" s="112">
        <f t="shared" si="10"/>
        <v>5.0934158921746384</v>
      </c>
      <c r="F72" s="112"/>
      <c r="G72" s="112"/>
    </row>
    <row r="73" spans="1:7">
      <c r="A73" s="113" t="s">
        <v>321</v>
      </c>
      <c r="B73" s="114" t="s">
        <v>282</v>
      </c>
      <c r="C73" s="112">
        <v>20.079999999999998</v>
      </c>
      <c r="D73" s="112">
        <f>D72*References!C10</f>
        <v>5.813553275676777E-2</v>
      </c>
      <c r="E73" s="112">
        <f t="shared" si="10"/>
        <v>20.138135532756767</v>
      </c>
      <c r="F73" s="112"/>
      <c r="G73" s="112"/>
    </row>
    <row r="74" spans="1:7">
      <c r="A74" s="113" t="s">
        <v>326</v>
      </c>
      <c r="B74" s="114" t="s">
        <v>299</v>
      </c>
      <c r="C74" s="112">
        <v>7.27</v>
      </c>
      <c r="D74" s="112">
        <f>'G-48 DF Calc'!L68/References!C10</f>
        <v>1.8504678861570648E-2</v>
      </c>
      <c r="E74" s="112">
        <f t="shared" si="10"/>
        <v>7.2885046788615702</v>
      </c>
      <c r="F74" s="112"/>
      <c r="G74" s="112"/>
    </row>
    <row r="75" spans="1:7">
      <c r="A75" s="113" t="s">
        <v>321</v>
      </c>
      <c r="B75" s="114" t="s">
        <v>282</v>
      </c>
      <c r="C75" s="112">
        <v>27.16</v>
      </c>
      <c r="D75" s="112">
        <f>'G-48 DF Calc'!L67</f>
        <v>8.0186941733472808E-2</v>
      </c>
      <c r="E75" s="112">
        <f t="shared" si="10"/>
        <v>27.240186941733473</v>
      </c>
      <c r="F75" s="112"/>
      <c r="G75" s="112"/>
    </row>
    <row r="76" spans="1:7">
      <c r="A76" s="113" t="s">
        <v>327</v>
      </c>
      <c r="B76" s="114" t="s">
        <v>299</v>
      </c>
      <c r="C76" s="112">
        <v>9.06</v>
      </c>
      <c r="D76" s="112">
        <f>'G-48 DF Calc'!L22</f>
        <v>2.1742997662345508E-2</v>
      </c>
      <c r="E76" s="112">
        <f t="shared" si="10"/>
        <v>9.0817429976623458</v>
      </c>
      <c r="F76" s="112"/>
      <c r="G76" s="112"/>
    </row>
    <row r="77" spans="1:7">
      <c r="A77" s="113" t="s">
        <v>321</v>
      </c>
      <c r="B77" s="114" t="s">
        <v>282</v>
      </c>
      <c r="C77" s="112">
        <v>37.74</v>
      </c>
      <c r="D77" s="112">
        <f>D76*References!C10</f>
        <v>9.4219656536830523E-2</v>
      </c>
      <c r="E77" s="112">
        <f t="shared" si="10"/>
        <v>37.834219656536831</v>
      </c>
      <c r="F77" s="112"/>
      <c r="G77" s="112"/>
    </row>
    <row r="78" spans="1:7">
      <c r="A78" s="113"/>
      <c r="B78" s="114"/>
      <c r="C78" s="112"/>
      <c r="D78" s="112"/>
      <c r="E78" s="112"/>
      <c r="F78" s="112"/>
      <c r="G78" s="112"/>
    </row>
    <row r="79" spans="1:7">
      <c r="A79" s="113"/>
      <c r="B79" s="114"/>
      <c r="C79" s="112"/>
      <c r="D79" s="112"/>
      <c r="E79" s="112"/>
      <c r="F79" s="112"/>
      <c r="G79" s="112"/>
    </row>
    <row r="80" spans="1:7">
      <c r="A80" s="113"/>
      <c r="B80" s="114"/>
      <c r="C80" s="112"/>
      <c r="D80" s="112"/>
      <c r="E80" s="112"/>
      <c r="F80" s="112"/>
      <c r="G80" s="112"/>
    </row>
    <row r="81" spans="1:7">
      <c r="A81" s="113"/>
      <c r="B81" s="114"/>
      <c r="C81" s="112"/>
      <c r="D81" s="112"/>
      <c r="E81" s="112"/>
      <c r="F81" s="112"/>
      <c r="G81" s="112"/>
    </row>
    <row r="82" spans="1:7">
      <c r="A82" s="113"/>
      <c r="B82" s="114"/>
      <c r="C82" s="112"/>
      <c r="D82" s="112"/>
      <c r="E82" s="112"/>
      <c r="F82" s="112"/>
      <c r="G82" s="112"/>
    </row>
    <row r="83" spans="1:7">
      <c r="A83" s="113"/>
      <c r="B83" s="114"/>
      <c r="C83" s="112"/>
      <c r="D83" s="112"/>
      <c r="E83" s="112"/>
      <c r="F83" s="112"/>
      <c r="G83" s="112"/>
    </row>
    <row r="84" spans="1:7">
      <c r="A84" s="113"/>
      <c r="B84" s="114"/>
      <c r="C84" s="112"/>
      <c r="D84" s="112"/>
      <c r="E84" s="112"/>
      <c r="F84" s="112"/>
      <c r="G84" s="112"/>
    </row>
    <row r="85" spans="1:7">
      <c r="A85" s="110"/>
      <c r="B85" s="114"/>
      <c r="C85" s="112"/>
      <c r="D85" s="112"/>
      <c r="E85" s="112"/>
      <c r="F85" s="112"/>
      <c r="G85" s="112"/>
    </row>
    <row r="86" spans="1:7">
      <c r="A86" s="113"/>
      <c r="B86" s="114"/>
      <c r="C86" s="112"/>
      <c r="D86" s="112"/>
      <c r="E86" s="112"/>
      <c r="F86" s="112"/>
      <c r="G86" s="112"/>
    </row>
    <row r="87" spans="1:7">
      <c r="A87" s="110"/>
      <c r="B87" s="114"/>
      <c r="C87" s="112"/>
      <c r="D87" s="112"/>
      <c r="E87" s="112"/>
      <c r="F87" s="112"/>
      <c r="G87" s="112"/>
    </row>
    <row r="88" spans="1:7">
      <c r="A88" s="110"/>
      <c r="B88" s="114"/>
      <c r="C88" s="112"/>
      <c r="D88" s="112"/>
      <c r="E88" s="112"/>
      <c r="F88" s="112"/>
      <c r="G88" s="112"/>
    </row>
    <row r="89" spans="1:7">
      <c r="A89" s="113"/>
      <c r="B89" s="114"/>
      <c r="C89" s="112"/>
      <c r="D89" s="112"/>
      <c r="E89" s="112"/>
      <c r="F89" s="112"/>
      <c r="G89" s="112"/>
    </row>
    <row r="90" spans="1:7">
      <c r="A90" s="113"/>
      <c r="B90" s="114"/>
      <c r="C90" s="112"/>
      <c r="D90" s="112"/>
      <c r="E90" s="112"/>
      <c r="F90" s="112"/>
      <c r="G90" s="112"/>
    </row>
    <row r="91" spans="1:7">
      <c r="A91" s="113"/>
      <c r="B91" s="114"/>
      <c r="C91" s="112"/>
      <c r="D91" s="112"/>
      <c r="E91" s="112"/>
      <c r="F91" s="112"/>
      <c r="G91" s="112"/>
    </row>
    <row r="92" spans="1:7">
      <c r="A92" s="113"/>
      <c r="B92" s="114"/>
      <c r="C92" s="112"/>
      <c r="D92" s="112"/>
      <c r="E92" s="112"/>
      <c r="F92" s="112"/>
      <c r="G92" s="112"/>
    </row>
    <row r="93" spans="1:7">
      <c r="A93" s="113"/>
      <c r="B93" s="114"/>
      <c r="C93" s="112"/>
      <c r="D93" s="112"/>
      <c r="E93" s="112"/>
      <c r="F93" s="112"/>
      <c r="G93" s="112"/>
    </row>
    <row r="94" spans="1:7">
      <c r="A94" s="113"/>
      <c r="B94" s="114"/>
      <c r="C94" s="112"/>
      <c r="D94" s="112"/>
      <c r="E94" s="112"/>
      <c r="F94" s="112"/>
      <c r="G94" s="112"/>
    </row>
    <row r="95" spans="1:7">
      <c r="A95" s="113"/>
      <c r="B95" s="114"/>
      <c r="C95" s="112"/>
      <c r="D95" s="112"/>
      <c r="E95" s="112"/>
      <c r="F95" s="112"/>
      <c r="G95" s="112"/>
    </row>
    <row r="96" spans="1:7">
      <c r="A96" s="113"/>
      <c r="B96" s="114"/>
      <c r="C96" s="112"/>
      <c r="D96" s="112"/>
      <c r="E96" s="112"/>
      <c r="F96" s="112"/>
      <c r="G96" s="112"/>
    </row>
    <row r="97" spans="1:7">
      <c r="A97" s="113"/>
      <c r="B97" s="114"/>
      <c r="C97" s="112"/>
      <c r="D97" s="112"/>
      <c r="E97" s="112"/>
      <c r="F97" s="112"/>
      <c r="G97" s="112"/>
    </row>
    <row r="98" spans="1:7">
      <c r="A98" s="110"/>
      <c r="B98" s="114"/>
      <c r="C98" s="112"/>
      <c r="D98" s="112"/>
      <c r="E98" s="112"/>
      <c r="F98" s="112"/>
      <c r="G98" s="112"/>
    </row>
    <row r="99" spans="1:7">
      <c r="A99" s="113"/>
      <c r="B99" s="114"/>
      <c r="C99" s="112"/>
      <c r="D99" s="112"/>
      <c r="E99" s="112"/>
      <c r="F99" s="112"/>
      <c r="G99" s="112"/>
    </row>
    <row r="100" spans="1:7">
      <c r="A100" s="113"/>
      <c r="B100" s="114"/>
      <c r="C100" s="112"/>
      <c r="D100" s="112"/>
      <c r="E100" s="112"/>
      <c r="F100" s="112"/>
      <c r="G100" s="112"/>
    </row>
    <row r="101" spans="1:7">
      <c r="A101" s="113"/>
      <c r="B101" s="114"/>
      <c r="C101" s="112"/>
      <c r="D101" s="112"/>
      <c r="E101" s="112"/>
      <c r="F101" s="112"/>
      <c r="G101" s="112"/>
    </row>
    <row r="102" spans="1:7">
      <c r="A102" s="113"/>
      <c r="B102" s="114"/>
      <c r="C102" s="112"/>
      <c r="D102" s="112"/>
      <c r="E102" s="112"/>
      <c r="F102" s="112"/>
      <c r="G102" s="112"/>
    </row>
    <row r="103" spans="1:7">
      <c r="A103" s="113"/>
      <c r="B103" s="114"/>
      <c r="C103" s="112"/>
      <c r="D103" s="112"/>
      <c r="E103" s="112"/>
      <c r="F103" s="112"/>
      <c r="G103" s="112"/>
    </row>
    <row r="104" spans="1:7">
      <c r="A104" s="113"/>
      <c r="B104" s="114"/>
      <c r="C104" s="112"/>
      <c r="D104" s="112"/>
      <c r="E104" s="112"/>
      <c r="F104" s="112"/>
      <c r="G104" s="112"/>
    </row>
    <row r="105" spans="1:7">
      <c r="A105" s="113"/>
      <c r="B105" s="114"/>
      <c r="C105" s="112"/>
      <c r="D105" s="112"/>
      <c r="E105" s="112"/>
      <c r="F105" s="112"/>
      <c r="G105" s="112"/>
    </row>
    <row r="106" spans="1:7">
      <c r="A106" s="113"/>
      <c r="B106" s="114"/>
      <c r="C106" s="112"/>
      <c r="D106" s="112"/>
      <c r="E106" s="112"/>
      <c r="F106" s="112"/>
      <c r="G106" s="112"/>
    </row>
    <row r="107" spans="1:7">
      <c r="A107" s="113"/>
      <c r="B107" s="114"/>
      <c r="C107" s="112"/>
      <c r="D107" s="112"/>
      <c r="E107" s="112"/>
      <c r="F107" s="112"/>
      <c r="G107" s="112"/>
    </row>
    <row r="108" spans="1:7">
      <c r="A108" s="113"/>
      <c r="B108" s="114"/>
      <c r="C108" s="112"/>
      <c r="D108" s="112"/>
      <c r="E108" s="112"/>
      <c r="F108" s="112"/>
      <c r="G108" s="112"/>
    </row>
    <row r="109" spans="1:7">
      <c r="A109" s="113"/>
      <c r="B109" s="114"/>
      <c r="C109" s="112"/>
      <c r="D109" s="112"/>
      <c r="E109" s="112"/>
      <c r="F109" s="112"/>
      <c r="G109" s="112"/>
    </row>
    <row r="110" spans="1:7">
      <c r="A110" s="113"/>
      <c r="B110" s="114"/>
      <c r="C110" s="112"/>
      <c r="D110" s="112"/>
      <c r="E110" s="112"/>
      <c r="F110" s="112"/>
      <c r="G110" s="112"/>
    </row>
    <row r="111" spans="1:7">
      <c r="A111" s="113"/>
      <c r="B111" s="114"/>
      <c r="C111" s="112"/>
      <c r="D111" s="112"/>
      <c r="E111" s="112"/>
      <c r="F111" s="112"/>
      <c r="G111" s="112"/>
    </row>
    <row r="112" spans="1:7">
      <c r="A112" s="113"/>
      <c r="B112" s="114"/>
      <c r="C112" s="112"/>
      <c r="D112" s="112"/>
      <c r="E112" s="112"/>
      <c r="F112" s="112"/>
      <c r="G112" s="112"/>
    </row>
    <row r="113" spans="1:7">
      <c r="A113" s="113"/>
      <c r="B113" s="114"/>
      <c r="C113" s="112"/>
      <c r="D113" s="112"/>
      <c r="E113" s="112"/>
      <c r="F113" s="112"/>
      <c r="G113" s="112"/>
    </row>
    <row r="114" spans="1:7">
      <c r="A114" s="113"/>
      <c r="B114" s="114"/>
      <c r="C114" s="112"/>
      <c r="D114" s="112"/>
      <c r="E114" s="112"/>
      <c r="F114" s="112"/>
      <c r="G114" s="112"/>
    </row>
    <row r="115" spans="1:7">
      <c r="A115" s="113"/>
      <c r="B115" s="114"/>
      <c r="C115" s="112"/>
      <c r="D115" s="112"/>
      <c r="E115" s="112"/>
      <c r="F115" s="112"/>
      <c r="G115" s="112"/>
    </row>
    <row r="116" spans="1:7">
      <c r="A116" s="113"/>
      <c r="B116" s="114"/>
      <c r="C116" s="112"/>
      <c r="D116" s="112"/>
      <c r="E116" s="112"/>
      <c r="F116" s="112"/>
      <c r="G116" s="112"/>
    </row>
    <row r="117" spans="1:7">
      <c r="A117" s="113"/>
      <c r="B117" s="114"/>
      <c r="C117" s="112"/>
      <c r="D117" s="112"/>
      <c r="E117" s="112"/>
      <c r="F117" s="112"/>
      <c r="G117" s="112"/>
    </row>
    <row r="118" spans="1:7">
      <c r="A118" s="110"/>
      <c r="B118" s="114"/>
      <c r="C118" s="112"/>
      <c r="D118" s="112"/>
      <c r="E118" s="112"/>
      <c r="F118" s="112"/>
      <c r="G118" s="112"/>
    </row>
    <row r="119" spans="1:7">
      <c r="A119" s="110"/>
      <c r="B119" s="114"/>
      <c r="C119" s="112"/>
      <c r="D119" s="112"/>
      <c r="E119" s="112"/>
      <c r="F119" s="112"/>
      <c r="G119" s="112"/>
    </row>
    <row r="120" spans="1:7">
      <c r="A120" s="113"/>
      <c r="B120" s="114"/>
      <c r="C120" s="112"/>
      <c r="D120" s="112"/>
      <c r="E120" s="112"/>
      <c r="F120" s="112"/>
      <c r="G120" s="112"/>
    </row>
    <row r="121" spans="1:7">
      <c r="A121" s="113"/>
      <c r="B121" s="114"/>
      <c r="C121" s="112"/>
      <c r="D121" s="112"/>
      <c r="E121" s="112"/>
      <c r="F121" s="112"/>
      <c r="G121" s="112"/>
    </row>
    <row r="122" spans="1:7">
      <c r="A122" s="113"/>
      <c r="B122" s="114"/>
      <c r="C122" s="112"/>
      <c r="D122" s="112"/>
      <c r="E122" s="112"/>
      <c r="F122" s="112"/>
      <c r="G122" s="112"/>
    </row>
    <row r="123" spans="1:7">
      <c r="A123" s="113"/>
      <c r="B123" s="114"/>
      <c r="C123" s="112"/>
      <c r="D123" s="112"/>
      <c r="E123" s="112"/>
      <c r="F123" s="112"/>
      <c r="G123" s="112"/>
    </row>
    <row r="124" spans="1:7">
      <c r="A124" s="113"/>
      <c r="B124" s="114"/>
      <c r="C124" s="112"/>
      <c r="D124" s="112"/>
      <c r="E124" s="112"/>
      <c r="F124" s="112"/>
      <c r="G124" s="112"/>
    </row>
    <row r="125" spans="1:7">
      <c r="A125" s="113"/>
      <c r="B125" s="114"/>
      <c r="C125" s="112"/>
      <c r="D125" s="112"/>
      <c r="E125" s="112"/>
      <c r="F125" s="112"/>
      <c r="G125" s="112"/>
    </row>
    <row r="126" spans="1:7">
      <c r="F126" s="36"/>
    </row>
    <row r="127" spans="1:7">
      <c r="F127" s="36"/>
    </row>
    <row r="128" spans="1:7">
      <c r="F128" s="36"/>
    </row>
    <row r="129" spans="6:6">
      <c r="F129" s="36"/>
    </row>
    <row r="130" spans="6:6">
      <c r="F130" s="36"/>
    </row>
    <row r="131" spans="6:6">
      <c r="F131" s="36"/>
    </row>
    <row r="132" spans="6:6">
      <c r="F132" s="36"/>
    </row>
    <row r="133" spans="6:6">
      <c r="F133" s="36"/>
    </row>
    <row r="134" spans="6:6">
      <c r="F134" s="36"/>
    </row>
    <row r="135" spans="6:6">
      <c r="F135" s="36"/>
    </row>
    <row r="136" spans="6:6">
      <c r="F136" s="36"/>
    </row>
    <row r="137" spans="6:6">
      <c r="F137" s="36"/>
    </row>
    <row r="138" spans="6:6">
      <c r="F138" s="36"/>
    </row>
    <row r="139" spans="6:6">
      <c r="F139" s="36"/>
    </row>
    <row r="140" spans="6:6">
      <c r="F140" s="36"/>
    </row>
    <row r="141" spans="6:6">
      <c r="F141" s="36"/>
    </row>
    <row r="142" spans="6:6">
      <c r="F142" s="36"/>
    </row>
    <row r="143" spans="6:6">
      <c r="F143" s="36"/>
    </row>
    <row r="144" spans="6:6">
      <c r="F144" s="36"/>
    </row>
    <row r="145" spans="6:6">
      <c r="F145" s="36"/>
    </row>
    <row r="146" spans="6:6">
      <c r="F146" s="36"/>
    </row>
    <row r="147" spans="6:6">
      <c r="F147" s="36"/>
    </row>
    <row r="148" spans="6:6">
      <c r="F148" s="36"/>
    </row>
    <row r="149" spans="6:6">
      <c r="F149" s="36"/>
    </row>
    <row r="150" spans="6:6">
      <c r="F150" s="36"/>
    </row>
    <row r="151" spans="6:6">
      <c r="F151" s="36"/>
    </row>
    <row r="152" spans="6:6">
      <c r="F152" s="36"/>
    </row>
    <row r="153" spans="6:6">
      <c r="F153" s="36"/>
    </row>
    <row r="154" spans="6:6">
      <c r="F154" s="36"/>
    </row>
    <row r="155" spans="6:6">
      <c r="F155" s="36"/>
    </row>
    <row r="156" spans="6:6">
      <c r="F156" s="36"/>
    </row>
    <row r="157" spans="6:6">
      <c r="F157" s="36"/>
    </row>
    <row r="158" spans="6:6">
      <c r="F158" s="36"/>
    </row>
    <row r="159" spans="6:6">
      <c r="F159" s="36"/>
    </row>
    <row r="160" spans="6:6">
      <c r="F160" s="36"/>
    </row>
    <row r="161" spans="6:6">
      <c r="F161" s="36"/>
    </row>
    <row r="162" spans="6:6">
      <c r="F162" s="36"/>
    </row>
    <row r="163" spans="6:6">
      <c r="F163" s="36"/>
    </row>
    <row r="164" spans="6:6">
      <c r="F164" s="36"/>
    </row>
    <row r="165" spans="6:6">
      <c r="F165" s="36"/>
    </row>
    <row r="166" spans="6:6">
      <c r="F166" s="36"/>
    </row>
    <row r="167" spans="6:6">
      <c r="F167" s="36"/>
    </row>
    <row r="168" spans="6:6">
      <c r="F168" s="36"/>
    </row>
    <row r="169" spans="6:6">
      <c r="F169" s="36"/>
    </row>
    <row r="170" spans="6:6">
      <c r="F170" s="36"/>
    </row>
    <row r="171" spans="6:6">
      <c r="F171" s="36"/>
    </row>
    <row r="172" spans="6:6">
      <c r="F172" s="36"/>
    </row>
    <row r="173" spans="6:6">
      <c r="F173" s="36"/>
    </row>
    <row r="174" spans="6:6">
      <c r="F174" s="36"/>
    </row>
    <row r="175" spans="6:6">
      <c r="F175" s="36"/>
    </row>
    <row r="176" spans="6:6">
      <c r="F176" s="36"/>
    </row>
    <row r="177" spans="6:6">
      <c r="F177" s="36"/>
    </row>
    <row r="178" spans="6:6">
      <c r="F178" s="36"/>
    </row>
    <row r="179" spans="6:6">
      <c r="F179" s="36"/>
    </row>
    <row r="180" spans="6:6">
      <c r="F180" s="36"/>
    </row>
    <row r="181" spans="6:6">
      <c r="F181" s="36"/>
    </row>
    <row r="182" spans="6:6">
      <c r="F182" s="36"/>
    </row>
    <row r="183" spans="6:6">
      <c r="F183" s="36"/>
    </row>
    <row r="184" spans="6:6">
      <c r="F184" s="36"/>
    </row>
    <row r="185" spans="6:6">
      <c r="F185" s="36"/>
    </row>
    <row r="186" spans="6:6">
      <c r="F186" s="36"/>
    </row>
    <row r="187" spans="6:6">
      <c r="F187" s="36"/>
    </row>
    <row r="188" spans="6:6">
      <c r="F188" s="36"/>
    </row>
    <row r="189" spans="6:6">
      <c r="F189" s="36"/>
    </row>
    <row r="190" spans="6:6">
      <c r="F190" s="36"/>
    </row>
    <row r="191" spans="6:6">
      <c r="F191" s="36"/>
    </row>
  </sheetData>
  <pageMargins left="0.7" right="0.7" top="0.75" bottom="0.75" header="0.3" footer="0.3"/>
  <pageSetup scale="56" orientation="portrait" r:id="rId1"/>
  <headerFooter>
    <oddHeader xml:space="preserve">&amp;C&amp;"-,Bold"&amp;12
</oddHeader>
    <oddFooter>&amp;L&amp;F - 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152"/>
  <sheetViews>
    <sheetView topLeftCell="A40" zoomScale="85" zoomScaleNormal="85" workbookViewId="0">
      <selection activeCell="C74" sqref="C74"/>
    </sheetView>
  </sheetViews>
  <sheetFormatPr defaultRowHeight="15"/>
  <cols>
    <col min="1" max="1" width="22.7109375" style="69" customWidth="1"/>
    <col min="2" max="2" width="29.140625" style="69" bestFit="1" customWidth="1"/>
    <col min="3" max="3" width="13.28515625" style="69" customWidth="1"/>
    <col min="4" max="11" width="16.7109375" style="69" customWidth="1"/>
    <col min="12" max="12" width="14" style="69" bestFit="1" customWidth="1"/>
    <col min="13" max="13" width="15.7109375" style="69" bestFit="1" customWidth="1"/>
    <col min="14" max="14" width="12.5703125" style="69" bestFit="1" customWidth="1"/>
    <col min="15" max="15" width="1.5703125" style="69" customWidth="1"/>
    <col min="16" max="16" width="15" style="69" bestFit="1" customWidth="1"/>
    <col min="17" max="17" width="16.85546875" style="69" bestFit="1" customWidth="1"/>
    <col min="18" max="18" width="9.5703125" style="69" bestFit="1" customWidth="1"/>
    <col min="19" max="19" width="2" style="69" customWidth="1"/>
    <col min="20" max="20" width="10.7109375" style="69" bestFit="1" customWidth="1"/>
    <col min="21" max="16384" width="9.140625" style="69"/>
  </cols>
  <sheetData>
    <row r="1" spans="1:18">
      <c r="A1" s="214" t="s">
        <v>429</v>
      </c>
    </row>
    <row r="3" spans="1:18" ht="12" customHeight="1">
      <c r="A3" s="208" t="s">
        <v>0</v>
      </c>
      <c r="B3" s="71"/>
      <c r="C3" s="160" t="s">
        <v>122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161"/>
    </row>
    <row r="4" spans="1:18" ht="12" customHeight="1">
      <c r="A4" s="208" t="s">
        <v>123</v>
      </c>
      <c r="B4" s="71"/>
      <c r="C4" s="161"/>
      <c r="D4" s="71"/>
      <c r="E4" s="71"/>
      <c r="F4" s="71"/>
      <c r="G4" s="71"/>
      <c r="H4" s="71"/>
      <c r="I4" s="71"/>
      <c r="J4" s="71"/>
      <c r="K4" s="71"/>
      <c r="L4" s="161"/>
      <c r="M4" s="71"/>
      <c r="N4" s="71"/>
      <c r="O4" s="71"/>
      <c r="P4" s="71"/>
      <c r="Q4" s="71"/>
      <c r="R4" s="161"/>
    </row>
    <row r="5" spans="1:18" ht="12" customHeight="1">
      <c r="A5" s="209" t="s">
        <v>2</v>
      </c>
      <c r="B5" s="71"/>
      <c r="C5" s="71" t="s">
        <v>124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61"/>
    </row>
    <row r="6" spans="1:18" ht="25.5" customHeight="1">
      <c r="A6" s="209"/>
      <c r="B6" s="71"/>
      <c r="C6" s="71"/>
      <c r="D6" s="162" t="s">
        <v>125</v>
      </c>
      <c r="E6" s="162" t="s">
        <v>126</v>
      </c>
      <c r="F6" s="162" t="s">
        <v>127</v>
      </c>
      <c r="G6" s="163" t="s">
        <v>128</v>
      </c>
      <c r="H6" s="163"/>
      <c r="I6" s="163" t="s">
        <v>129</v>
      </c>
      <c r="J6" s="163" t="s">
        <v>130</v>
      </c>
      <c r="K6" s="164"/>
      <c r="L6" s="71"/>
      <c r="M6" s="71"/>
      <c r="N6" s="71"/>
      <c r="O6" s="71"/>
      <c r="P6" s="71"/>
      <c r="Q6" s="71"/>
      <c r="R6" s="161"/>
    </row>
    <row r="7" spans="1:18" ht="19.5" customHeight="1">
      <c r="A7" s="161"/>
      <c r="B7" s="71"/>
      <c r="C7" s="71"/>
      <c r="D7" s="165">
        <f>'[11]Staff LG G-48'!E4</f>
        <v>156360.19147202992</v>
      </c>
      <c r="E7" s="166">
        <f>'[11]Pro-forma'!J30</f>
        <v>5773.1046131634448</v>
      </c>
      <c r="F7" s="167">
        <f>D7-E7</f>
        <v>150587.08685886647</v>
      </c>
      <c r="G7" s="168">
        <f>D7/'[11]Staff LG G-48'!E5</f>
        <v>0.17635764155992983</v>
      </c>
      <c r="H7" s="168"/>
      <c r="I7" s="169">
        <f>I44+I119+I138+'[11]Consolidated IS'!G76</f>
        <v>155559.63012815858</v>
      </c>
      <c r="J7" s="169">
        <f>I7-D7</f>
        <v>-800.56134387134807</v>
      </c>
      <c r="K7" s="170"/>
      <c r="L7" s="71"/>
      <c r="M7" s="71"/>
      <c r="N7" s="71"/>
      <c r="O7" s="71"/>
      <c r="P7" s="71"/>
      <c r="Q7" s="71"/>
      <c r="R7" s="161"/>
    </row>
    <row r="8" spans="1:18" ht="26.25" customHeight="1">
      <c r="A8" s="71"/>
      <c r="B8" s="72"/>
      <c r="C8" s="73" t="s">
        <v>131</v>
      </c>
      <c r="D8" s="73" t="s">
        <v>132</v>
      </c>
      <c r="E8" s="72" t="s">
        <v>133</v>
      </c>
      <c r="F8" s="72" t="s">
        <v>134</v>
      </c>
      <c r="G8" s="73" t="s">
        <v>135</v>
      </c>
      <c r="H8" s="72" t="s">
        <v>136</v>
      </c>
      <c r="I8" s="72" t="s">
        <v>137</v>
      </c>
      <c r="J8" s="73" t="s">
        <v>10</v>
      </c>
      <c r="K8" s="73" t="s">
        <v>138</v>
      </c>
      <c r="L8" s="171" t="s">
        <v>131</v>
      </c>
      <c r="M8" s="171" t="s">
        <v>132</v>
      </c>
      <c r="N8" s="72" t="s">
        <v>4</v>
      </c>
      <c r="O8" s="71"/>
      <c r="P8" s="171" t="s">
        <v>131</v>
      </c>
      <c r="Q8" s="171" t="s">
        <v>132</v>
      </c>
      <c r="R8" s="172" t="s">
        <v>139</v>
      </c>
    </row>
    <row r="9" spans="1:18" ht="12" customHeight="1">
      <c r="A9" s="73" t="s">
        <v>140</v>
      </c>
      <c r="B9" s="72" t="s">
        <v>13</v>
      </c>
      <c r="C9" s="73" t="s">
        <v>10</v>
      </c>
      <c r="D9" s="73" t="s">
        <v>10</v>
      </c>
      <c r="E9" s="73"/>
      <c r="F9" s="73"/>
      <c r="G9" s="73"/>
      <c r="H9" s="73"/>
      <c r="I9" s="73"/>
      <c r="J9" s="73"/>
      <c r="K9" s="73"/>
      <c r="L9" s="72" t="s">
        <v>12</v>
      </c>
      <c r="M9" s="72" t="s">
        <v>12</v>
      </c>
      <c r="N9" s="72" t="s">
        <v>12</v>
      </c>
      <c r="O9" s="71"/>
      <c r="P9" s="72" t="s">
        <v>14</v>
      </c>
      <c r="Q9" s="72" t="s">
        <v>14</v>
      </c>
      <c r="R9" s="172" t="s">
        <v>141</v>
      </c>
    </row>
    <row r="10" spans="1:18" ht="6.75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18" s="68" customFormat="1" ht="12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61"/>
    </row>
    <row r="12" spans="1:18" s="68" customFormat="1" ht="12" customHeight="1">
      <c r="A12" s="71"/>
      <c r="B12" s="71"/>
      <c r="C12" s="71"/>
      <c r="D12" s="173"/>
      <c r="E12" s="173"/>
      <c r="F12" s="173"/>
      <c r="G12" s="173"/>
      <c r="H12" s="173"/>
      <c r="I12" s="173"/>
      <c r="J12" s="173"/>
      <c r="K12" s="173"/>
      <c r="L12" s="173"/>
      <c r="M12" s="71"/>
      <c r="N12" s="71"/>
      <c r="O12" s="71"/>
      <c r="P12" s="71"/>
      <c r="Q12" s="71"/>
      <c r="R12" s="161"/>
    </row>
    <row r="13" spans="1:18" s="68" customFormat="1" ht="12" customHeight="1">
      <c r="A13" s="174" t="s">
        <v>20</v>
      </c>
      <c r="B13" s="174" t="s">
        <v>20</v>
      </c>
      <c r="C13" s="174"/>
      <c r="D13" s="173"/>
      <c r="E13" s="173"/>
      <c r="F13" s="173"/>
      <c r="G13" s="173"/>
      <c r="H13" s="173"/>
      <c r="I13" s="173"/>
      <c r="J13" s="173"/>
      <c r="K13" s="173"/>
      <c r="L13" s="173"/>
      <c r="M13" s="71"/>
      <c r="N13" s="71"/>
      <c r="O13" s="71"/>
      <c r="P13" s="71"/>
      <c r="Q13" s="71"/>
      <c r="R13" s="161"/>
    </row>
    <row r="14" spans="1:18" s="68" customFormat="1" ht="12" customHeight="1">
      <c r="A14" s="174"/>
      <c r="B14" s="174"/>
      <c r="C14" s="174"/>
      <c r="D14" s="173"/>
      <c r="E14" s="173"/>
      <c r="F14" s="173"/>
      <c r="G14" s="173"/>
      <c r="H14" s="173"/>
      <c r="I14" s="173"/>
      <c r="J14" s="173"/>
      <c r="K14" s="173"/>
      <c r="L14" s="173"/>
      <c r="M14" s="71"/>
      <c r="N14" s="71"/>
      <c r="O14" s="71"/>
      <c r="P14" s="71"/>
      <c r="Q14" s="71"/>
      <c r="R14" s="161"/>
    </row>
    <row r="15" spans="1:18" s="68" customFormat="1" ht="12" customHeight="1">
      <c r="A15" s="175" t="s">
        <v>21</v>
      </c>
      <c r="B15" s="175" t="s">
        <v>21</v>
      </c>
      <c r="C15" s="175"/>
      <c r="D15" s="176"/>
      <c r="E15" s="176"/>
      <c r="F15" s="176"/>
      <c r="G15" s="176"/>
      <c r="H15" s="176"/>
      <c r="I15" s="176"/>
      <c r="J15" s="176"/>
      <c r="K15" s="176"/>
      <c r="L15" s="177"/>
      <c r="M15" s="177"/>
      <c r="N15" s="178"/>
      <c r="O15" s="71"/>
      <c r="P15" s="177"/>
      <c r="Q15" s="177"/>
      <c r="R15" s="161"/>
    </row>
    <row r="16" spans="1:18" s="68" customFormat="1" ht="12" customHeight="1">
      <c r="A16" s="197" t="s">
        <v>142</v>
      </c>
      <c r="B16" s="210" t="s">
        <v>22</v>
      </c>
      <c r="C16" s="179">
        <v>12.7</v>
      </c>
      <c r="D16" s="176">
        <v>14.27</v>
      </c>
      <c r="E16" s="176">
        <f>'[11]Staff Disposal Calcs'!L4</f>
        <v>4.783124729467951E-2</v>
      </c>
      <c r="F16" s="176">
        <f>E16+D16</f>
        <v>14.317831247294679</v>
      </c>
      <c r="G16" s="176">
        <f>F16*$G$7</f>
        <v>2.525058951025958</v>
      </c>
      <c r="H16" s="176">
        <f>ROUND(F16+G16,2)</f>
        <v>16.84</v>
      </c>
      <c r="I16" s="176">
        <f>(G16+E16)*R16*12</f>
        <v>26.464013468440839</v>
      </c>
      <c r="J16" s="176">
        <f>H16</f>
        <v>16.84</v>
      </c>
      <c r="K16" s="176">
        <f>J16*R16*12</f>
        <v>173.21142857142854</v>
      </c>
      <c r="L16" s="177">
        <v>0</v>
      </c>
      <c r="M16" s="177">
        <v>85.61999999999999</v>
      </c>
      <c r="N16" s="177">
        <f t="shared" ref="N16:N42" si="0">SUM(L16:M16)</f>
        <v>85.61999999999999</v>
      </c>
      <c r="O16" s="71"/>
      <c r="P16" s="177">
        <f>IFERROR(L16/($C16),0)/5</f>
        <v>0</v>
      </c>
      <c r="Q16" s="177">
        <f>IFERROR(M16/($D16),0)/7</f>
        <v>0.85714285714285698</v>
      </c>
      <c r="R16" s="180">
        <f t="shared" ref="R16:R30" si="1">IFERROR(AVERAGEIF(P16:Q16,"&lt;&gt;0"),0)</f>
        <v>0.85714285714285698</v>
      </c>
    </row>
    <row r="17" spans="1:18" s="68" customFormat="1" ht="12" customHeight="1">
      <c r="A17" s="197" t="s">
        <v>143</v>
      </c>
      <c r="B17" s="210" t="s">
        <v>23</v>
      </c>
      <c r="C17" s="179">
        <v>13.8</v>
      </c>
      <c r="D17" s="176">
        <v>16.47</v>
      </c>
      <c r="E17" s="176">
        <f>'[11]Staff Disposal Calcs'!L5</f>
        <v>8.1313120400955161E-2</v>
      </c>
      <c r="F17" s="176">
        <f t="shared" ref="F17:F39" si="2">E17+D17</f>
        <v>16.551313120400955</v>
      </c>
      <c r="G17" s="176">
        <f t="shared" ref="G17:G39" si="3">F17*$G$7</f>
        <v>2.9189505466338357</v>
      </c>
      <c r="H17" s="176">
        <f t="shared" ref="H17:H39" si="4">ROUND(F17+G17,2)</f>
        <v>19.47</v>
      </c>
      <c r="I17" s="176">
        <f t="shared" ref="I17:I39" si="5">(G17+E17)*R17*12</f>
        <v>31592.114271716717</v>
      </c>
      <c r="J17" s="176">
        <f t="shared" ref="J17:J39" si="6">H17</f>
        <v>19.47</v>
      </c>
      <c r="K17" s="176">
        <f t="shared" ref="K17:K39" si="7">J17*R17*12</f>
        <v>205014.80307503644</v>
      </c>
      <c r="L17" s="177">
        <v>59164.569999999992</v>
      </c>
      <c r="M17" s="177">
        <v>103473.43000000001</v>
      </c>
      <c r="N17" s="177">
        <f t="shared" si="0"/>
        <v>162638</v>
      </c>
      <c r="O17" s="71"/>
      <c r="P17" s="177">
        <f t="shared" ref="P17:P30" si="8">IFERROR(L17/($C17),0)/5</f>
        <v>857.45753623188398</v>
      </c>
      <c r="Q17" s="177">
        <f t="shared" ref="Q17:Q39" si="9">IFERROR(M17/($D17),0)/7</f>
        <v>897.50568132535352</v>
      </c>
      <c r="R17" s="181">
        <f t="shared" si="1"/>
        <v>877.48160877861869</v>
      </c>
    </row>
    <row r="18" spans="1:18" s="68" customFormat="1" ht="12" customHeight="1">
      <c r="A18" s="197" t="s">
        <v>144</v>
      </c>
      <c r="B18" s="210" t="s">
        <v>24</v>
      </c>
      <c r="C18" s="179">
        <v>18.55</v>
      </c>
      <c r="D18" s="176">
        <v>22.55</v>
      </c>
      <c r="E18" s="176">
        <f>'[11]Staff Disposal Calcs'!L6</f>
        <v>0.12196968060143275</v>
      </c>
      <c r="F18" s="176">
        <f t="shared" si="2"/>
        <v>22.671969680601432</v>
      </c>
      <c r="G18" s="176">
        <f t="shared" si="3"/>
        <v>3.9983751023891041</v>
      </c>
      <c r="H18" s="176">
        <f t="shared" si="4"/>
        <v>26.67</v>
      </c>
      <c r="I18" s="176">
        <f t="shared" si="5"/>
        <v>17148.210294355351</v>
      </c>
      <c r="J18" s="176">
        <f t="shared" si="6"/>
        <v>26.67</v>
      </c>
      <c r="K18" s="176">
        <f t="shared" si="7"/>
        <v>110996.23760575659</v>
      </c>
      <c r="L18" s="177">
        <v>31501.759999999998</v>
      </c>
      <c r="M18" s="177">
        <v>55878.609999999993</v>
      </c>
      <c r="N18" s="177">
        <f t="shared" si="0"/>
        <v>87380.37</v>
      </c>
      <c r="O18" s="71"/>
      <c r="P18" s="177">
        <f t="shared" si="8"/>
        <v>339.64161725067385</v>
      </c>
      <c r="Q18" s="177">
        <f t="shared" si="9"/>
        <v>353.99816281279692</v>
      </c>
      <c r="R18" s="181">
        <f t="shared" si="1"/>
        <v>346.81989003173538</v>
      </c>
    </row>
    <row r="19" spans="1:18" s="68" customFormat="1" ht="12" customHeight="1">
      <c r="A19" s="197" t="s">
        <v>145</v>
      </c>
      <c r="B19" s="210" t="s">
        <v>25</v>
      </c>
      <c r="C19" s="179">
        <v>23.3</v>
      </c>
      <c r="D19" s="176">
        <v>29.34</v>
      </c>
      <c r="E19" s="176">
        <f>'[11]Staff Disposal Calcs'!L7</f>
        <v>0.1841503020845161</v>
      </c>
      <c r="F19" s="176">
        <f t="shared" si="2"/>
        <v>29.524150302084514</v>
      </c>
      <c r="G19" s="176">
        <f t="shared" si="3"/>
        <v>5.2068095163365147</v>
      </c>
      <c r="H19" s="176">
        <f t="shared" si="4"/>
        <v>34.729999999999997</v>
      </c>
      <c r="I19" s="176">
        <f t="shared" si="5"/>
        <v>2454.5470407273497</v>
      </c>
      <c r="J19" s="176">
        <f t="shared" si="6"/>
        <v>34.729999999999997</v>
      </c>
      <c r="K19" s="176">
        <f t="shared" si="7"/>
        <v>15812.846245518638</v>
      </c>
      <c r="L19" s="177">
        <v>4436.2700000000004</v>
      </c>
      <c r="M19" s="177">
        <v>7764.41</v>
      </c>
      <c r="N19" s="177">
        <f t="shared" si="0"/>
        <v>12200.68</v>
      </c>
      <c r="O19" s="71"/>
      <c r="P19" s="177">
        <f t="shared" si="8"/>
        <v>38.079570815450651</v>
      </c>
      <c r="Q19" s="177">
        <f t="shared" si="9"/>
        <v>37.805092998344534</v>
      </c>
      <c r="R19" s="181">
        <f t="shared" si="1"/>
        <v>37.942331906897593</v>
      </c>
    </row>
    <row r="20" spans="1:18" s="68" customFormat="1" ht="12" customHeight="1">
      <c r="A20" s="197" t="s">
        <v>146</v>
      </c>
      <c r="B20" s="210" t="s">
        <v>26</v>
      </c>
      <c r="C20" s="179">
        <v>28.1</v>
      </c>
      <c r="D20" s="176">
        <v>35.700000000000003</v>
      </c>
      <c r="E20" s="176">
        <f>'[11]Staff Disposal Calcs'!L8</f>
        <v>0.23198154937919557</v>
      </c>
      <c r="F20" s="176">
        <f t="shared" si="2"/>
        <v>35.931981549379195</v>
      </c>
      <c r="G20" s="176">
        <f t="shared" si="3"/>
        <v>6.3368795226234287</v>
      </c>
      <c r="H20" s="176">
        <f t="shared" si="4"/>
        <v>42.27</v>
      </c>
      <c r="I20" s="176">
        <f t="shared" si="5"/>
        <v>588.89041362157718</v>
      </c>
      <c r="J20" s="176">
        <f t="shared" si="6"/>
        <v>42.27</v>
      </c>
      <c r="K20" s="176">
        <f t="shared" si="7"/>
        <v>3789.4541399084901</v>
      </c>
      <c r="L20" s="177">
        <v>754.49</v>
      </c>
      <c r="M20" s="177">
        <v>2391.9</v>
      </c>
      <c r="N20" s="177">
        <f t="shared" si="0"/>
        <v>3146.3900000000003</v>
      </c>
      <c r="O20" s="71"/>
      <c r="P20" s="177">
        <f t="shared" si="8"/>
        <v>5.3700355871886121</v>
      </c>
      <c r="Q20" s="177">
        <f t="shared" si="9"/>
        <v>9.5714285714285712</v>
      </c>
      <c r="R20" s="181">
        <f t="shared" si="1"/>
        <v>7.4707320793085916</v>
      </c>
    </row>
    <row r="21" spans="1:18" s="68" customFormat="1" ht="12" customHeight="1">
      <c r="A21" s="197" t="s">
        <v>147</v>
      </c>
      <c r="B21" s="210" t="s">
        <v>27</v>
      </c>
      <c r="C21" s="179">
        <v>34.1</v>
      </c>
      <c r="D21" s="176">
        <v>43.27</v>
      </c>
      <c r="E21" s="176">
        <f>'[11]Staff Disposal Calcs'!L9</f>
        <v>0.2798127966738751</v>
      </c>
      <c r="F21" s="176">
        <f t="shared" si="2"/>
        <v>43.549812796673876</v>
      </c>
      <c r="G21" s="176">
        <f t="shared" si="3"/>
        <v>7.6803422751978569</v>
      </c>
      <c r="H21" s="176">
        <f t="shared" si="4"/>
        <v>51.23</v>
      </c>
      <c r="I21" s="176">
        <f t="shared" si="5"/>
        <v>61.406910554439072</v>
      </c>
      <c r="J21" s="176">
        <f t="shared" si="6"/>
        <v>51.23</v>
      </c>
      <c r="K21" s="176">
        <f t="shared" si="7"/>
        <v>395.20285714285711</v>
      </c>
      <c r="L21" s="177">
        <v>170.5</v>
      </c>
      <c r="M21" s="177">
        <v>86.54</v>
      </c>
      <c r="N21" s="177">
        <f t="shared" si="0"/>
        <v>257.04000000000002</v>
      </c>
      <c r="O21" s="71"/>
      <c r="P21" s="177">
        <f t="shared" si="8"/>
        <v>1</v>
      </c>
      <c r="Q21" s="177">
        <f t="shared" si="9"/>
        <v>0.2857142857142857</v>
      </c>
      <c r="R21" s="181">
        <f t="shared" si="1"/>
        <v>0.64285714285714279</v>
      </c>
    </row>
    <row r="22" spans="1:18" s="68" customFormat="1" ht="12" customHeight="1">
      <c r="A22" s="197" t="s">
        <v>148</v>
      </c>
      <c r="B22" s="210" t="s">
        <v>28</v>
      </c>
      <c r="C22" s="179">
        <v>39.049999999999997</v>
      </c>
      <c r="D22" s="176">
        <v>51.36</v>
      </c>
      <c r="E22" s="176">
        <f>'[11]Staff Disposal Calcs'!L10</f>
        <v>0.32764404396855457</v>
      </c>
      <c r="F22" s="176">
        <f t="shared" si="2"/>
        <v>51.687644043968554</v>
      </c>
      <c r="G22" s="176">
        <f t="shared" si="3"/>
        <v>9.1155110013834477</v>
      </c>
      <c r="H22" s="176">
        <f t="shared" si="4"/>
        <v>60.8</v>
      </c>
      <c r="I22" s="176">
        <f t="shared" si="5"/>
        <v>194.25918950438407</v>
      </c>
      <c r="J22" s="176">
        <f t="shared" si="6"/>
        <v>60.8</v>
      </c>
      <c r="K22" s="176">
        <f t="shared" si="7"/>
        <v>1250.7428571428572</v>
      </c>
      <c r="L22" s="177">
        <v>390.5</v>
      </c>
      <c r="M22" s="177">
        <v>513.6</v>
      </c>
      <c r="N22" s="177">
        <f t="shared" si="0"/>
        <v>904.1</v>
      </c>
      <c r="O22" s="71"/>
      <c r="P22" s="177">
        <f t="shared" si="8"/>
        <v>2</v>
      </c>
      <c r="Q22" s="177">
        <f t="shared" si="9"/>
        <v>1.4285714285714286</v>
      </c>
      <c r="R22" s="181">
        <f t="shared" si="1"/>
        <v>1.7142857142857144</v>
      </c>
    </row>
    <row r="23" spans="1:18" s="68" customFormat="1" ht="12" customHeight="1">
      <c r="A23" s="197" t="s">
        <v>149</v>
      </c>
      <c r="B23" s="210" t="s">
        <v>29</v>
      </c>
      <c r="C23" s="179">
        <v>9.1999999999999993</v>
      </c>
      <c r="D23" s="176">
        <v>10.44</v>
      </c>
      <c r="E23" s="176">
        <f>'[11]Staff Disposal Calcs'!L11</f>
        <v>4.0656560200477587E-2</v>
      </c>
      <c r="F23" s="176">
        <f t="shared" si="2"/>
        <v>10.480656560200478</v>
      </c>
      <c r="G23" s="176">
        <f t="shared" si="3"/>
        <v>1.8483438729565631</v>
      </c>
      <c r="H23" s="176">
        <f t="shared" si="4"/>
        <v>12.33</v>
      </c>
      <c r="I23" s="176">
        <f t="shared" si="5"/>
        <v>1974.6366757580827</v>
      </c>
      <c r="J23" s="176">
        <f t="shared" si="6"/>
        <v>12.33</v>
      </c>
      <c r="K23" s="176">
        <f t="shared" si="7"/>
        <v>12888.970158363678</v>
      </c>
      <c r="L23" s="177">
        <v>3861.5200000000004</v>
      </c>
      <c r="M23" s="177">
        <v>6597.39</v>
      </c>
      <c r="N23" s="177">
        <f t="shared" si="0"/>
        <v>10458.91</v>
      </c>
      <c r="O23" s="71"/>
      <c r="P23" s="177">
        <f t="shared" si="8"/>
        <v>83.946086956521754</v>
      </c>
      <c r="Q23" s="177">
        <f t="shared" si="9"/>
        <v>90.276272577996721</v>
      </c>
      <c r="R23" s="181">
        <f t="shared" si="1"/>
        <v>87.111179767259244</v>
      </c>
    </row>
    <row r="24" spans="1:18" s="68" customFormat="1" ht="12" customHeight="1">
      <c r="A24" s="197" t="s">
        <v>150</v>
      </c>
      <c r="B24" s="210" t="s">
        <v>30</v>
      </c>
      <c r="C24" s="179">
        <v>4.5999999999999996</v>
      </c>
      <c r="D24" s="176">
        <v>5.22</v>
      </c>
      <c r="E24" s="176">
        <f>'[11]Staff Disposal Calcs'!L12</f>
        <v>1.8764566246374268E-2</v>
      </c>
      <c r="F24" s="176">
        <f t="shared" si="2"/>
        <v>5.238764566246374</v>
      </c>
      <c r="G24" s="176">
        <f t="shared" si="3"/>
        <v>0.92389616359093929</v>
      </c>
      <c r="H24" s="176">
        <f t="shared" si="4"/>
        <v>6.16</v>
      </c>
      <c r="I24" s="176">
        <f t="shared" si="5"/>
        <v>294.25593809540925</v>
      </c>
      <c r="J24" s="176">
        <f t="shared" si="6"/>
        <v>6.16</v>
      </c>
      <c r="K24" s="176">
        <f t="shared" si="7"/>
        <v>1922.8726956521743</v>
      </c>
      <c r="L24" s="177">
        <v>585.45000000000005</v>
      </c>
      <c r="M24" s="177">
        <v>970.92000000000007</v>
      </c>
      <c r="N24" s="177">
        <f t="shared" si="0"/>
        <v>1556.3700000000001</v>
      </c>
      <c r="O24" s="71"/>
      <c r="P24" s="177">
        <f t="shared" si="8"/>
        <v>25.454347826086959</v>
      </c>
      <c r="Q24" s="177">
        <f t="shared" si="9"/>
        <v>26.571428571428577</v>
      </c>
      <c r="R24" s="181">
        <f t="shared" si="1"/>
        <v>26.012888198757768</v>
      </c>
    </row>
    <row r="25" spans="1:18" s="68" customFormat="1" ht="12" customHeight="1">
      <c r="A25" s="197" t="s">
        <v>151</v>
      </c>
      <c r="B25" s="210" t="s">
        <v>31</v>
      </c>
      <c r="C25" s="179">
        <v>22.95</v>
      </c>
      <c r="D25" s="176">
        <v>26.7</v>
      </c>
      <c r="E25" s="176">
        <f>'[11]Staff Disposal Calcs'!L13</f>
        <v>9.5662494589359007E-2</v>
      </c>
      <c r="F25" s="176">
        <f t="shared" si="2"/>
        <v>26.795662494589358</v>
      </c>
      <c r="G25" s="176">
        <f t="shared" si="3"/>
        <v>4.7256198415816453</v>
      </c>
      <c r="H25" s="176">
        <f t="shared" si="4"/>
        <v>31.52</v>
      </c>
      <c r="I25" s="176">
        <f t="shared" si="5"/>
        <v>5628.7189049096678</v>
      </c>
      <c r="J25" s="176">
        <f t="shared" si="6"/>
        <v>31.52</v>
      </c>
      <c r="K25" s="176">
        <f t="shared" si="7"/>
        <v>36798.761721898045</v>
      </c>
      <c r="L25" s="177">
        <v>11825.32</v>
      </c>
      <c r="M25" s="177">
        <v>17106.21</v>
      </c>
      <c r="N25" s="177">
        <f t="shared" si="0"/>
        <v>28931.53</v>
      </c>
      <c r="O25" s="71"/>
      <c r="P25" s="177">
        <f t="shared" si="8"/>
        <v>103.05289760348585</v>
      </c>
      <c r="Q25" s="177">
        <f t="shared" si="9"/>
        <v>91.526003210272862</v>
      </c>
      <c r="R25" s="181">
        <f t="shared" si="1"/>
        <v>97.289450406879354</v>
      </c>
    </row>
    <row r="26" spans="1:18" s="68" customFormat="1" ht="12" customHeight="1">
      <c r="A26" s="197" t="s">
        <v>152</v>
      </c>
      <c r="B26" s="210" t="s">
        <v>32</v>
      </c>
      <c r="C26" s="179">
        <v>28.4</v>
      </c>
      <c r="D26" s="176">
        <v>28.85</v>
      </c>
      <c r="E26" s="176">
        <f>'[11]Staff Disposal Calcs'!L14</f>
        <v>2.5939253340576195E-2</v>
      </c>
      <c r="F26" s="176">
        <f t="shared" si="2"/>
        <v>28.875939253340576</v>
      </c>
      <c r="G26" s="176">
        <f t="shared" si="3"/>
        <v>5.0924925445469453</v>
      </c>
      <c r="H26" s="176">
        <f t="shared" si="4"/>
        <v>33.97</v>
      </c>
      <c r="I26" s="176">
        <f t="shared" si="5"/>
        <v>148.87839419203584</v>
      </c>
      <c r="J26" s="176">
        <f t="shared" si="6"/>
        <v>33.97</v>
      </c>
      <c r="K26" s="176">
        <f t="shared" si="7"/>
        <v>988.07588933601608</v>
      </c>
      <c r="L26" s="177">
        <v>668.1</v>
      </c>
      <c r="M26" s="177">
        <v>28.85</v>
      </c>
      <c r="N26" s="177">
        <f t="shared" si="0"/>
        <v>696.95</v>
      </c>
      <c r="O26" s="71"/>
      <c r="P26" s="177">
        <f t="shared" si="8"/>
        <v>4.7049295774647888</v>
      </c>
      <c r="Q26" s="177">
        <f t="shared" si="9"/>
        <v>0.14285714285714285</v>
      </c>
      <c r="R26" s="181">
        <f t="shared" si="1"/>
        <v>2.423893360160966</v>
      </c>
    </row>
    <row r="27" spans="1:18" s="68" customFormat="1" ht="12" customHeight="1">
      <c r="A27" s="197" t="s">
        <v>153</v>
      </c>
      <c r="B27" s="210" t="s">
        <v>33</v>
      </c>
      <c r="C27" s="179">
        <v>29.66</v>
      </c>
      <c r="D27" s="176">
        <v>33.340000000000003</v>
      </c>
      <c r="E27" s="176">
        <f>'[11]Staff Disposal Calcs'!L15</f>
        <v>0.11240343114249683</v>
      </c>
      <c r="F27" s="176">
        <f t="shared" si="2"/>
        <v>33.4524034311425</v>
      </c>
      <c r="G27" s="176">
        <f t="shared" si="3"/>
        <v>5.8995869736275957</v>
      </c>
      <c r="H27" s="176">
        <f t="shared" si="4"/>
        <v>39.35</v>
      </c>
      <c r="I27" s="176">
        <f t="shared" si="5"/>
        <v>547.55165421774791</v>
      </c>
      <c r="J27" s="176">
        <f t="shared" si="6"/>
        <v>39.35</v>
      </c>
      <c r="K27" s="176">
        <f t="shared" si="7"/>
        <v>3583.8642683749158</v>
      </c>
      <c r="L27" s="177">
        <v>1064.71</v>
      </c>
      <c r="M27" s="177">
        <v>1867.0400000000002</v>
      </c>
      <c r="N27" s="177">
        <f t="shared" si="0"/>
        <v>2931.75</v>
      </c>
      <c r="O27" s="71"/>
      <c r="P27" s="177">
        <f t="shared" si="8"/>
        <v>7.1794335805799063</v>
      </c>
      <c r="Q27" s="177">
        <f t="shared" si="9"/>
        <v>8</v>
      </c>
      <c r="R27" s="181">
        <f t="shared" si="1"/>
        <v>7.5897167902899536</v>
      </c>
    </row>
    <row r="28" spans="1:18" s="68" customFormat="1" ht="12" customHeight="1">
      <c r="A28" s="197" t="s">
        <v>154</v>
      </c>
      <c r="B28" s="210" t="s">
        <v>34</v>
      </c>
      <c r="C28" s="179">
        <v>4.5999999999999996</v>
      </c>
      <c r="D28" s="176">
        <v>5.22</v>
      </c>
      <c r="E28" s="176">
        <f>'[11]Staff Disposal Calcs'!L16</f>
        <v>1.8764566246374268E-2</v>
      </c>
      <c r="F28" s="176">
        <f t="shared" si="2"/>
        <v>5.238764566246374</v>
      </c>
      <c r="G28" s="176">
        <f t="shared" si="3"/>
        <v>0.92389616359093929</v>
      </c>
      <c r="H28" s="176">
        <f t="shared" si="4"/>
        <v>6.16</v>
      </c>
      <c r="I28" s="176">
        <f t="shared" si="5"/>
        <v>578.44229176580393</v>
      </c>
      <c r="J28" s="176">
        <f t="shared" si="6"/>
        <v>6.16</v>
      </c>
      <c r="K28" s="176">
        <f t="shared" si="7"/>
        <v>3779.9437321339337</v>
      </c>
      <c r="L28" s="177">
        <v>1242.8999999999999</v>
      </c>
      <c r="M28" s="177">
        <v>1762.4000000000003</v>
      </c>
      <c r="N28" s="177">
        <f t="shared" si="0"/>
        <v>3005.3</v>
      </c>
      <c r="O28" s="71"/>
      <c r="P28" s="177">
        <f t="shared" si="8"/>
        <v>54.039130434782614</v>
      </c>
      <c r="Q28" s="177">
        <f t="shared" si="9"/>
        <v>48.232074438970997</v>
      </c>
      <c r="R28" s="181">
        <f t="shared" si="1"/>
        <v>51.135602436876809</v>
      </c>
    </row>
    <row r="29" spans="1:18" s="68" customFormat="1" ht="12" customHeight="1">
      <c r="A29" s="197" t="s">
        <v>155</v>
      </c>
      <c r="B29" s="210" t="s">
        <v>35</v>
      </c>
      <c r="C29" s="179">
        <v>3.2</v>
      </c>
      <c r="D29" s="176">
        <v>3.82</v>
      </c>
      <c r="E29" s="182">
        <f>'[11]Staff Disposal Calcs'!L17</f>
        <v>1.8764566246374268E-2</v>
      </c>
      <c r="F29" s="176">
        <f>E29+D29</f>
        <v>3.8387645662463741</v>
      </c>
      <c r="G29" s="176">
        <f t="shared" si="3"/>
        <v>0.67699546540703759</v>
      </c>
      <c r="H29" s="176">
        <f t="shared" si="4"/>
        <v>4.5199999999999996</v>
      </c>
      <c r="I29" s="176">
        <f t="shared" si="5"/>
        <v>4213.4932228723465</v>
      </c>
      <c r="J29" s="176">
        <f t="shared" si="6"/>
        <v>4.5199999999999996</v>
      </c>
      <c r="K29" s="176">
        <f t="shared" si="7"/>
        <v>27372.928166230362</v>
      </c>
      <c r="L29" s="177">
        <v>9844.5500000000011</v>
      </c>
      <c r="M29" s="177">
        <v>10536.679999999998</v>
      </c>
      <c r="N29" s="177">
        <f t="shared" si="0"/>
        <v>20381.23</v>
      </c>
      <c r="O29" s="71"/>
      <c r="P29" s="177">
        <f t="shared" si="8"/>
        <v>615.28437499999995</v>
      </c>
      <c r="Q29" s="177">
        <f t="shared" si="9"/>
        <v>394.04188481675385</v>
      </c>
      <c r="R29" s="181">
        <f t="shared" si="1"/>
        <v>504.6631299083769</v>
      </c>
    </row>
    <row r="30" spans="1:18" s="68" customFormat="1" ht="12" customHeight="1">
      <c r="A30" s="197" t="s">
        <v>156</v>
      </c>
      <c r="B30" s="210" t="s">
        <v>36</v>
      </c>
      <c r="C30" s="179">
        <v>3.05</v>
      </c>
      <c r="D30" s="176">
        <v>3.67</v>
      </c>
      <c r="E30" s="176">
        <f>E29</f>
        <v>1.8764566246374268E-2</v>
      </c>
      <c r="F30" s="176">
        <f>E30+D30</f>
        <v>3.6887645662463742</v>
      </c>
      <c r="G30" s="176">
        <f>F30*$G$7</f>
        <v>0.6505418191730481</v>
      </c>
      <c r="H30" s="176">
        <f>ROUND(F30+G30,2)</f>
        <v>4.34</v>
      </c>
      <c r="I30" s="176">
        <f t="shared" si="5"/>
        <v>0</v>
      </c>
      <c r="J30" s="176">
        <f>H30</f>
        <v>4.34</v>
      </c>
      <c r="K30" s="176">
        <f t="shared" si="7"/>
        <v>0</v>
      </c>
      <c r="L30" s="177"/>
      <c r="M30" s="177"/>
      <c r="N30" s="177">
        <f t="shared" si="0"/>
        <v>0</v>
      </c>
      <c r="O30" s="71"/>
      <c r="P30" s="177">
        <f t="shared" si="8"/>
        <v>0</v>
      </c>
      <c r="Q30" s="177">
        <f t="shared" si="9"/>
        <v>0</v>
      </c>
      <c r="R30" s="181">
        <f t="shared" si="1"/>
        <v>0</v>
      </c>
    </row>
    <row r="31" spans="1:18" s="68" customFormat="1" ht="12" customHeight="1">
      <c r="A31" s="197" t="s">
        <v>157</v>
      </c>
      <c r="B31" s="210" t="s">
        <v>37</v>
      </c>
      <c r="C31" s="179">
        <v>12.55</v>
      </c>
      <c r="D31" s="176">
        <v>14.81</v>
      </c>
      <c r="E31" s="176">
        <f>'[11]Staff Disposal Calcs'!L19</f>
        <v>6.8987375905787754E-2</v>
      </c>
      <c r="F31" s="176">
        <f t="shared" si="2"/>
        <v>14.878987375905789</v>
      </c>
      <c r="G31" s="176">
        <f t="shared" si="3"/>
        <v>2.6240231224147141</v>
      </c>
      <c r="H31" s="176">
        <f t="shared" si="4"/>
        <v>17.5</v>
      </c>
      <c r="I31" s="176">
        <f t="shared" si="5"/>
        <v>27.347291716136702</v>
      </c>
      <c r="J31" s="176">
        <f t="shared" si="6"/>
        <v>17.5</v>
      </c>
      <c r="K31" s="176">
        <f t="shared" si="7"/>
        <v>177.71100607697502</v>
      </c>
      <c r="L31" s="177">
        <v>62.75</v>
      </c>
      <c r="M31" s="177">
        <v>71.790000000000006</v>
      </c>
      <c r="N31" s="177">
        <f t="shared" si="0"/>
        <v>134.54000000000002</v>
      </c>
      <c r="O31" s="71"/>
      <c r="P31" s="177">
        <f>IFERROR(L31/($C31),0)/5</f>
        <v>1</v>
      </c>
      <c r="Q31" s="177">
        <f t="shared" si="9"/>
        <v>0.69248577216166685</v>
      </c>
      <c r="R31" s="181">
        <f>IFERROR(AVERAGEIF(P31:Q31,"&lt;&gt;0"),0)</f>
        <v>0.84624288608083342</v>
      </c>
    </row>
    <row r="32" spans="1:18" s="68" customFormat="1" ht="12" customHeight="1">
      <c r="A32" s="197" t="s">
        <v>158</v>
      </c>
      <c r="B32" s="210" t="s">
        <v>38</v>
      </c>
      <c r="C32" s="179">
        <v>2</v>
      </c>
      <c r="D32" s="176">
        <v>2</v>
      </c>
      <c r="E32" s="176">
        <f>'[11]Staff Disposal Calcs'!L20</f>
        <v>0</v>
      </c>
      <c r="F32" s="176">
        <f t="shared" si="2"/>
        <v>2</v>
      </c>
      <c r="G32" s="176">
        <f t="shared" si="3"/>
        <v>0.35271528311985967</v>
      </c>
      <c r="H32" s="176">
        <f t="shared" si="4"/>
        <v>2.35</v>
      </c>
      <c r="I32" s="176">
        <f t="shared" si="5"/>
        <v>0</v>
      </c>
      <c r="J32" s="176">
        <f t="shared" si="6"/>
        <v>2.35</v>
      </c>
      <c r="K32" s="176">
        <f t="shared" si="7"/>
        <v>0</v>
      </c>
      <c r="L32" s="177"/>
      <c r="M32" s="177"/>
      <c r="N32" s="177">
        <f t="shared" si="0"/>
        <v>0</v>
      </c>
      <c r="O32" s="71"/>
      <c r="P32" s="177">
        <f t="shared" ref="P32:P39" si="10">IFERROR(L32/($C32),0)/5</f>
        <v>0</v>
      </c>
      <c r="Q32" s="177">
        <f t="shared" si="9"/>
        <v>0</v>
      </c>
      <c r="R32" s="181">
        <f t="shared" ref="R32:R39" si="11">IFERROR(AVERAGEIF(P32:Q32,"&lt;&gt;0"),0)</f>
        <v>0</v>
      </c>
    </row>
    <row r="33" spans="1:20" s="68" customFormat="1" ht="12" customHeight="1">
      <c r="A33" s="197" t="s">
        <v>159</v>
      </c>
      <c r="B33" s="210" t="s">
        <v>39</v>
      </c>
      <c r="C33" s="179">
        <v>4</v>
      </c>
      <c r="D33" s="176">
        <v>4</v>
      </c>
      <c r="E33" s="176">
        <f>'[11]Staff Disposal Calcs'!L21</f>
        <v>0</v>
      </c>
      <c r="F33" s="176">
        <f t="shared" si="2"/>
        <v>4</v>
      </c>
      <c r="G33" s="176">
        <f t="shared" si="3"/>
        <v>0.70543056623971934</v>
      </c>
      <c r="H33" s="176">
        <f t="shared" si="4"/>
        <v>4.71</v>
      </c>
      <c r="I33" s="176">
        <f t="shared" si="5"/>
        <v>8.465166794876632</v>
      </c>
      <c r="J33" s="176">
        <f t="shared" si="6"/>
        <v>4.71</v>
      </c>
      <c r="K33" s="176">
        <f t="shared" si="7"/>
        <v>56.519999999999996</v>
      </c>
      <c r="L33" s="177">
        <v>20</v>
      </c>
      <c r="M33" s="177">
        <v>28</v>
      </c>
      <c r="N33" s="177">
        <f t="shared" si="0"/>
        <v>48</v>
      </c>
      <c r="O33" s="71"/>
      <c r="P33" s="177">
        <f t="shared" si="10"/>
        <v>1</v>
      </c>
      <c r="Q33" s="177">
        <f t="shared" si="9"/>
        <v>1</v>
      </c>
      <c r="R33" s="181">
        <f t="shared" si="11"/>
        <v>1</v>
      </c>
    </row>
    <row r="34" spans="1:20" s="68" customFormat="1" ht="12" customHeight="1">
      <c r="A34" s="197" t="s">
        <v>160</v>
      </c>
      <c r="B34" s="210" t="s">
        <v>40</v>
      </c>
      <c r="C34" s="179">
        <v>2.2999999999999998</v>
      </c>
      <c r="D34" s="176">
        <v>2.2999999999999998</v>
      </c>
      <c r="E34" s="176">
        <f>'[11]Staff Disposal Calcs'!L22</f>
        <v>0</v>
      </c>
      <c r="F34" s="176">
        <f t="shared" si="2"/>
        <v>2.2999999999999998</v>
      </c>
      <c r="G34" s="176">
        <f t="shared" si="3"/>
        <v>0.4056225755878386</v>
      </c>
      <c r="H34" s="176">
        <f t="shared" si="4"/>
        <v>2.71</v>
      </c>
      <c r="I34" s="176">
        <f t="shared" si="5"/>
        <v>4.8674709070540647</v>
      </c>
      <c r="J34" s="176">
        <f t="shared" si="6"/>
        <v>2.71</v>
      </c>
      <c r="K34" s="176">
        <f t="shared" si="7"/>
        <v>32.520000000000003</v>
      </c>
      <c r="L34" s="177"/>
      <c r="M34" s="177">
        <v>16.100000000000001</v>
      </c>
      <c r="N34" s="177">
        <f t="shared" si="0"/>
        <v>16.100000000000001</v>
      </c>
      <c r="O34" s="71"/>
      <c r="P34" s="177">
        <f t="shared" si="10"/>
        <v>0</v>
      </c>
      <c r="Q34" s="177">
        <f t="shared" si="9"/>
        <v>1.0000000000000002</v>
      </c>
      <c r="R34" s="181">
        <f t="shared" si="11"/>
        <v>1.0000000000000002</v>
      </c>
    </row>
    <row r="35" spans="1:20" s="68" customFormat="1" ht="12" customHeight="1">
      <c r="A35" s="197" t="s">
        <v>161</v>
      </c>
      <c r="B35" s="210" t="s">
        <v>41</v>
      </c>
      <c r="C35" s="179">
        <v>4.5999999999999996</v>
      </c>
      <c r="D35" s="176">
        <v>4.5999999999999996</v>
      </c>
      <c r="E35" s="176">
        <f>'[11]Staff Disposal Calcs'!L23</f>
        <v>0</v>
      </c>
      <c r="F35" s="176">
        <f t="shared" si="2"/>
        <v>4.5999999999999996</v>
      </c>
      <c r="G35" s="176">
        <f t="shared" si="3"/>
        <v>0.81124515117567719</v>
      </c>
      <c r="H35" s="176">
        <f t="shared" si="4"/>
        <v>5.41</v>
      </c>
      <c r="I35" s="176">
        <f t="shared" si="5"/>
        <v>11.090880138216047</v>
      </c>
      <c r="J35" s="176">
        <f t="shared" si="6"/>
        <v>5.41</v>
      </c>
      <c r="K35" s="176">
        <f t="shared" si="7"/>
        <v>73.962428571428589</v>
      </c>
      <c r="L35" s="177">
        <v>13.799999999999999</v>
      </c>
      <c r="M35" s="177">
        <v>54.050000000000004</v>
      </c>
      <c r="N35" s="177">
        <f t="shared" si="0"/>
        <v>67.850000000000009</v>
      </c>
      <c r="O35" s="71"/>
      <c r="P35" s="177">
        <f t="shared" si="10"/>
        <v>0.6</v>
      </c>
      <c r="Q35" s="177">
        <f t="shared" si="9"/>
        <v>1.6785714285714288</v>
      </c>
      <c r="R35" s="181">
        <f t="shared" si="11"/>
        <v>1.1392857142857145</v>
      </c>
    </row>
    <row r="36" spans="1:20" s="68" customFormat="1" ht="12" customHeight="1">
      <c r="A36" s="197" t="s">
        <v>162</v>
      </c>
      <c r="B36" s="210" t="s">
        <v>42</v>
      </c>
      <c r="C36" s="179">
        <v>4.5999999999999996</v>
      </c>
      <c r="D36" s="176">
        <v>4.5999999999999996</v>
      </c>
      <c r="E36" s="176">
        <f>'[11]Staff Disposal Calcs'!L24</f>
        <v>0</v>
      </c>
      <c r="F36" s="176">
        <f t="shared" si="2"/>
        <v>4.5999999999999996</v>
      </c>
      <c r="G36" s="176">
        <f t="shared" si="3"/>
        <v>0.81124515117567719</v>
      </c>
      <c r="H36" s="176">
        <f t="shared" si="4"/>
        <v>5.41</v>
      </c>
      <c r="I36" s="176">
        <f t="shared" si="5"/>
        <v>162.85166949029451</v>
      </c>
      <c r="J36" s="176">
        <f t="shared" si="6"/>
        <v>5.41</v>
      </c>
      <c r="K36" s="176">
        <f t="shared" si="7"/>
        <v>1086.0188571428571</v>
      </c>
      <c r="L36" s="177">
        <v>400.19999999999993</v>
      </c>
      <c r="M36" s="177">
        <v>517.04</v>
      </c>
      <c r="N36" s="177">
        <f t="shared" si="0"/>
        <v>917.2399999999999</v>
      </c>
      <c r="O36" s="71"/>
      <c r="P36" s="177">
        <f t="shared" si="10"/>
        <v>17.399999999999999</v>
      </c>
      <c r="Q36" s="177">
        <f t="shared" si="9"/>
        <v>16.057142857142857</v>
      </c>
      <c r="R36" s="181">
        <f t="shared" si="11"/>
        <v>16.728571428571428</v>
      </c>
    </row>
    <row r="37" spans="1:20" s="68" customFormat="1" ht="12" customHeight="1">
      <c r="A37" s="197" t="s">
        <v>163</v>
      </c>
      <c r="B37" s="210" t="s">
        <v>43</v>
      </c>
      <c r="C37" s="179">
        <v>4.5999999999999996</v>
      </c>
      <c r="D37" s="176">
        <v>2.2999999999999998</v>
      </c>
      <c r="E37" s="176">
        <f>'[11]Staff Disposal Calcs'!L25</f>
        <v>0</v>
      </c>
      <c r="F37" s="176">
        <f t="shared" si="2"/>
        <v>2.2999999999999998</v>
      </c>
      <c r="G37" s="176">
        <f t="shared" si="3"/>
        <v>0.4056225755878386</v>
      </c>
      <c r="H37" s="176">
        <f t="shared" si="4"/>
        <v>2.71</v>
      </c>
      <c r="I37" s="176">
        <f t="shared" si="5"/>
        <v>98.749193936091231</v>
      </c>
      <c r="J37" s="176">
        <f t="shared" si="6"/>
        <v>2.71</v>
      </c>
      <c r="K37" s="176">
        <f t="shared" si="7"/>
        <v>659.75202484472049</v>
      </c>
      <c r="L37" s="177">
        <v>123.29999999999998</v>
      </c>
      <c r="M37" s="177">
        <v>566.95000000000005</v>
      </c>
      <c r="N37" s="177">
        <f t="shared" si="0"/>
        <v>690.25</v>
      </c>
      <c r="O37" s="71"/>
      <c r="P37" s="177">
        <f t="shared" si="10"/>
        <v>5.3608695652173903</v>
      </c>
      <c r="Q37" s="177">
        <f t="shared" si="9"/>
        <v>35.214285714285715</v>
      </c>
      <c r="R37" s="181">
        <f t="shared" si="11"/>
        <v>20.287577639751554</v>
      </c>
    </row>
    <row r="38" spans="1:20" s="68" customFormat="1" ht="12" customHeight="1">
      <c r="A38" s="197" t="s">
        <v>164</v>
      </c>
      <c r="B38" s="210" t="s">
        <v>44</v>
      </c>
      <c r="C38" s="179">
        <v>2.2999999999999998</v>
      </c>
      <c r="D38" s="176">
        <v>2.2999999999999998</v>
      </c>
      <c r="E38" s="176">
        <f>'[11]Staff Disposal Calcs'!L26</f>
        <v>0</v>
      </c>
      <c r="F38" s="176">
        <f t="shared" si="2"/>
        <v>2.2999999999999998</v>
      </c>
      <c r="G38" s="176">
        <f t="shared" si="3"/>
        <v>0.4056225755878386</v>
      </c>
      <c r="H38" s="176">
        <f t="shared" si="4"/>
        <v>2.71</v>
      </c>
      <c r="I38" s="176">
        <f t="shared" si="5"/>
        <v>303.22862346757711</v>
      </c>
      <c r="J38" s="176">
        <f t="shared" si="6"/>
        <v>2.71</v>
      </c>
      <c r="K38" s="176">
        <f t="shared" si="7"/>
        <v>2025.8970260869567</v>
      </c>
      <c r="L38" s="177">
        <v>773.38</v>
      </c>
      <c r="M38" s="177">
        <v>923.2299999999999</v>
      </c>
      <c r="N38" s="177">
        <f t="shared" si="0"/>
        <v>1696.61</v>
      </c>
      <c r="O38" s="71"/>
      <c r="P38" s="177">
        <f t="shared" si="10"/>
        <v>67.250434782608707</v>
      </c>
      <c r="Q38" s="177">
        <f t="shared" si="9"/>
        <v>57.343478260869567</v>
      </c>
      <c r="R38" s="181">
        <f t="shared" si="11"/>
        <v>62.296956521739133</v>
      </c>
    </row>
    <row r="39" spans="1:20" s="68" customFormat="1" ht="12" customHeight="1">
      <c r="A39" s="197" t="s">
        <v>165</v>
      </c>
      <c r="B39" s="210" t="s">
        <v>45</v>
      </c>
      <c r="C39" s="179">
        <v>2.2999999999999998</v>
      </c>
      <c r="D39" s="176">
        <v>2.2999999999999998</v>
      </c>
      <c r="E39" s="176">
        <f>'[11]Staff Disposal Calcs'!L27</f>
        <v>0</v>
      </c>
      <c r="F39" s="176">
        <f t="shared" si="2"/>
        <v>2.2999999999999998</v>
      </c>
      <c r="G39" s="176">
        <f t="shared" si="3"/>
        <v>0.4056225755878386</v>
      </c>
      <c r="H39" s="176">
        <f t="shared" si="4"/>
        <v>2.71</v>
      </c>
      <c r="I39" s="176">
        <f t="shared" si="5"/>
        <v>7.3707416592532979</v>
      </c>
      <c r="J39" s="176">
        <f t="shared" si="6"/>
        <v>2.71</v>
      </c>
      <c r="K39" s="176">
        <f t="shared" si="7"/>
        <v>49.244571428571447</v>
      </c>
      <c r="L39" s="177">
        <v>6.8999999999999995</v>
      </c>
      <c r="M39" s="177">
        <v>39.100000000000009</v>
      </c>
      <c r="N39" s="177">
        <f t="shared" si="0"/>
        <v>46.000000000000007</v>
      </c>
      <c r="O39" s="71"/>
      <c r="P39" s="177">
        <f t="shared" si="10"/>
        <v>0.6</v>
      </c>
      <c r="Q39" s="177">
        <f t="shared" si="9"/>
        <v>2.4285714285714293</v>
      </c>
      <c r="R39" s="181">
        <f t="shared" si="11"/>
        <v>1.5142857142857147</v>
      </c>
    </row>
    <row r="40" spans="1:20" s="68" customFormat="1" ht="12" customHeight="1">
      <c r="A40" s="197" t="s">
        <v>166</v>
      </c>
      <c r="B40" s="210" t="s">
        <v>46</v>
      </c>
      <c r="C40" s="179"/>
      <c r="D40" s="176"/>
      <c r="E40" s="176"/>
      <c r="F40" s="176"/>
      <c r="G40" s="176"/>
      <c r="H40" s="176"/>
      <c r="I40" s="176"/>
      <c r="J40" s="176"/>
      <c r="K40" s="176"/>
      <c r="L40" s="177">
        <v>-188.75</v>
      </c>
      <c r="M40" s="177">
        <v>-318.27999999999997</v>
      </c>
      <c r="N40" s="177">
        <f t="shared" si="0"/>
        <v>-507.03</v>
      </c>
      <c r="O40" s="71"/>
      <c r="P40" s="71"/>
      <c r="Q40" s="71"/>
      <c r="R40" s="161"/>
    </row>
    <row r="41" spans="1:20" s="68" customFormat="1" ht="12" customHeight="1">
      <c r="A41" s="197" t="s">
        <v>167</v>
      </c>
      <c r="B41" s="210" t="s">
        <v>47</v>
      </c>
      <c r="C41" s="179"/>
      <c r="D41" s="176"/>
      <c r="E41" s="176"/>
      <c r="F41" s="176"/>
      <c r="G41" s="176"/>
      <c r="H41" s="176"/>
      <c r="I41" s="176"/>
      <c r="J41" s="176"/>
      <c r="K41" s="176"/>
      <c r="L41" s="177">
        <v>2.09</v>
      </c>
      <c r="M41" s="177">
        <v>5095.03</v>
      </c>
      <c r="N41" s="177">
        <f t="shared" si="0"/>
        <v>5097.12</v>
      </c>
      <c r="O41" s="71"/>
      <c r="P41" s="177"/>
      <c r="Q41" s="177"/>
      <c r="R41" s="71"/>
    </row>
    <row r="42" spans="1:20" s="68" customFormat="1" ht="12" customHeight="1">
      <c r="A42" s="197" t="s">
        <v>168</v>
      </c>
      <c r="B42" s="210" t="s">
        <v>48</v>
      </c>
      <c r="C42" s="179"/>
      <c r="D42" s="176"/>
      <c r="E42" s="176"/>
      <c r="F42" s="176"/>
      <c r="G42" s="176"/>
      <c r="H42" s="176"/>
      <c r="I42" s="176"/>
      <c r="J42" s="176"/>
      <c r="K42" s="176"/>
      <c r="L42" s="177">
        <v>2039.6699999999996</v>
      </c>
      <c r="M42" s="177">
        <v>686.38000000000011</v>
      </c>
      <c r="N42" s="177">
        <f t="shared" si="0"/>
        <v>2726.0499999999997</v>
      </c>
      <c r="O42" s="71"/>
      <c r="P42" s="177"/>
      <c r="Q42" s="177"/>
      <c r="R42" s="71"/>
    </row>
    <row r="43" spans="1:20" s="68" customFormat="1" ht="12" customHeight="1">
      <c r="A43" s="183"/>
      <c r="B43" s="183"/>
      <c r="C43" s="183"/>
      <c r="D43" s="176"/>
      <c r="E43" s="176"/>
      <c r="F43" s="176"/>
      <c r="G43" s="176"/>
      <c r="H43" s="176"/>
      <c r="I43" s="176"/>
      <c r="J43" s="176"/>
      <c r="K43" s="176"/>
      <c r="L43" s="177"/>
      <c r="M43" s="177"/>
      <c r="N43" s="177"/>
      <c r="O43" s="71"/>
      <c r="P43" s="71"/>
      <c r="Q43" s="71"/>
      <c r="R43" s="161"/>
    </row>
    <row r="44" spans="1:20" s="83" customFormat="1" ht="12" customHeight="1" thickBot="1">
      <c r="A44" s="187"/>
      <c r="B44" s="184" t="s">
        <v>49</v>
      </c>
      <c r="C44" s="184"/>
      <c r="D44" s="185"/>
      <c r="E44" s="185"/>
      <c r="F44" s="185"/>
      <c r="G44" s="185">
        <f>SUM(G16:G39)</f>
        <v>65.450449336541865</v>
      </c>
      <c r="H44" s="185"/>
      <c r="I44" s="185">
        <f>SUM(I16:I39)</f>
        <v>66075.840253868853</v>
      </c>
      <c r="J44" s="185"/>
      <c r="K44" s="185">
        <f>SUM(K16:K39)</f>
        <v>428929.54075521801</v>
      </c>
      <c r="L44" s="186">
        <f>SUM(L16:L43)</f>
        <v>128763.98000000001</v>
      </c>
      <c r="M44" s="186">
        <f t="shared" ref="M44" si="12">SUM(M16:M43)</f>
        <v>216742.99000000008</v>
      </c>
      <c r="N44" s="186">
        <f>SUM(N16:N43)</f>
        <v>345506.96999999974</v>
      </c>
      <c r="O44" s="187"/>
      <c r="P44" s="188">
        <f>SUM(P16:P27)</f>
        <v>1467.8864554293361</v>
      </c>
      <c r="Q44" s="188">
        <f t="shared" ref="Q44:R44" si="13">SUM(Q16:Q27)</f>
        <v>1517.9683557819073</v>
      </c>
      <c r="R44" s="188">
        <f t="shared" si="13"/>
        <v>1493.3559770341933</v>
      </c>
      <c r="T44" s="88"/>
    </row>
    <row r="45" spans="1:20" s="68" customFormat="1" ht="12" customHeight="1">
      <c r="A45" s="174"/>
      <c r="B45" s="189"/>
      <c r="C45" s="189"/>
      <c r="D45" s="176"/>
      <c r="E45" s="176"/>
      <c r="F45" s="176"/>
      <c r="G45" s="176"/>
      <c r="H45" s="176"/>
      <c r="I45" s="176">
        <f>I44/12</f>
        <v>5506.3200211557378</v>
      </c>
      <c r="J45" s="176"/>
      <c r="K45" s="176"/>
      <c r="L45" s="190"/>
      <c r="M45" s="190"/>
      <c r="N45" s="178">
        <f>N44/12</f>
        <v>28792.247499999979</v>
      </c>
      <c r="O45" s="71"/>
      <c r="P45" s="177"/>
      <c r="Q45" s="177"/>
      <c r="R45" s="161"/>
    </row>
    <row r="46" spans="1:20" s="68" customFormat="1" ht="12" customHeight="1">
      <c r="A46" s="203"/>
      <c r="B46" s="191"/>
      <c r="C46" s="191"/>
      <c r="D46" s="176"/>
      <c r="E46" s="176"/>
      <c r="F46" s="176"/>
      <c r="G46" s="176"/>
      <c r="H46" s="176"/>
      <c r="I46" s="176"/>
      <c r="J46" s="176"/>
      <c r="K46" s="176"/>
      <c r="L46" s="190"/>
      <c r="M46" s="177" t="str">
        <f>IF(D46="","",(#REF!/D46)+(#REF!/#REF!))</f>
        <v/>
      </c>
      <c r="N46" s="178"/>
      <c r="O46" s="71"/>
      <c r="P46" s="177"/>
      <c r="Q46" s="177"/>
      <c r="R46" s="161"/>
    </row>
    <row r="47" spans="1:20" s="68" customFormat="1" ht="12" customHeight="1">
      <c r="A47" s="71"/>
      <c r="B47" s="71"/>
      <c r="C47" s="71"/>
      <c r="D47" s="176"/>
      <c r="E47" s="176"/>
      <c r="F47" s="176"/>
      <c r="G47" s="176"/>
      <c r="H47" s="176"/>
      <c r="I47" s="176"/>
      <c r="J47" s="176"/>
      <c r="K47" s="176"/>
      <c r="L47" s="190"/>
      <c r="M47" s="177" t="str">
        <f>IF(D47="","",(#REF!/D47)+(#REF!/#REF!))</f>
        <v/>
      </c>
      <c r="N47" s="178"/>
      <c r="O47" s="71"/>
      <c r="P47" s="177"/>
      <c r="Q47" s="177"/>
      <c r="R47" s="161"/>
    </row>
    <row r="48" spans="1:20" ht="12" customHeight="1">
      <c r="A48" s="174" t="s">
        <v>50</v>
      </c>
      <c r="B48" s="174" t="s">
        <v>50</v>
      </c>
      <c r="C48" s="174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</row>
    <row r="49" spans="1:18" ht="12" customHeight="1">
      <c r="A49" s="174"/>
      <c r="B49" s="174"/>
      <c r="C49" s="174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</row>
    <row r="50" spans="1:18" s="68" customFormat="1" ht="12" customHeight="1">
      <c r="A50" s="175" t="s">
        <v>51</v>
      </c>
      <c r="B50" s="175" t="s">
        <v>51</v>
      </c>
      <c r="C50" s="175"/>
      <c r="D50" s="176"/>
      <c r="E50" s="176"/>
      <c r="F50" s="176"/>
      <c r="G50" s="176"/>
      <c r="H50" s="176"/>
      <c r="I50" s="176"/>
      <c r="J50" s="176"/>
      <c r="K50" s="176"/>
      <c r="L50" s="190"/>
      <c r="M50" s="177" t="str">
        <f>IF(D50="","",(#REF!/D50)+(#REF!/#REF!))</f>
        <v/>
      </c>
      <c r="N50" s="178"/>
      <c r="O50" s="71"/>
      <c r="P50" s="177"/>
      <c r="Q50" s="177"/>
      <c r="R50" s="161"/>
    </row>
    <row r="51" spans="1:18" s="68" customFormat="1" ht="12" customHeight="1">
      <c r="A51" s="161" t="s">
        <v>169</v>
      </c>
      <c r="B51" s="161" t="s">
        <v>52</v>
      </c>
      <c r="C51" s="179">
        <v>47.41</v>
      </c>
      <c r="D51" s="176">
        <v>61.14</v>
      </c>
      <c r="E51" s="176">
        <f>ROUND('[11]Staff Disposal Calcs'!L32*'[11]Staff Disposal Calcs'!E32,2)</f>
        <v>0.42</v>
      </c>
      <c r="F51" s="176">
        <f t="shared" ref="F51:F114" si="14">E51+D51</f>
        <v>61.56</v>
      </c>
      <c r="G51" s="176">
        <f t="shared" ref="G51:G114" si="15">F51*$G$7</f>
        <v>10.856576414429281</v>
      </c>
      <c r="H51" s="176">
        <f t="shared" ref="H51:H114" si="16">ROUND(F51+G51,2)</f>
        <v>72.42</v>
      </c>
      <c r="I51" s="176">
        <f t="shared" ref="I51:I114" si="17">(G51+E51)*R51*12</f>
        <v>4065.640225064134</v>
      </c>
      <c r="J51" s="176">
        <f>H51/'[11]Staff Disposal Calcs'!E32</f>
        <v>16.712307692307693</v>
      </c>
      <c r="K51" s="176">
        <f>J51*R51*12*'[11]Staff Disposal Calcs'!E32</f>
        <v>26110.199964804313</v>
      </c>
      <c r="L51" s="177">
        <v>7087.7900000000009</v>
      </c>
      <c r="M51" s="177">
        <v>12920.62</v>
      </c>
      <c r="N51" s="177">
        <f t="shared" ref="N51:N115" si="18">SUM(L51:M51)</f>
        <v>20008.410000000003</v>
      </c>
      <c r="O51" s="71"/>
      <c r="P51" s="177">
        <f t="shared" ref="P51:P114" si="19">IFERROR(L51/($C51),0)/5</f>
        <v>29.899978907403504</v>
      </c>
      <c r="Q51" s="177">
        <f t="shared" ref="Q51:Q114" si="20">IFERROR(M51/($D51),0)/7</f>
        <v>30.189775223141272</v>
      </c>
      <c r="R51" s="181">
        <f t="shared" ref="R51:R74" si="21">IFERROR(AVERAGEIF(P51:Q51,"&lt;&gt;0"),0)</f>
        <v>30.044877065272388</v>
      </c>
    </row>
    <row r="52" spans="1:18" s="68" customFormat="1" ht="12" customHeight="1">
      <c r="A52" s="161" t="s">
        <v>170</v>
      </c>
      <c r="B52" s="161" t="s">
        <v>53</v>
      </c>
      <c r="C52" s="179">
        <v>94.83</v>
      </c>
      <c r="D52" s="176">
        <v>122.28</v>
      </c>
      <c r="E52" s="176">
        <f>ROUND('[11]Staff Disposal Calcs'!L33*'[11]Staff Disposal Calcs'!E33,2)</f>
        <v>0.84</v>
      </c>
      <c r="F52" s="176">
        <f t="shared" si="14"/>
        <v>123.12</v>
      </c>
      <c r="G52" s="176">
        <f t="shared" si="15"/>
        <v>21.713152828858561</v>
      </c>
      <c r="H52" s="176">
        <f t="shared" si="16"/>
        <v>144.83000000000001</v>
      </c>
      <c r="I52" s="176">
        <f t="shared" si="17"/>
        <v>392.42343225897361</v>
      </c>
      <c r="J52" s="176">
        <f>H52/'[11]Staff Disposal Calcs'!E33</f>
        <v>16.711153846153849</v>
      </c>
      <c r="K52" s="176">
        <f>J52*R52*12*'[11]Staff Disposal Calcs'!E33</f>
        <v>2520.0328364441639</v>
      </c>
      <c r="L52" s="177">
        <v>900.88</v>
      </c>
      <c r="M52" s="177">
        <v>855.95999999999992</v>
      </c>
      <c r="N52" s="177">
        <f t="shared" si="18"/>
        <v>1756.84</v>
      </c>
      <c r="O52" s="71"/>
      <c r="P52" s="177">
        <f t="shared" si="19"/>
        <v>1.8999894548138776</v>
      </c>
      <c r="Q52" s="177">
        <f t="shared" si="20"/>
        <v>0.99999999999999989</v>
      </c>
      <c r="R52" s="181">
        <f t="shared" si="21"/>
        <v>1.4499947274069387</v>
      </c>
    </row>
    <row r="53" spans="1:18" s="68" customFormat="1" ht="12" customHeight="1">
      <c r="A53" s="161" t="s">
        <v>171</v>
      </c>
      <c r="B53" s="161" t="s">
        <v>54</v>
      </c>
      <c r="C53" s="179">
        <v>94.83</v>
      </c>
      <c r="D53" s="176">
        <v>122.28</v>
      </c>
      <c r="E53" s="176">
        <f>ROUND('[11]Staff Disposal Calcs'!L34*'[11]Staff Disposal Calcs'!E34,2)</f>
        <v>0.84</v>
      </c>
      <c r="F53" s="176">
        <f t="shared" si="14"/>
        <v>123.12</v>
      </c>
      <c r="G53" s="176">
        <f t="shared" si="15"/>
        <v>21.713152828858561</v>
      </c>
      <c r="H53" s="176">
        <f t="shared" si="16"/>
        <v>144.83000000000001</v>
      </c>
      <c r="I53" s="176">
        <f t="shared" si="17"/>
        <v>541.2756678926055</v>
      </c>
      <c r="J53" s="176">
        <f>H53/'[11]Staff Disposal Calcs'!E34</f>
        <v>16.711153846153849</v>
      </c>
      <c r="K53" s="176">
        <f>J53*R53*12*'[11]Staff Disposal Calcs'!E34</f>
        <v>3475.92</v>
      </c>
      <c r="L53" s="177">
        <v>948.3</v>
      </c>
      <c r="M53" s="177">
        <v>1711.9199999999998</v>
      </c>
      <c r="N53" s="177">
        <f t="shared" si="18"/>
        <v>2660.22</v>
      </c>
      <c r="O53" s="71"/>
      <c r="P53" s="177">
        <f t="shared" si="19"/>
        <v>2</v>
      </c>
      <c r="Q53" s="177">
        <f t="shared" si="20"/>
        <v>1.9999999999999998</v>
      </c>
      <c r="R53" s="181">
        <f t="shared" si="21"/>
        <v>2</v>
      </c>
    </row>
    <row r="54" spans="1:18" s="68" customFormat="1" ht="12" customHeight="1">
      <c r="A54" s="161" t="s">
        <v>172</v>
      </c>
      <c r="B54" s="161" t="s">
        <v>55</v>
      </c>
      <c r="C54" s="179">
        <v>23.76</v>
      </c>
      <c r="D54" s="176">
        <v>30.64</v>
      </c>
      <c r="E54" s="176">
        <f>ROUND('[11]Staff Disposal Calcs'!L35*'[11]Staff Disposal Calcs'!E35,2)</f>
        <v>0.21</v>
      </c>
      <c r="F54" s="176">
        <f t="shared" si="14"/>
        <v>30.85</v>
      </c>
      <c r="G54" s="176">
        <f t="shared" si="15"/>
        <v>5.4406332421238357</v>
      </c>
      <c r="H54" s="176">
        <f t="shared" si="16"/>
        <v>36.29</v>
      </c>
      <c r="I54" s="176">
        <f t="shared" si="17"/>
        <v>1416.6944771324759</v>
      </c>
      <c r="J54" s="176">
        <f>H54/'[11]Staff Disposal Calcs'!E35</f>
        <v>16.74923076923077</v>
      </c>
      <c r="K54" s="176">
        <f>J54*R54*12*'[11]Staff Disposal Calcs'!E35</f>
        <v>9098.4214285714297</v>
      </c>
      <c r="L54" s="177">
        <v>2435.4</v>
      </c>
      <c r="M54" s="177">
        <v>4565.3599999999997</v>
      </c>
      <c r="N54" s="177">
        <f t="shared" si="18"/>
        <v>7000.76</v>
      </c>
      <c r="O54" s="71"/>
      <c r="P54" s="177">
        <f t="shared" si="19"/>
        <v>20.5</v>
      </c>
      <c r="Q54" s="177">
        <f t="shared" si="20"/>
        <v>21.285714285714285</v>
      </c>
      <c r="R54" s="181">
        <f t="shared" si="21"/>
        <v>20.892857142857142</v>
      </c>
    </row>
    <row r="55" spans="1:18" s="68" customFormat="1" ht="12" customHeight="1">
      <c r="A55" s="161" t="s">
        <v>173</v>
      </c>
      <c r="B55" s="161" t="s">
        <v>56</v>
      </c>
      <c r="C55" s="179">
        <v>70.58</v>
      </c>
      <c r="D55" s="176">
        <v>90.15</v>
      </c>
      <c r="E55" s="176">
        <f>ROUND('[11]Staff Disposal Calcs'!L36*'[11]Staff Disposal Calcs'!E36,2)</f>
        <v>0.6</v>
      </c>
      <c r="F55" s="176">
        <f t="shared" si="14"/>
        <v>90.75</v>
      </c>
      <c r="G55" s="176">
        <f t="shared" si="15"/>
        <v>16.004455971563633</v>
      </c>
      <c r="H55" s="176">
        <f t="shared" si="16"/>
        <v>106.75</v>
      </c>
      <c r="I55" s="176">
        <f t="shared" si="17"/>
        <v>3795.687339409078</v>
      </c>
      <c r="J55" s="176">
        <f>H55/'[11]Staff Disposal Calcs'!E36</f>
        <v>24.634615384615387</v>
      </c>
      <c r="K55" s="176">
        <f>J55*R55*12*'[11]Staff Disposal Calcs'!E36</f>
        <v>24402.463060267466</v>
      </c>
      <c r="L55" s="177">
        <v>6363.31</v>
      </c>
      <c r="M55" s="177">
        <v>12663.660000000002</v>
      </c>
      <c r="N55" s="177">
        <f t="shared" si="18"/>
        <v>19026.97</v>
      </c>
      <c r="O55" s="71"/>
      <c r="P55" s="177">
        <f t="shared" si="19"/>
        <v>18.031482006234064</v>
      </c>
      <c r="Q55" s="177">
        <f t="shared" si="20"/>
        <v>20.067601616353699</v>
      </c>
      <c r="R55" s="181">
        <f t="shared" si="21"/>
        <v>19.049541811293881</v>
      </c>
    </row>
    <row r="56" spans="1:18" s="68" customFormat="1" ht="12" customHeight="1">
      <c r="A56" s="161" t="s">
        <v>174</v>
      </c>
      <c r="B56" s="161" t="s">
        <v>57</v>
      </c>
      <c r="C56" s="179">
        <v>141.16</v>
      </c>
      <c r="D56" s="176">
        <v>180.3</v>
      </c>
      <c r="E56" s="176">
        <f>ROUND('[11]Staff Disposal Calcs'!L37*'[11]Staff Disposal Calcs'!E37,2)</f>
        <v>1.2</v>
      </c>
      <c r="F56" s="176">
        <f t="shared" si="14"/>
        <v>181.5</v>
      </c>
      <c r="G56" s="176">
        <f t="shared" si="15"/>
        <v>32.008911943127266</v>
      </c>
      <c r="H56" s="176">
        <f t="shared" si="16"/>
        <v>213.51</v>
      </c>
      <c r="I56" s="176">
        <f t="shared" si="17"/>
        <v>905.1800569640975</v>
      </c>
      <c r="J56" s="176">
        <f>H56/'[11]Staff Disposal Calcs'!E37</f>
        <v>24.635769230769231</v>
      </c>
      <c r="K56" s="176">
        <f>J56*R56*12*'[11]Staff Disposal Calcs'!E37</f>
        <v>5819.6725714285712</v>
      </c>
      <c r="L56" s="177">
        <v>1693.92</v>
      </c>
      <c r="M56" s="177">
        <v>2704.5</v>
      </c>
      <c r="N56" s="177">
        <f t="shared" si="18"/>
        <v>4398.42</v>
      </c>
      <c r="O56" s="71"/>
      <c r="P56" s="177">
        <f t="shared" si="19"/>
        <v>2.4</v>
      </c>
      <c r="Q56" s="177">
        <f t="shared" si="20"/>
        <v>2.1428571428571428</v>
      </c>
      <c r="R56" s="181">
        <f t="shared" si="21"/>
        <v>2.2714285714285714</v>
      </c>
    </row>
    <row r="57" spans="1:18" s="68" customFormat="1" ht="12" customHeight="1">
      <c r="A57" s="161" t="s">
        <v>175</v>
      </c>
      <c r="B57" s="161" t="s">
        <v>58</v>
      </c>
      <c r="C57" s="179">
        <v>141.16</v>
      </c>
      <c r="D57" s="176">
        <v>180.3</v>
      </c>
      <c r="E57" s="176">
        <f>ROUND('[11]Staff Disposal Calcs'!L38*'[11]Staff Disposal Calcs'!E38,2)</f>
        <v>1.2</v>
      </c>
      <c r="F57" s="176">
        <f t="shared" si="14"/>
        <v>181.5</v>
      </c>
      <c r="G57" s="176">
        <f t="shared" si="15"/>
        <v>32.008911943127266</v>
      </c>
      <c r="H57" s="176">
        <f t="shared" si="16"/>
        <v>213.51</v>
      </c>
      <c r="I57" s="176">
        <f t="shared" si="17"/>
        <v>1555.8397001756753</v>
      </c>
      <c r="J57" s="176">
        <f>H57/'[11]Staff Disposal Calcs'!E38</f>
        <v>24.635769230769231</v>
      </c>
      <c r="K57" s="176">
        <f>J57*R57*12*'[11]Staff Disposal Calcs'!E38</f>
        <v>10002.957487839527</v>
      </c>
      <c r="L57" s="177">
        <v>3089.8399999999997</v>
      </c>
      <c r="M57" s="177">
        <v>4329.7100000000009</v>
      </c>
      <c r="N57" s="177">
        <f t="shared" si="18"/>
        <v>7419.5500000000011</v>
      </c>
      <c r="O57" s="71"/>
      <c r="P57" s="177">
        <f t="shared" si="19"/>
        <v>4.3777840748087273</v>
      </c>
      <c r="Q57" s="177">
        <f t="shared" si="20"/>
        <v>3.4305601774819752</v>
      </c>
      <c r="R57" s="181">
        <f t="shared" si="21"/>
        <v>3.904172126145351</v>
      </c>
    </row>
    <row r="58" spans="1:18" s="68" customFormat="1" ht="12" customHeight="1">
      <c r="A58" s="161" t="s">
        <v>176</v>
      </c>
      <c r="B58" s="161" t="s">
        <v>59</v>
      </c>
      <c r="C58" s="179">
        <v>211.74</v>
      </c>
      <c r="D58" s="176">
        <v>270.45</v>
      </c>
      <c r="E58" s="176">
        <f>ROUND('[11]Staff Disposal Calcs'!L39*'[11]Staff Disposal Calcs'!E39,2)</f>
        <v>1.79</v>
      </c>
      <c r="F58" s="176">
        <f t="shared" si="14"/>
        <v>272.24</v>
      </c>
      <c r="G58" s="176">
        <f t="shared" si="15"/>
        <v>48.011604338275298</v>
      </c>
      <c r="H58" s="176">
        <f t="shared" si="16"/>
        <v>320.25</v>
      </c>
      <c r="I58" s="176">
        <f t="shared" si="17"/>
        <v>682.00814038216515</v>
      </c>
      <c r="J58" s="176">
        <f>H58/'[11]Staff Disposal Calcs'!E39</f>
        <v>24.634615384615383</v>
      </c>
      <c r="K58" s="176">
        <f>J58*R58*12*'[11]Staff Disposal Calcs'!E39</f>
        <v>4385.6640736677182</v>
      </c>
      <c r="L58" s="177">
        <v>1194.8200000000002</v>
      </c>
      <c r="M58" s="177">
        <v>2184.4</v>
      </c>
      <c r="N58" s="177">
        <f t="shared" si="18"/>
        <v>3379.2200000000003</v>
      </c>
      <c r="O58" s="71"/>
      <c r="P58" s="177">
        <f t="shared" si="19"/>
        <v>1.1285727779352037</v>
      </c>
      <c r="Q58" s="177">
        <f t="shared" si="20"/>
        <v>1.1538441222301457</v>
      </c>
      <c r="R58" s="181">
        <f t="shared" si="21"/>
        <v>1.1412084500826747</v>
      </c>
    </row>
    <row r="59" spans="1:18" s="68" customFormat="1" ht="12" customHeight="1">
      <c r="A59" s="161" t="s">
        <v>177</v>
      </c>
      <c r="B59" s="161" t="s">
        <v>60</v>
      </c>
      <c r="C59" s="179">
        <v>423.47</v>
      </c>
      <c r="D59" s="176">
        <v>540.9</v>
      </c>
      <c r="E59" s="176">
        <f>ROUND('[11]Staff Disposal Calcs'!L40*'[11]Staff Disposal Calcs'!E40,2)</f>
        <v>3.59</v>
      </c>
      <c r="F59" s="176">
        <f t="shared" si="14"/>
        <v>544.49</v>
      </c>
      <c r="G59" s="176">
        <f t="shared" si="15"/>
        <v>96.024972252966194</v>
      </c>
      <c r="H59" s="176">
        <f t="shared" si="16"/>
        <v>640.51</v>
      </c>
      <c r="I59" s="176">
        <f t="shared" si="17"/>
        <v>1016.0741283903517</v>
      </c>
      <c r="J59" s="176">
        <f>H59/'[11]Staff Disposal Calcs'!E40</f>
        <v>24.634999999999998</v>
      </c>
      <c r="K59" s="176">
        <f>J59*R59*12*'[11]Staff Disposal Calcs'!E40</f>
        <v>6533.2110751647115</v>
      </c>
      <c r="L59" s="177">
        <v>1482.15</v>
      </c>
      <c r="M59" s="177">
        <v>3786.3</v>
      </c>
      <c r="N59" s="177">
        <f t="shared" si="18"/>
        <v>5268.4500000000007</v>
      </c>
      <c r="O59" s="71"/>
      <c r="P59" s="177">
        <f t="shared" si="19"/>
        <v>0.70000236144236905</v>
      </c>
      <c r="Q59" s="177">
        <f t="shared" si="20"/>
        <v>1.0000000000000002</v>
      </c>
      <c r="R59" s="181">
        <f t="shared" si="21"/>
        <v>0.85000118072118469</v>
      </c>
    </row>
    <row r="60" spans="1:18" s="68" customFormat="1" ht="12" customHeight="1">
      <c r="A60" s="161" t="s">
        <v>178</v>
      </c>
      <c r="B60" s="161" t="s">
        <v>61</v>
      </c>
      <c r="C60" s="179">
        <v>35.369999999999997</v>
      </c>
      <c r="D60" s="176">
        <v>45.18</v>
      </c>
      <c r="E60" s="176">
        <f>ROUND('[11]Staff Disposal Calcs'!L41*'[11]Staff Disposal Calcs'!E41,2)</f>
        <v>0.3</v>
      </c>
      <c r="F60" s="176">
        <f t="shared" si="14"/>
        <v>45.48</v>
      </c>
      <c r="G60" s="176">
        <f t="shared" si="15"/>
        <v>8.0207455381456079</v>
      </c>
      <c r="H60" s="176">
        <f t="shared" si="16"/>
        <v>53.5</v>
      </c>
      <c r="I60" s="176">
        <f t="shared" si="17"/>
        <v>1561.5089047457973</v>
      </c>
      <c r="J60" s="176">
        <f>H60/'[11]Staff Disposal Calcs'!E41</f>
        <v>24.692307692307693</v>
      </c>
      <c r="K60" s="176">
        <f>J60*R60*12*'[11]Staff Disposal Calcs'!E41</f>
        <v>10040.05302420513</v>
      </c>
      <c r="L60" s="177">
        <v>2281.96</v>
      </c>
      <c r="M60" s="177">
        <v>5810.98</v>
      </c>
      <c r="N60" s="177">
        <f t="shared" si="18"/>
        <v>8092.94</v>
      </c>
      <c r="O60" s="71"/>
      <c r="P60" s="177">
        <f t="shared" si="19"/>
        <v>12.903364433135426</v>
      </c>
      <c r="Q60" s="177">
        <f t="shared" si="20"/>
        <v>18.374059318282427</v>
      </c>
      <c r="R60" s="181">
        <f t="shared" si="21"/>
        <v>15.638711875708927</v>
      </c>
    </row>
    <row r="61" spans="1:18" s="68" customFormat="1" ht="12" customHeight="1">
      <c r="A61" s="161" t="s">
        <v>179</v>
      </c>
      <c r="B61" s="161" t="s">
        <v>62</v>
      </c>
      <c r="C61" s="179">
        <v>92.45</v>
      </c>
      <c r="D61" s="176">
        <v>117.82</v>
      </c>
      <c r="E61" s="176">
        <f>ROUND('[11]Staff Disposal Calcs'!L42*'[11]Staff Disposal Calcs'!E42,2)</f>
        <v>0.77</v>
      </c>
      <c r="F61" s="176">
        <f t="shared" si="14"/>
        <v>118.58999999999999</v>
      </c>
      <c r="G61" s="176">
        <f t="shared" si="15"/>
        <v>20.914252712592077</v>
      </c>
      <c r="H61" s="176">
        <f t="shared" si="16"/>
        <v>139.5</v>
      </c>
      <c r="I61" s="176">
        <f t="shared" si="17"/>
        <v>12385.109070270795</v>
      </c>
      <c r="J61" s="176">
        <f>H61/'[11]Staff Disposal Calcs'!E42</f>
        <v>32.192307692307693</v>
      </c>
      <c r="K61" s="176">
        <f>J61*R61*12*'[11]Staff Disposal Calcs'!E42</f>
        <v>79676.377978176082</v>
      </c>
      <c r="L61" s="177">
        <f>18818.25+3833</f>
        <v>22651.25</v>
      </c>
      <c r="M61" s="177">
        <f>32729.27+5366</f>
        <v>38095.270000000004</v>
      </c>
      <c r="N61" s="177">
        <f t="shared" si="18"/>
        <v>60746.520000000004</v>
      </c>
      <c r="O61" s="71"/>
      <c r="P61" s="177">
        <f t="shared" si="19"/>
        <v>49.002163331530554</v>
      </c>
      <c r="Q61" s="177">
        <f t="shared" si="20"/>
        <v>46.190641899265231</v>
      </c>
      <c r="R61" s="181">
        <f t="shared" si="21"/>
        <v>47.596402615397892</v>
      </c>
    </row>
    <row r="62" spans="1:18" s="68" customFormat="1" ht="12" customHeight="1">
      <c r="A62" s="161" t="s">
        <v>180</v>
      </c>
      <c r="B62" s="161" t="s">
        <v>63</v>
      </c>
      <c r="C62" s="179">
        <v>184.89</v>
      </c>
      <c r="D62" s="176">
        <v>235.64</v>
      </c>
      <c r="E62" s="176">
        <f>ROUND('[11]Staff Disposal Calcs'!L43*'[11]Staff Disposal Calcs'!E43,2)</f>
        <v>1.55</v>
      </c>
      <c r="F62" s="176">
        <f t="shared" si="14"/>
        <v>237.19</v>
      </c>
      <c r="G62" s="176">
        <f t="shared" si="15"/>
        <v>41.83026900159976</v>
      </c>
      <c r="H62" s="176">
        <f t="shared" si="16"/>
        <v>279.02</v>
      </c>
      <c r="I62" s="176">
        <f t="shared" si="17"/>
        <v>1821.4076732695992</v>
      </c>
      <c r="J62" s="176">
        <f>H62/'[11]Staff Disposal Calcs'!E43</f>
        <v>32.194615384615382</v>
      </c>
      <c r="K62" s="176">
        <f>J62*R62*12*'[11]Staff Disposal Calcs'!E43</f>
        <v>11715.214789860847</v>
      </c>
      <c r="L62" s="177">
        <v>4945.83</v>
      </c>
      <c r="M62" s="177">
        <v>2718.0299999999993</v>
      </c>
      <c r="N62" s="177">
        <f t="shared" si="18"/>
        <v>7663.8599999999988</v>
      </c>
      <c r="O62" s="71"/>
      <c r="P62" s="177">
        <f t="shared" si="19"/>
        <v>5.3500243387960413</v>
      </c>
      <c r="Q62" s="177">
        <f t="shared" si="20"/>
        <v>1.6478102189781019</v>
      </c>
      <c r="R62" s="181">
        <f t="shared" si="21"/>
        <v>3.4989172788870717</v>
      </c>
    </row>
    <row r="63" spans="1:18" s="68" customFormat="1" ht="12" customHeight="1">
      <c r="A63" s="161" t="s">
        <v>181</v>
      </c>
      <c r="B63" s="161" t="s">
        <v>64</v>
      </c>
      <c r="C63" s="179">
        <v>277.33999999999997</v>
      </c>
      <c r="D63" s="176">
        <v>353.46</v>
      </c>
      <c r="E63" s="176">
        <f>ROUND('[11]Staff Disposal Calcs'!L44*'[11]Staff Disposal Calcs'!E44,2)</f>
        <v>2.3199999999999998</v>
      </c>
      <c r="F63" s="176">
        <f t="shared" si="14"/>
        <v>355.78</v>
      </c>
      <c r="G63" s="176">
        <f t="shared" si="15"/>
        <v>62.744521714191833</v>
      </c>
      <c r="H63" s="176">
        <f t="shared" si="16"/>
        <v>418.52</v>
      </c>
      <c r="I63" s="176">
        <f t="shared" si="17"/>
        <v>2213.6288975862944</v>
      </c>
      <c r="J63" s="176">
        <f>H63/'[11]Staff Disposal Calcs'!E44</f>
        <v>32.193846153846152</v>
      </c>
      <c r="K63" s="176">
        <f>J63*R63*12*'[11]Staff Disposal Calcs'!E44</f>
        <v>14238.911495997974</v>
      </c>
      <c r="L63" s="177">
        <v>4714.79</v>
      </c>
      <c r="M63" s="177">
        <v>5617.31</v>
      </c>
      <c r="N63" s="177">
        <f t="shared" si="18"/>
        <v>10332.1</v>
      </c>
      <c r="O63" s="71"/>
      <c r="P63" s="177">
        <f t="shared" si="19"/>
        <v>3.4000072113651116</v>
      </c>
      <c r="Q63" s="177">
        <f t="shared" si="20"/>
        <v>2.2703357017565136</v>
      </c>
      <c r="R63" s="181">
        <f t="shared" si="21"/>
        <v>2.8351714565608126</v>
      </c>
    </row>
    <row r="64" spans="1:18" s="68" customFormat="1" ht="12" customHeight="1">
      <c r="A64" s="161" t="s">
        <v>182</v>
      </c>
      <c r="B64" s="161" t="s">
        <v>65</v>
      </c>
      <c r="C64" s="179">
        <v>369.78</v>
      </c>
      <c r="D64" s="176">
        <v>471.28</v>
      </c>
      <c r="E64" s="176">
        <f>ROUND('[11]Staff Disposal Calcs'!L45*'[11]Staff Disposal Calcs'!E45,2)</f>
        <v>3.1</v>
      </c>
      <c r="F64" s="176">
        <f t="shared" si="14"/>
        <v>474.38</v>
      </c>
      <c r="G64" s="176">
        <f t="shared" si="15"/>
        <v>83.66053800319952</v>
      </c>
      <c r="H64" s="176">
        <f t="shared" si="16"/>
        <v>558.04</v>
      </c>
      <c r="I64" s="176">
        <f t="shared" si="17"/>
        <v>1111.7771382275273</v>
      </c>
      <c r="J64" s="176">
        <f>H64/'[11]Staff Disposal Calcs'!E45</f>
        <v>32.194615384615382</v>
      </c>
      <c r="K64" s="176">
        <f>J64*R64*12*'[11]Staff Disposal Calcs'!E45</f>
        <v>7150.9021093623223</v>
      </c>
      <c r="L64" s="177">
        <v>2033.7999999999997</v>
      </c>
      <c r="M64" s="177">
        <v>3416.7799999999997</v>
      </c>
      <c r="N64" s="177">
        <f t="shared" si="18"/>
        <v>5450.58</v>
      </c>
      <c r="O64" s="71"/>
      <c r="P64" s="177">
        <f t="shared" si="19"/>
        <v>1.1000054086213424</v>
      </c>
      <c r="Q64" s="177">
        <f t="shared" si="20"/>
        <v>1.0357142857142858</v>
      </c>
      <c r="R64" s="181">
        <f t="shared" si="21"/>
        <v>1.067859847167814</v>
      </c>
    </row>
    <row r="65" spans="1:18" s="68" customFormat="1" ht="12" customHeight="1">
      <c r="A65" s="161" t="s">
        <v>183</v>
      </c>
      <c r="B65" s="161" t="s">
        <v>66</v>
      </c>
      <c r="C65" s="179">
        <v>647.12</v>
      </c>
      <c r="D65" s="176">
        <v>824.74</v>
      </c>
      <c r="E65" s="176">
        <f>ROUND('[11]Staff Disposal Calcs'!L46*'[11]Staff Disposal Calcs'!E46,2)</f>
        <v>5.42</v>
      </c>
      <c r="F65" s="176">
        <f t="shared" si="14"/>
        <v>830.16</v>
      </c>
      <c r="G65" s="176">
        <f t="shared" si="15"/>
        <v>146.40505971739134</v>
      </c>
      <c r="H65" s="176">
        <f t="shared" si="16"/>
        <v>976.57</v>
      </c>
      <c r="I65" s="176">
        <f t="shared" si="17"/>
        <v>1821.9007166086958</v>
      </c>
      <c r="J65" s="176">
        <f>H65/'[11]Staff Disposal Calcs'!E46</f>
        <v>32.194615384615389</v>
      </c>
      <c r="K65" s="176">
        <f>J65*R65*12*'[11]Staff Disposal Calcs'!E46</f>
        <v>11718.840000000002</v>
      </c>
      <c r="L65" s="177">
        <v>3235.6</v>
      </c>
      <c r="M65" s="177">
        <v>5773.1799999999994</v>
      </c>
      <c r="N65" s="177">
        <f t="shared" si="18"/>
        <v>9008.7799999999988</v>
      </c>
      <c r="O65" s="71"/>
      <c r="P65" s="177">
        <f t="shared" si="19"/>
        <v>1</v>
      </c>
      <c r="Q65" s="177">
        <f t="shared" si="20"/>
        <v>0.99999999999999989</v>
      </c>
      <c r="R65" s="181">
        <f t="shared" si="21"/>
        <v>1</v>
      </c>
    </row>
    <row r="66" spans="1:18" s="68" customFormat="1" ht="12" customHeight="1">
      <c r="A66" s="161" t="s">
        <v>184</v>
      </c>
      <c r="B66" s="161" t="s">
        <v>67</v>
      </c>
      <c r="C66" s="179">
        <v>184.89</v>
      </c>
      <c r="D66" s="176">
        <v>235.64</v>
      </c>
      <c r="E66" s="176">
        <f>ROUND('[11]Staff Disposal Calcs'!L47*'[11]Staff Disposal Calcs'!E47,2)</f>
        <v>1.55</v>
      </c>
      <c r="F66" s="176">
        <f t="shared" si="14"/>
        <v>237.19</v>
      </c>
      <c r="G66" s="176">
        <f t="shared" si="15"/>
        <v>41.83026900159976</v>
      </c>
      <c r="H66" s="176">
        <f t="shared" si="16"/>
        <v>279.02</v>
      </c>
      <c r="I66" s="176">
        <f t="shared" si="17"/>
        <v>2524.8745944147308</v>
      </c>
      <c r="J66" s="176">
        <f>H66/'[11]Staff Disposal Calcs'!E47</f>
        <v>32.194615384615382</v>
      </c>
      <c r="K66" s="176">
        <f>J66*R66*12*'[11]Staff Disposal Calcs'!E47</f>
        <v>16239.883374342797</v>
      </c>
      <c r="L66" s="177">
        <v>4437.37</v>
      </c>
      <c r="M66" s="177">
        <v>8083.34</v>
      </c>
      <c r="N66" s="177">
        <f t="shared" si="18"/>
        <v>12520.71</v>
      </c>
      <c r="O66" s="71"/>
      <c r="P66" s="177">
        <f t="shared" si="19"/>
        <v>4.8000108172426845</v>
      </c>
      <c r="Q66" s="177">
        <f t="shared" si="20"/>
        <v>4.9005383514804661</v>
      </c>
      <c r="R66" s="181">
        <f t="shared" si="21"/>
        <v>4.8502745843615749</v>
      </c>
    </row>
    <row r="67" spans="1:18" s="68" customFormat="1" ht="12" customHeight="1">
      <c r="A67" s="161" t="s">
        <v>185</v>
      </c>
      <c r="B67" s="161" t="s">
        <v>68</v>
      </c>
      <c r="C67" s="179">
        <v>369.78</v>
      </c>
      <c r="D67" s="176">
        <v>471.28</v>
      </c>
      <c r="E67" s="176">
        <f>ROUND('[11]Staff Disposal Calcs'!L48*'[11]Staff Disposal Calcs'!E48,2)</f>
        <v>3.1</v>
      </c>
      <c r="F67" s="176">
        <f t="shared" si="14"/>
        <v>474.38</v>
      </c>
      <c r="G67" s="176">
        <f t="shared" si="15"/>
        <v>83.66053800319952</v>
      </c>
      <c r="H67" s="176">
        <f t="shared" si="16"/>
        <v>558.04</v>
      </c>
      <c r="I67" s="176">
        <f t="shared" si="17"/>
        <v>1683.3824269166994</v>
      </c>
      <c r="J67" s="176">
        <f>H67/'[11]Staff Disposal Calcs'!E48</f>
        <v>32.194615384615382</v>
      </c>
      <c r="K67" s="176">
        <f>J67*R67*12*'[11]Staff Disposal Calcs'!E48</f>
        <v>10827.442419524326</v>
      </c>
      <c r="L67" s="177">
        <v>2999.33</v>
      </c>
      <c r="M67" s="177">
        <v>5316.4299999999994</v>
      </c>
      <c r="N67" s="177">
        <f t="shared" si="18"/>
        <v>8315.7599999999984</v>
      </c>
      <c r="O67" s="71"/>
      <c r="P67" s="177">
        <f t="shared" si="19"/>
        <v>1.6222240250960032</v>
      </c>
      <c r="Q67" s="177">
        <f t="shared" si="20"/>
        <v>1.6115472755050075</v>
      </c>
      <c r="R67" s="181">
        <f t="shared" si="21"/>
        <v>1.6168856503005054</v>
      </c>
    </row>
    <row r="68" spans="1:18" s="68" customFormat="1" ht="12" customHeight="1">
      <c r="A68" s="161" t="s">
        <v>186</v>
      </c>
      <c r="B68" s="161" t="s">
        <v>69</v>
      </c>
      <c r="C68" s="179">
        <v>554.66999999999996</v>
      </c>
      <c r="D68" s="176">
        <v>706.92</v>
      </c>
      <c r="E68" s="176">
        <f>ROUND('[11]Staff Disposal Calcs'!L49*'[11]Staff Disposal Calcs'!E49,2)</f>
        <v>4.6500000000000004</v>
      </c>
      <c r="F68" s="176">
        <f t="shared" si="14"/>
        <v>711.56999999999994</v>
      </c>
      <c r="G68" s="176">
        <f t="shared" si="15"/>
        <v>125.49080700479927</v>
      </c>
      <c r="H68" s="176">
        <f t="shared" si="16"/>
        <v>837.06</v>
      </c>
      <c r="I68" s="176">
        <f t="shared" si="17"/>
        <v>624.67587362303652</v>
      </c>
      <c r="J68" s="176">
        <f>H68/'[11]Staff Disposal Calcs'!E49</f>
        <v>32.194615384615382</v>
      </c>
      <c r="K68" s="176">
        <f>J68*R68*12*'[11]Staff Disposal Calcs'!E49</f>
        <v>4017.8880000000004</v>
      </c>
      <c r="L68" s="177">
        <v>1109.3399999999999</v>
      </c>
      <c r="M68" s="177">
        <v>0</v>
      </c>
      <c r="N68" s="177">
        <f t="shared" si="18"/>
        <v>1109.3399999999999</v>
      </c>
      <c r="O68" s="71"/>
      <c r="P68" s="177">
        <f t="shared" si="19"/>
        <v>0.4</v>
      </c>
      <c r="Q68" s="177">
        <f t="shared" si="20"/>
        <v>0</v>
      </c>
      <c r="R68" s="181">
        <f t="shared" si="21"/>
        <v>0.4</v>
      </c>
    </row>
    <row r="69" spans="1:18" s="68" customFormat="1" ht="12" customHeight="1">
      <c r="A69" s="161" t="s">
        <v>187</v>
      </c>
      <c r="B69" s="161" t="s">
        <v>70</v>
      </c>
      <c r="C69" s="179">
        <v>1294.24</v>
      </c>
      <c r="D69" s="176">
        <v>1649.47</v>
      </c>
      <c r="E69" s="176">
        <f>ROUND('[11]Staff Disposal Calcs'!L50*'[11]Staff Disposal Calcs'!E50,2)</f>
        <v>10.85</v>
      </c>
      <c r="F69" s="176">
        <f t="shared" si="14"/>
        <v>1660.32</v>
      </c>
      <c r="G69" s="176">
        <f t="shared" si="15"/>
        <v>292.81011943478268</v>
      </c>
      <c r="H69" s="176">
        <f t="shared" si="16"/>
        <v>1953.13</v>
      </c>
      <c r="I69" s="176">
        <f t="shared" si="17"/>
        <v>3643.9214332173924</v>
      </c>
      <c r="J69" s="176">
        <f>H69/'[11]Staff Disposal Calcs'!E50</f>
        <v>32.194450549450551</v>
      </c>
      <c r="K69" s="176">
        <f>J69*R69*12*'[11]Staff Disposal Calcs'!E50</f>
        <v>23437.56</v>
      </c>
      <c r="L69" s="177">
        <v>6471.2</v>
      </c>
      <c r="M69" s="177">
        <v>11546.289999999999</v>
      </c>
      <c r="N69" s="177">
        <f t="shared" si="18"/>
        <v>18017.489999999998</v>
      </c>
      <c r="O69" s="71"/>
      <c r="P69" s="177">
        <f t="shared" si="19"/>
        <v>1</v>
      </c>
      <c r="Q69" s="177">
        <f t="shared" si="20"/>
        <v>0.99999999999999989</v>
      </c>
      <c r="R69" s="181">
        <f t="shared" si="21"/>
        <v>1</v>
      </c>
    </row>
    <row r="70" spans="1:18" s="68" customFormat="1" ht="12" customHeight="1">
      <c r="A70" s="161" t="s">
        <v>188</v>
      </c>
      <c r="B70" s="161" t="s">
        <v>71</v>
      </c>
      <c r="C70" s="179">
        <v>277.33999999999997</v>
      </c>
      <c r="D70" s="176">
        <v>353.46</v>
      </c>
      <c r="E70" s="176">
        <f>ROUND('[11]Staff Disposal Calcs'!L51*'[11]Staff Disposal Calcs'!E51,2)</f>
        <v>2.3199999999999998</v>
      </c>
      <c r="F70" s="176">
        <f t="shared" si="14"/>
        <v>355.78</v>
      </c>
      <c r="G70" s="176">
        <f t="shared" si="15"/>
        <v>62.744521714191833</v>
      </c>
      <c r="H70" s="176">
        <f t="shared" si="16"/>
        <v>418.52</v>
      </c>
      <c r="I70" s="176">
        <f t="shared" si="17"/>
        <v>2526.3624288453348</v>
      </c>
      <c r="J70" s="176">
        <f>H70/'[11]Staff Disposal Calcs'!E51</f>
        <v>32.193846153846152</v>
      </c>
      <c r="K70" s="176">
        <f>J70*R70*12*'[11]Staff Disposal Calcs'!E51</f>
        <v>16250.533714285715</v>
      </c>
      <c r="L70" s="177">
        <v>2634.73</v>
      </c>
      <c r="M70" s="177">
        <v>11310.720000000001</v>
      </c>
      <c r="N70" s="177">
        <f t="shared" si="18"/>
        <v>13945.45</v>
      </c>
      <c r="O70" s="71"/>
      <c r="P70" s="177">
        <f t="shared" si="19"/>
        <v>1.9000000000000004</v>
      </c>
      <c r="Q70" s="177">
        <f t="shared" si="20"/>
        <v>4.5714285714285721</v>
      </c>
      <c r="R70" s="181">
        <f t="shared" si="21"/>
        <v>3.2357142857142862</v>
      </c>
    </row>
    <row r="71" spans="1:18" s="68" customFormat="1" ht="12" customHeight="1">
      <c r="A71" s="161" t="s">
        <v>189</v>
      </c>
      <c r="B71" s="161" t="s">
        <v>72</v>
      </c>
      <c r="C71" s="179">
        <v>554.66999999999996</v>
      </c>
      <c r="D71" s="176">
        <v>706.92</v>
      </c>
      <c r="E71" s="176">
        <f>ROUND('[11]Staff Disposal Calcs'!L52*'[11]Staff Disposal Calcs'!E52,2)</f>
        <v>4.6500000000000004</v>
      </c>
      <c r="F71" s="176">
        <f t="shared" si="14"/>
        <v>711.56999999999994</v>
      </c>
      <c r="G71" s="176">
        <f t="shared" si="15"/>
        <v>125.49080700479927</v>
      </c>
      <c r="H71" s="176">
        <f t="shared" si="16"/>
        <v>837.06</v>
      </c>
      <c r="I71" s="176">
        <f t="shared" si="17"/>
        <v>3318.5912825047276</v>
      </c>
      <c r="J71" s="176">
        <f>H71/'[11]Staff Disposal Calcs'!E52</f>
        <v>32.194615384615382</v>
      </c>
      <c r="K71" s="176">
        <f>J71*R71*12*'[11]Staff Disposal Calcs'!E52</f>
        <v>21345.034527340584</v>
      </c>
      <c r="L71" s="177">
        <v>6240.04</v>
      </c>
      <c r="M71" s="177">
        <v>9896.8799999999992</v>
      </c>
      <c r="N71" s="177">
        <f t="shared" si="18"/>
        <v>16136.919999999998</v>
      </c>
      <c r="O71" s="71"/>
      <c r="P71" s="177">
        <f t="shared" si="19"/>
        <v>2.2500009014368905</v>
      </c>
      <c r="Q71" s="177">
        <f t="shared" si="20"/>
        <v>2</v>
      </c>
      <c r="R71" s="181">
        <f t="shared" si="21"/>
        <v>2.1250004507184452</v>
      </c>
    </row>
    <row r="72" spans="1:18" s="68" customFormat="1" ht="12" customHeight="1">
      <c r="A72" s="161" t="s">
        <v>190</v>
      </c>
      <c r="B72" s="161" t="s">
        <v>73</v>
      </c>
      <c r="C72" s="179">
        <v>369.78</v>
      </c>
      <c r="D72" s="176">
        <v>471.28</v>
      </c>
      <c r="E72" s="176">
        <f>ROUND('[11]Staff Disposal Calcs'!L53*'[11]Staff Disposal Calcs'!E53,2)</f>
        <v>3.1</v>
      </c>
      <c r="F72" s="176">
        <f t="shared" si="14"/>
        <v>474.38</v>
      </c>
      <c r="G72" s="176">
        <f t="shared" si="15"/>
        <v>83.66053800319952</v>
      </c>
      <c r="H72" s="176">
        <f t="shared" si="16"/>
        <v>558.04</v>
      </c>
      <c r="I72" s="176">
        <f t="shared" si="17"/>
        <v>1735.7951835206491</v>
      </c>
      <c r="J72" s="176">
        <f>H72/'[11]Staff Disposal Calcs'!E53</f>
        <v>32.194615384615382</v>
      </c>
      <c r="K72" s="176">
        <f>J72*R72*12*'[11]Staff Disposal Calcs'!E53</f>
        <v>11164.558986208012</v>
      </c>
      <c r="L72" s="177">
        <v>3523.7899999999995</v>
      </c>
      <c r="M72" s="177">
        <v>4712.7999999999993</v>
      </c>
      <c r="N72" s="177">
        <f t="shared" si="18"/>
        <v>8236.5899999999983</v>
      </c>
      <c r="O72" s="71"/>
      <c r="P72" s="177">
        <f t="shared" si="19"/>
        <v>1.9058845800205524</v>
      </c>
      <c r="Q72" s="177">
        <f t="shared" si="20"/>
        <v>1.4285714285714284</v>
      </c>
      <c r="R72" s="181">
        <f t="shared" si="21"/>
        <v>1.6672280042959904</v>
      </c>
    </row>
    <row r="73" spans="1:18" s="68" customFormat="1" ht="12" customHeight="1">
      <c r="A73" s="161" t="s">
        <v>191</v>
      </c>
      <c r="B73" s="161" t="s">
        <v>74</v>
      </c>
      <c r="C73" s="179">
        <v>46.33</v>
      </c>
      <c r="D73" s="176">
        <v>59.05</v>
      </c>
      <c r="E73" s="176">
        <f>ROUND('[11]Staff Disposal Calcs'!L54*'[11]Staff Disposal Calcs'!E54,2)</f>
        <v>0.39</v>
      </c>
      <c r="F73" s="176">
        <f t="shared" si="14"/>
        <v>59.44</v>
      </c>
      <c r="G73" s="176">
        <f t="shared" si="15"/>
        <v>10.482698214322228</v>
      </c>
      <c r="H73" s="176">
        <f t="shared" si="16"/>
        <v>69.92</v>
      </c>
      <c r="I73" s="176">
        <f t="shared" si="17"/>
        <v>2778.1384449605298</v>
      </c>
      <c r="J73" s="176">
        <f>H73/'[11]Staff Disposal Calcs'!E54</f>
        <v>32.270769230769233</v>
      </c>
      <c r="K73" s="176">
        <f>J73*R73*12*'[11]Staff Disposal Calcs'!E54</f>
        <v>17865.614978236481</v>
      </c>
      <c r="L73" s="177">
        <v>5289.920000000001</v>
      </c>
      <c r="M73" s="177">
        <v>8163.67</v>
      </c>
      <c r="N73" s="177">
        <f t="shared" si="18"/>
        <v>13453.59</v>
      </c>
      <c r="O73" s="71"/>
      <c r="P73" s="177">
        <f t="shared" si="19"/>
        <v>22.835829915821286</v>
      </c>
      <c r="Q73" s="177">
        <f t="shared" si="20"/>
        <v>19.750018144429664</v>
      </c>
      <c r="R73" s="181">
        <f t="shared" si="21"/>
        <v>21.292924030125477</v>
      </c>
    </row>
    <row r="74" spans="1:18" s="68" customFormat="1" ht="12" customHeight="1">
      <c r="A74" s="161" t="s">
        <v>192</v>
      </c>
      <c r="B74" s="161" t="s">
        <v>75</v>
      </c>
      <c r="C74" s="179">
        <v>150.03</v>
      </c>
      <c r="D74" s="176">
        <v>198.05</v>
      </c>
      <c r="E74" s="176">
        <f>ROUND('[11]Staff Disposal Calcs'!L55*'[11]Staff Disposal Calcs'!E55,2)</f>
        <v>1.47</v>
      </c>
      <c r="F74" s="176">
        <f t="shared" si="14"/>
        <v>199.52</v>
      </c>
      <c r="G74" s="176">
        <f t="shared" si="15"/>
        <v>35.186876644037206</v>
      </c>
      <c r="H74" s="176">
        <f t="shared" si="16"/>
        <v>234.71</v>
      </c>
      <c r="I74" s="176">
        <f t="shared" si="17"/>
        <v>990.17341658746886</v>
      </c>
      <c r="J74" s="176">
        <f>H74/'[11]Staff Disposal Calcs'!E55</f>
        <v>54.163846153846158</v>
      </c>
      <c r="K74" s="176">
        <f>J74*R74*12*'[11]Staff Disposal Calcs'!E55</f>
        <v>6339.9728477698536</v>
      </c>
      <c r="L74" s="177">
        <v>1875.38</v>
      </c>
      <c r="M74" s="177">
        <v>2775.45</v>
      </c>
      <c r="N74" s="177">
        <f t="shared" si="18"/>
        <v>4650.83</v>
      </c>
      <c r="O74" s="71"/>
      <c r="P74" s="177">
        <f t="shared" si="19"/>
        <v>2.5000066653335997</v>
      </c>
      <c r="Q74" s="177">
        <f t="shared" si="20"/>
        <v>2.0019836260684527</v>
      </c>
      <c r="R74" s="181">
        <f t="shared" si="21"/>
        <v>2.250995145701026</v>
      </c>
    </row>
    <row r="75" spans="1:18" s="68" customFormat="1" ht="12" customHeight="1">
      <c r="A75" s="161" t="s">
        <v>193</v>
      </c>
      <c r="B75" s="161" t="s">
        <v>76</v>
      </c>
      <c r="C75" s="179">
        <v>75.1905</v>
      </c>
      <c r="D75" s="176">
        <v>99.26</v>
      </c>
      <c r="E75" s="176">
        <f>ROUND('[11]Staff Disposal Calcs'!L56*'[11]Staff Disposal Calcs'!E56,2)</f>
        <v>0</v>
      </c>
      <c r="F75" s="176">
        <f t="shared" si="14"/>
        <v>99.26</v>
      </c>
      <c r="G75" s="176">
        <f t="shared" si="15"/>
        <v>17.505259501238637</v>
      </c>
      <c r="H75" s="176">
        <f t="shared" si="16"/>
        <v>116.77</v>
      </c>
      <c r="I75" s="176">
        <f t="shared" si="17"/>
        <v>0</v>
      </c>
      <c r="J75" s="176"/>
      <c r="K75" s="176">
        <f>J75*R75*12*'[11]Staff Disposal Calcs'!E56</f>
        <v>0</v>
      </c>
      <c r="L75" s="177">
        <v>0</v>
      </c>
      <c r="M75" s="177">
        <v>99.26</v>
      </c>
      <c r="N75" s="177">
        <f t="shared" si="18"/>
        <v>99.26</v>
      </c>
      <c r="O75" s="71"/>
      <c r="P75" s="177">
        <f t="shared" si="19"/>
        <v>0</v>
      </c>
      <c r="Q75" s="177">
        <f t="shared" si="20"/>
        <v>0.14285714285714285</v>
      </c>
      <c r="R75" s="181"/>
    </row>
    <row r="76" spans="1:18" s="68" customFormat="1" ht="12" customHeight="1">
      <c r="A76" s="161" t="s">
        <v>194</v>
      </c>
      <c r="B76" s="161" t="s">
        <v>77</v>
      </c>
      <c r="C76" s="179">
        <v>13.9</v>
      </c>
      <c r="D76" s="176">
        <v>16.170000000000002</v>
      </c>
      <c r="E76" s="176">
        <f>ROUND('[11]Staff Disposal Calcs'!L57*'[11]Staff Disposal Calcs'!E57,2)</f>
        <v>7.0000000000000007E-2</v>
      </c>
      <c r="F76" s="176">
        <f t="shared" si="14"/>
        <v>16.240000000000002</v>
      </c>
      <c r="G76" s="176">
        <f t="shared" si="15"/>
        <v>2.8640480989332611</v>
      </c>
      <c r="H76" s="176">
        <f t="shared" si="16"/>
        <v>19.100000000000001</v>
      </c>
      <c r="I76" s="176">
        <f t="shared" si="17"/>
        <v>1827.092120828496</v>
      </c>
      <c r="J76" s="176">
        <f>H76/'[11]Staff Disposal Calcs'!E57</f>
        <v>4.407692307692308</v>
      </c>
      <c r="K76" s="176">
        <f>J76*R76*12*'[11]Staff Disposal Calcs'!E57</f>
        <v>11893.962992805751</v>
      </c>
      <c r="L76" s="177">
        <v>3877.1799999999994</v>
      </c>
      <c r="M76" s="177">
        <v>5433.12</v>
      </c>
      <c r="N76" s="177">
        <f t="shared" si="18"/>
        <v>9310.2999999999993</v>
      </c>
      <c r="O76" s="71"/>
      <c r="P76" s="177">
        <f t="shared" si="19"/>
        <v>55.786762589928045</v>
      </c>
      <c r="Q76" s="177">
        <f t="shared" si="20"/>
        <v>47.999999999999993</v>
      </c>
      <c r="R76" s="181">
        <f t="shared" ref="R76:R116" si="22">IFERROR(AVERAGEIF(P76:Q76,"&lt;&gt;0"),0)</f>
        <v>51.893381294964016</v>
      </c>
    </row>
    <row r="77" spans="1:18" s="68" customFormat="1" ht="12" customHeight="1">
      <c r="A77" s="161" t="s">
        <v>195</v>
      </c>
      <c r="B77" s="161" t="s">
        <v>24</v>
      </c>
      <c r="C77" s="179">
        <v>27.71</v>
      </c>
      <c r="D77" s="176">
        <v>28.32</v>
      </c>
      <c r="E77" s="176">
        <f>ROUND('[11]Staff Disposal Calcs'!L58*'[11]Staff Disposal Calcs'!E58,2)</f>
        <v>0.14000000000000001</v>
      </c>
      <c r="F77" s="176">
        <f t="shared" si="14"/>
        <v>28.46</v>
      </c>
      <c r="G77" s="176">
        <f t="shared" si="15"/>
        <v>5.019138478795603</v>
      </c>
      <c r="H77" s="176">
        <f t="shared" si="16"/>
        <v>33.479999999999997</v>
      </c>
      <c r="I77" s="176">
        <f t="shared" si="17"/>
        <v>401.72211460059447</v>
      </c>
      <c r="J77" s="176">
        <f>H77/'[11]Staff Disposal Calcs'!E58</f>
        <v>3.8630769230769229</v>
      </c>
      <c r="K77" s="176">
        <f>J77*R77*12*'[11]Staff Disposal Calcs'!E58</f>
        <v>2606.9578190441821</v>
      </c>
      <c r="L77" s="177">
        <v>1045.93</v>
      </c>
      <c r="M77" s="177">
        <v>1076.1600000000001</v>
      </c>
      <c r="N77" s="177">
        <f t="shared" si="18"/>
        <v>2122.09</v>
      </c>
      <c r="O77" s="71"/>
      <c r="P77" s="177">
        <f t="shared" si="19"/>
        <v>7.5491158426560814</v>
      </c>
      <c r="Q77" s="177">
        <f t="shared" si="20"/>
        <v>5.4285714285714288</v>
      </c>
      <c r="R77" s="181">
        <f t="shared" si="22"/>
        <v>6.4888436356137547</v>
      </c>
    </row>
    <row r="78" spans="1:18" s="68" customFormat="1" ht="12" customHeight="1">
      <c r="A78" s="161" t="s">
        <v>196</v>
      </c>
      <c r="B78" s="161" t="s">
        <v>25</v>
      </c>
      <c r="C78" s="179">
        <v>41.57</v>
      </c>
      <c r="D78" s="176">
        <v>42.48</v>
      </c>
      <c r="E78" s="176">
        <f>ROUND('[11]Staff Disposal Calcs'!L59*'[11]Staff Disposal Calcs'!E59,2)</f>
        <v>0.21</v>
      </c>
      <c r="F78" s="176">
        <f t="shared" si="14"/>
        <v>42.69</v>
      </c>
      <c r="G78" s="176">
        <f t="shared" si="15"/>
        <v>7.5287077181934041</v>
      </c>
      <c r="H78" s="176">
        <f t="shared" si="16"/>
        <v>50.22</v>
      </c>
      <c r="I78" s="176">
        <f t="shared" si="17"/>
        <v>92.864492618320853</v>
      </c>
      <c r="J78" s="176">
        <f>H78/'[11]Staff Disposal Calcs'!E59</f>
        <v>3.8630769230769229</v>
      </c>
      <c r="K78" s="176">
        <f>J78*R78*12*'[11]Staff Disposal Calcs'!E59</f>
        <v>602.64</v>
      </c>
      <c r="L78" s="177">
        <v>207.85</v>
      </c>
      <c r="M78" s="177">
        <v>297.35999999999996</v>
      </c>
      <c r="N78" s="177">
        <f t="shared" si="18"/>
        <v>505.20999999999992</v>
      </c>
      <c r="O78" s="71"/>
      <c r="P78" s="177">
        <f t="shared" si="19"/>
        <v>1</v>
      </c>
      <c r="Q78" s="177">
        <f t="shared" si="20"/>
        <v>0.99999999999999989</v>
      </c>
      <c r="R78" s="181">
        <f t="shared" si="22"/>
        <v>1</v>
      </c>
    </row>
    <row r="79" spans="1:18" s="68" customFormat="1" ht="12" customHeight="1">
      <c r="A79" s="161" t="s">
        <v>197</v>
      </c>
      <c r="B79" s="161" t="s">
        <v>79</v>
      </c>
      <c r="C79" s="179">
        <v>55.42</v>
      </c>
      <c r="D79" s="176">
        <v>56.64</v>
      </c>
      <c r="E79" s="176">
        <f>ROUND('[11]Staff Disposal Calcs'!L60*'[11]Staff Disposal Calcs'!E60,2)</f>
        <v>0.28000000000000003</v>
      </c>
      <c r="F79" s="176">
        <f t="shared" si="14"/>
        <v>56.92</v>
      </c>
      <c r="G79" s="176">
        <f t="shared" si="15"/>
        <v>10.038276957591206</v>
      </c>
      <c r="H79" s="176">
        <f t="shared" si="16"/>
        <v>66.959999999999994</v>
      </c>
      <c r="I79" s="176">
        <f t="shared" si="17"/>
        <v>123.81932349109447</v>
      </c>
      <c r="J79" s="176">
        <f>H79/'[11]Staff Disposal Calcs'!E60</f>
        <v>3.8630769230769229</v>
      </c>
      <c r="K79" s="176">
        <f>J79*R79*12*'[11]Staff Disposal Calcs'!E60</f>
        <v>803.51999999999987</v>
      </c>
      <c r="L79" s="177">
        <v>277.10000000000002</v>
      </c>
      <c r="M79" s="177">
        <v>396.47999999999996</v>
      </c>
      <c r="N79" s="177">
        <f t="shared" si="18"/>
        <v>673.57999999999993</v>
      </c>
      <c r="O79" s="71"/>
      <c r="P79" s="177">
        <f t="shared" si="19"/>
        <v>1</v>
      </c>
      <c r="Q79" s="177">
        <f t="shared" si="20"/>
        <v>0.99999999999999989</v>
      </c>
      <c r="R79" s="181">
        <f t="shared" si="22"/>
        <v>1</v>
      </c>
    </row>
    <row r="80" spans="1:18" s="68" customFormat="1" ht="12" customHeight="1">
      <c r="A80" s="161" t="s">
        <v>198</v>
      </c>
      <c r="B80" s="161" t="s">
        <v>29</v>
      </c>
      <c r="C80" s="179">
        <v>13.9</v>
      </c>
      <c r="D80" s="176">
        <v>16.170000000000002</v>
      </c>
      <c r="E80" s="176">
        <f>ROUND('[11]Staff Disposal Calcs'!L61*'[11]Staff Disposal Calcs'!E61,2)</f>
        <v>0.03</v>
      </c>
      <c r="F80" s="176">
        <f t="shared" si="14"/>
        <v>16.200000000000003</v>
      </c>
      <c r="G80" s="176">
        <f t="shared" si="15"/>
        <v>2.8569937932708638</v>
      </c>
      <c r="H80" s="176">
        <f t="shared" si="16"/>
        <v>19.059999999999999</v>
      </c>
      <c r="I80" s="176">
        <f t="shared" si="17"/>
        <v>20.786355311550217</v>
      </c>
      <c r="J80" s="176">
        <f>H80/'[11]Staff Disposal Calcs'!E61</f>
        <v>8.7969230769230773</v>
      </c>
      <c r="K80" s="176">
        <f>J80*R80*12*'[11]Staff Disposal Calcs'!E61</f>
        <v>137.232</v>
      </c>
      <c r="L80" s="177">
        <v>41.7</v>
      </c>
      <c r="M80" s="177">
        <v>0</v>
      </c>
      <c r="N80" s="177">
        <f t="shared" si="18"/>
        <v>41.7</v>
      </c>
      <c r="O80" s="71"/>
      <c r="P80" s="177">
        <f t="shared" si="19"/>
        <v>0.6</v>
      </c>
      <c r="Q80" s="177">
        <f t="shared" si="20"/>
        <v>0</v>
      </c>
      <c r="R80" s="181">
        <f t="shared" si="22"/>
        <v>0.6</v>
      </c>
    </row>
    <row r="81" spans="1:19" s="68" customFormat="1" ht="12" customHeight="1">
      <c r="A81" s="161" t="s">
        <v>199</v>
      </c>
      <c r="B81" s="161" t="s">
        <v>80</v>
      </c>
      <c r="C81" s="179">
        <v>13.9</v>
      </c>
      <c r="D81" s="176">
        <v>16.170000000000002</v>
      </c>
      <c r="E81" s="176">
        <f>ROUND('[11]Staff Disposal Calcs'!L62*'[11]Staff Disposal Calcs'!E62,2)</f>
        <v>0</v>
      </c>
      <c r="F81" s="176">
        <f t="shared" si="14"/>
        <v>16.170000000000002</v>
      </c>
      <c r="G81" s="176">
        <f t="shared" si="15"/>
        <v>2.8517030640240657</v>
      </c>
      <c r="H81" s="176">
        <f t="shared" si="16"/>
        <v>19.02</v>
      </c>
      <c r="I81" s="176">
        <f t="shared" si="17"/>
        <v>0</v>
      </c>
      <c r="J81" s="176"/>
      <c r="K81" s="176">
        <f>J81*R81*12*'[11]Staff Disposal Calcs'!E62</f>
        <v>0</v>
      </c>
      <c r="L81" s="177"/>
      <c r="M81" s="177"/>
      <c r="N81" s="177"/>
      <c r="O81" s="71"/>
      <c r="P81" s="177">
        <f t="shared" si="19"/>
        <v>0</v>
      </c>
      <c r="Q81" s="177">
        <f t="shared" si="20"/>
        <v>0</v>
      </c>
      <c r="R81" s="181">
        <f t="shared" si="22"/>
        <v>0</v>
      </c>
    </row>
    <row r="82" spans="1:19" s="68" customFormat="1" ht="12" customHeight="1">
      <c r="A82" s="161" t="s">
        <v>200</v>
      </c>
      <c r="B82" s="161" t="s">
        <v>81</v>
      </c>
      <c r="C82" s="179">
        <v>19.350000000000001</v>
      </c>
      <c r="D82" s="176">
        <v>23.09</v>
      </c>
      <c r="E82" s="176">
        <f>ROUND('[11]Staff Disposal Calcs'!L63*'[11]Staff Disposal Calcs'!E63,2)</f>
        <v>0.02</v>
      </c>
      <c r="F82" s="176">
        <f t="shared" si="14"/>
        <v>23.11</v>
      </c>
      <c r="G82" s="176">
        <f t="shared" si="15"/>
        <v>4.0756250964499783</v>
      </c>
      <c r="H82" s="176">
        <f t="shared" si="16"/>
        <v>27.19</v>
      </c>
      <c r="I82" s="176">
        <f t="shared" si="17"/>
        <v>39.31800092591979</v>
      </c>
      <c r="J82" s="176">
        <f>H82/'[11]Staff Disposal Calcs'!E63</f>
        <v>27.19</v>
      </c>
      <c r="K82" s="176">
        <f>J82*R82*12*'[11]Staff Disposal Calcs'!E63</f>
        <v>261.024</v>
      </c>
      <c r="L82" s="177">
        <v>77.400000000000006</v>
      </c>
      <c r="M82" s="177">
        <v>0</v>
      </c>
      <c r="N82" s="177">
        <f t="shared" si="18"/>
        <v>77.400000000000006</v>
      </c>
      <c r="O82" s="71"/>
      <c r="P82" s="177">
        <f t="shared" si="19"/>
        <v>0.8</v>
      </c>
      <c r="Q82" s="177">
        <f t="shared" si="20"/>
        <v>0</v>
      </c>
      <c r="R82" s="181">
        <f t="shared" si="22"/>
        <v>0.8</v>
      </c>
    </row>
    <row r="83" spans="1:19" s="68" customFormat="1" ht="12" customHeight="1">
      <c r="A83" s="161" t="s">
        <v>201</v>
      </c>
      <c r="B83" s="161" t="s">
        <v>82</v>
      </c>
      <c r="C83" s="179">
        <v>22.95</v>
      </c>
      <c r="D83" s="176">
        <v>26.67</v>
      </c>
      <c r="E83" s="176">
        <f>ROUND('[11]Staff Disposal Calcs'!L64*'[11]Staff Disposal Calcs'!E64,2)</f>
        <v>0.1</v>
      </c>
      <c r="F83" s="176">
        <f t="shared" si="14"/>
        <v>26.770000000000003</v>
      </c>
      <c r="G83" s="176">
        <f t="shared" si="15"/>
        <v>4.7210940645593222</v>
      </c>
      <c r="H83" s="176">
        <f t="shared" si="16"/>
        <v>31.49</v>
      </c>
      <c r="I83" s="176">
        <f t="shared" si="17"/>
        <v>104.13563179448137</v>
      </c>
      <c r="J83" s="176">
        <f>H83/'[11]Staff Disposal Calcs'!E64</f>
        <v>7.266923076923077</v>
      </c>
      <c r="K83" s="176">
        <f>J83*R83*12*'[11]Staff Disposal Calcs'!E64</f>
        <v>680.18399999999997</v>
      </c>
      <c r="L83" s="177">
        <v>183.6</v>
      </c>
      <c r="M83" s="177">
        <v>373.38000000000011</v>
      </c>
      <c r="N83" s="177">
        <f t="shared" si="18"/>
        <v>556.98000000000013</v>
      </c>
      <c r="O83" s="71"/>
      <c r="P83" s="177">
        <f t="shared" si="19"/>
        <v>1.6</v>
      </c>
      <c r="Q83" s="177">
        <f t="shared" si="20"/>
        <v>2.0000000000000004</v>
      </c>
      <c r="R83" s="181">
        <f t="shared" si="22"/>
        <v>1.8000000000000003</v>
      </c>
    </row>
    <row r="84" spans="1:19" s="68" customFormat="1" ht="12" customHeight="1">
      <c r="A84" s="161" t="s">
        <v>202</v>
      </c>
      <c r="B84" s="161" t="s">
        <v>83</v>
      </c>
      <c r="C84" s="179">
        <v>3.2</v>
      </c>
      <c r="D84" s="176">
        <v>3.72</v>
      </c>
      <c r="E84" s="176">
        <f>ROUND('[11]Staff Disposal Calcs'!L65*'[11]Staff Disposal Calcs'!E65,2)</f>
        <v>0.02</v>
      </c>
      <c r="F84" s="176">
        <f t="shared" si="14"/>
        <v>3.74</v>
      </c>
      <c r="G84" s="176">
        <f t="shared" si="15"/>
        <v>0.65957757943413764</v>
      </c>
      <c r="H84" s="176">
        <f t="shared" si="16"/>
        <v>4.4000000000000004</v>
      </c>
      <c r="I84" s="176">
        <f t="shared" si="17"/>
        <v>675.67611515552449</v>
      </c>
      <c r="J84" s="176">
        <f>H84/'[11]Staff Disposal Calcs'!E65</f>
        <v>4.4000000000000004</v>
      </c>
      <c r="K84" s="176">
        <f>J84*'[11]Staff Disposal Calcs'!F65</f>
        <v>4374.7395391705068</v>
      </c>
      <c r="L84" s="177">
        <v>1497.6</v>
      </c>
      <c r="M84" s="177">
        <v>1877.7399999999998</v>
      </c>
      <c r="N84" s="177">
        <f t="shared" si="18"/>
        <v>3375.3399999999997</v>
      </c>
      <c r="O84" s="71"/>
      <c r="P84" s="177">
        <f t="shared" si="19"/>
        <v>93.6</v>
      </c>
      <c r="Q84" s="177">
        <f t="shared" si="20"/>
        <v>72.109831029185855</v>
      </c>
      <c r="R84" s="181">
        <f t="shared" si="22"/>
        <v>82.854915514592932</v>
      </c>
      <c r="S84" s="80"/>
    </row>
    <row r="85" spans="1:19" s="68" customFormat="1" ht="11.25" customHeight="1">
      <c r="A85" s="161" t="s">
        <v>203</v>
      </c>
      <c r="B85" s="161" t="s">
        <v>34</v>
      </c>
      <c r="C85" s="179">
        <v>4</v>
      </c>
      <c r="D85" s="176">
        <v>4.5199999999999996</v>
      </c>
      <c r="E85" s="176">
        <f>ROUND('[11]Staff Disposal Calcs'!L66*'[11]Staff Disposal Calcs'!E66,2)</f>
        <v>0.02</v>
      </c>
      <c r="F85" s="176">
        <f t="shared" si="14"/>
        <v>4.5399999999999991</v>
      </c>
      <c r="G85" s="176">
        <f t="shared" si="15"/>
        <v>0.80066369268208126</v>
      </c>
      <c r="H85" s="176">
        <f t="shared" si="16"/>
        <v>5.34</v>
      </c>
      <c r="I85" s="176">
        <f t="shared" si="17"/>
        <v>36.68279556162247</v>
      </c>
      <c r="J85" s="176">
        <f>H85/'[11]Staff Disposal Calcs'!E66</f>
        <v>5.34</v>
      </c>
      <c r="K85" s="176">
        <f>J85*'[11]Staff Disposal Calcs'!F66</f>
        <v>238.69232920353986</v>
      </c>
      <c r="L85" s="177">
        <v>78.2</v>
      </c>
      <c r="M85" s="177">
        <v>112</v>
      </c>
      <c r="N85" s="177">
        <f t="shared" si="18"/>
        <v>190.2</v>
      </c>
      <c r="O85" s="71"/>
      <c r="P85" s="177">
        <f t="shared" si="19"/>
        <v>3.91</v>
      </c>
      <c r="Q85" s="177">
        <f t="shared" si="20"/>
        <v>3.5398230088495581</v>
      </c>
      <c r="R85" s="181">
        <f t="shared" si="22"/>
        <v>3.7249115044247789</v>
      </c>
    </row>
    <row r="86" spans="1:19" s="68" customFormat="1" ht="12" customHeight="1">
      <c r="A86" s="161" t="s">
        <v>204</v>
      </c>
      <c r="B86" s="161" t="s">
        <v>84</v>
      </c>
      <c r="C86" s="179">
        <v>16.45</v>
      </c>
      <c r="D86" s="176">
        <v>19.62</v>
      </c>
      <c r="E86" s="176">
        <f>ROUND('[11]Staff Disposal Calcs'!L67*'[11]Staff Disposal Calcs'!E67,2)</f>
        <v>0.1</v>
      </c>
      <c r="F86" s="176">
        <f t="shared" si="14"/>
        <v>19.720000000000002</v>
      </c>
      <c r="G86" s="176">
        <f t="shared" si="15"/>
        <v>3.4777726915618166</v>
      </c>
      <c r="H86" s="176">
        <f t="shared" si="16"/>
        <v>23.2</v>
      </c>
      <c r="I86" s="176">
        <f t="shared" si="17"/>
        <v>107.45103311074431</v>
      </c>
      <c r="J86" s="176">
        <f>H86/'[11]Staff Disposal Calcs'!E67</f>
        <v>23.2</v>
      </c>
      <c r="K86" s="176">
        <f>J86*'[11]Staff Disposal Calcs'!F67</f>
        <v>696.76421144604626</v>
      </c>
      <c r="L86" s="177">
        <v>213.85</v>
      </c>
      <c r="M86" s="177">
        <v>330.37</v>
      </c>
      <c r="N86" s="177">
        <f t="shared" si="18"/>
        <v>544.22</v>
      </c>
      <c r="O86" s="71"/>
      <c r="P86" s="177">
        <f t="shared" si="19"/>
        <v>2.6</v>
      </c>
      <c r="Q86" s="177">
        <f t="shared" si="20"/>
        <v>2.4054900247560798</v>
      </c>
      <c r="R86" s="181">
        <f t="shared" si="22"/>
        <v>2.5027450123780399</v>
      </c>
    </row>
    <row r="87" spans="1:19" s="68" customFormat="1" ht="12" customHeight="1">
      <c r="A87" s="161" t="s">
        <v>205</v>
      </c>
      <c r="B87" s="161" t="s">
        <v>85</v>
      </c>
      <c r="C87" s="179">
        <v>24.35</v>
      </c>
      <c r="D87" s="176">
        <v>28.87</v>
      </c>
      <c r="E87" s="176">
        <f>ROUND('[11]Staff Disposal Calcs'!L68*'[11]Staff Disposal Calcs'!E68,2)</f>
        <v>0.14000000000000001</v>
      </c>
      <c r="F87" s="176">
        <f t="shared" si="14"/>
        <v>29.01</v>
      </c>
      <c r="G87" s="176">
        <f t="shared" si="15"/>
        <v>5.116135181653565</v>
      </c>
      <c r="H87" s="176">
        <f t="shared" si="16"/>
        <v>34.130000000000003</v>
      </c>
      <c r="I87" s="176">
        <f t="shared" si="17"/>
        <v>229.25852501087567</v>
      </c>
      <c r="J87" s="176">
        <f>H87/'[11]Staff Disposal Calcs'!E68</f>
        <v>34.130000000000003</v>
      </c>
      <c r="K87" s="176">
        <f>J87*'[11]Staff Disposal Calcs'!F68</f>
        <v>1488.6590980256321</v>
      </c>
      <c r="L87" s="177">
        <v>560.04999999999995</v>
      </c>
      <c r="M87" s="177">
        <v>539.49</v>
      </c>
      <c r="N87" s="177">
        <f t="shared" si="18"/>
        <v>1099.54</v>
      </c>
      <c r="O87" s="71"/>
      <c r="P87" s="177">
        <f t="shared" si="19"/>
        <v>4.5999999999999996</v>
      </c>
      <c r="Q87" s="177">
        <f t="shared" si="20"/>
        <v>2.6695531693799794</v>
      </c>
      <c r="R87" s="181">
        <f t="shared" si="22"/>
        <v>3.6347765846899893</v>
      </c>
    </row>
    <row r="88" spans="1:19" s="68" customFormat="1" ht="12" customHeight="1">
      <c r="A88" s="161" t="s">
        <v>206</v>
      </c>
      <c r="B88" s="161" t="s">
        <v>86</v>
      </c>
      <c r="C88" s="179">
        <v>32.15</v>
      </c>
      <c r="D88" s="176">
        <v>38.01</v>
      </c>
      <c r="E88" s="176">
        <f>ROUND('[11]Staff Disposal Calcs'!L69*'[11]Staff Disposal Calcs'!E69,2)</f>
        <v>0.18</v>
      </c>
      <c r="F88" s="176">
        <f t="shared" si="14"/>
        <v>38.19</v>
      </c>
      <c r="G88" s="176">
        <f t="shared" si="15"/>
        <v>6.7350983311737203</v>
      </c>
      <c r="H88" s="176">
        <f t="shared" si="16"/>
        <v>44.93</v>
      </c>
      <c r="I88" s="176">
        <f t="shared" si="17"/>
        <v>1243.7270530045953</v>
      </c>
      <c r="J88" s="176">
        <f>H88/'[11]Staff Disposal Calcs'!E69</f>
        <v>44.93</v>
      </c>
      <c r="K88" s="176">
        <f>J88*'[11]Staff Disposal Calcs'!F69</f>
        <v>8080.963395644394</v>
      </c>
      <c r="L88" s="177">
        <v>2726.6099999999997</v>
      </c>
      <c r="M88" s="177">
        <v>3462.72</v>
      </c>
      <c r="N88" s="177">
        <f t="shared" si="18"/>
        <v>6189.33</v>
      </c>
      <c r="O88" s="71"/>
      <c r="P88" s="177">
        <f t="shared" si="19"/>
        <v>16.961804043545875</v>
      </c>
      <c r="Q88" s="177">
        <f t="shared" si="20"/>
        <v>13.014319539970684</v>
      </c>
      <c r="R88" s="181">
        <f t="shared" si="22"/>
        <v>14.98806179175828</v>
      </c>
    </row>
    <row r="89" spans="1:19" s="68" customFormat="1" ht="12" customHeight="1">
      <c r="A89" s="161" t="s">
        <v>207</v>
      </c>
      <c r="B89" s="161" t="s">
        <v>87</v>
      </c>
      <c r="C89" s="179">
        <v>24.35</v>
      </c>
      <c r="D89" s="176">
        <v>28.87</v>
      </c>
      <c r="E89" s="176">
        <f>ROUND('[11]Staff Disposal Calcs'!L70*'[11]Staff Disposal Calcs'!E70,2)</f>
        <v>0.14000000000000001</v>
      </c>
      <c r="F89" s="176">
        <f t="shared" si="14"/>
        <v>29.01</v>
      </c>
      <c r="G89" s="176">
        <f t="shared" si="15"/>
        <v>5.116135181653565</v>
      </c>
      <c r="H89" s="176">
        <f t="shared" si="16"/>
        <v>34.130000000000003</v>
      </c>
      <c r="I89" s="176">
        <f t="shared" si="17"/>
        <v>25.229448871937112</v>
      </c>
      <c r="J89" s="176">
        <f>H89/'[11]Staff Disposal Calcs'!E70</f>
        <v>34.130000000000003</v>
      </c>
      <c r="K89" s="176">
        <f>J89*'[11]Staff Disposal Calcs'!F70</f>
        <v>163.82400000000004</v>
      </c>
      <c r="L89" s="177">
        <v>48.7</v>
      </c>
      <c r="M89" s="177">
        <v>0</v>
      </c>
      <c r="N89" s="177">
        <f t="shared" si="18"/>
        <v>48.7</v>
      </c>
      <c r="O89" s="71"/>
      <c r="P89" s="177">
        <f t="shared" si="19"/>
        <v>0.4</v>
      </c>
      <c r="Q89" s="177">
        <f t="shared" si="20"/>
        <v>0</v>
      </c>
      <c r="R89" s="181">
        <f t="shared" si="22"/>
        <v>0.4</v>
      </c>
    </row>
    <row r="90" spans="1:19" s="68" customFormat="1" ht="12" customHeight="1">
      <c r="A90" s="161" t="s">
        <v>208</v>
      </c>
      <c r="B90" s="161" t="s">
        <v>88</v>
      </c>
      <c r="C90" s="179">
        <v>16.45</v>
      </c>
      <c r="D90" s="176">
        <v>19.62</v>
      </c>
      <c r="E90" s="176">
        <f>ROUND('[11]Staff Disposal Calcs'!L71*'[11]Staff Disposal Calcs'!E71,2)</f>
        <v>0.1</v>
      </c>
      <c r="F90" s="176">
        <f t="shared" si="14"/>
        <v>19.720000000000002</v>
      </c>
      <c r="G90" s="176">
        <f t="shared" si="15"/>
        <v>3.4777726915618166</v>
      </c>
      <c r="H90" s="176">
        <f t="shared" si="16"/>
        <v>23.2</v>
      </c>
      <c r="I90" s="176">
        <f t="shared" si="17"/>
        <v>68.053803962899252</v>
      </c>
      <c r="J90" s="176">
        <f>H90/'[11]Staff Disposal Calcs'!E71</f>
        <v>23.2</v>
      </c>
      <c r="K90" s="176">
        <f>J90*'[11]Staff Disposal Calcs'!F71</f>
        <v>441.29361702127659</v>
      </c>
      <c r="L90" s="177">
        <v>178.5</v>
      </c>
      <c r="M90" s="177">
        <v>137.34</v>
      </c>
      <c r="N90" s="177">
        <f t="shared" si="18"/>
        <v>315.84000000000003</v>
      </c>
      <c r="O90" s="71"/>
      <c r="P90" s="177">
        <f t="shared" si="19"/>
        <v>2.1702127659574471</v>
      </c>
      <c r="Q90" s="177">
        <f t="shared" si="20"/>
        <v>1</v>
      </c>
      <c r="R90" s="181">
        <f t="shared" si="22"/>
        <v>1.5851063829787235</v>
      </c>
    </row>
    <row r="91" spans="1:19" s="68" customFormat="1" ht="12" customHeight="1">
      <c r="A91" s="161" t="s">
        <v>209</v>
      </c>
      <c r="B91" s="161" t="s">
        <v>89</v>
      </c>
      <c r="C91" s="179">
        <v>32.15</v>
      </c>
      <c r="D91" s="176">
        <v>38.01</v>
      </c>
      <c r="E91" s="176">
        <f>ROUND('[11]Staff Disposal Calcs'!L72*'[11]Staff Disposal Calcs'!E72,2)</f>
        <v>0.18</v>
      </c>
      <c r="F91" s="176">
        <f t="shared" si="14"/>
        <v>38.19</v>
      </c>
      <c r="G91" s="176">
        <f t="shared" si="15"/>
        <v>6.7350983311737203</v>
      </c>
      <c r="H91" s="176">
        <f t="shared" si="16"/>
        <v>44.93</v>
      </c>
      <c r="I91" s="176">
        <f t="shared" si="17"/>
        <v>14.428142956613787</v>
      </c>
      <c r="J91" s="176">
        <f>H91/'[11]Staff Disposal Calcs'!E72</f>
        <v>44.93</v>
      </c>
      <c r="K91" s="176">
        <f>J91*'[11]Staff Disposal Calcs'!F72</f>
        <v>93.745082426127524</v>
      </c>
      <c r="L91" s="177">
        <v>27.950000000000003</v>
      </c>
      <c r="M91" s="177">
        <v>0</v>
      </c>
      <c r="N91" s="177">
        <f t="shared" si="18"/>
        <v>27.950000000000003</v>
      </c>
      <c r="O91" s="71"/>
      <c r="P91" s="177">
        <f t="shared" si="19"/>
        <v>0.17387247278382584</v>
      </c>
      <c r="Q91" s="177">
        <f t="shared" si="20"/>
        <v>0</v>
      </c>
      <c r="R91" s="181">
        <f t="shared" si="22"/>
        <v>0.17387247278382584</v>
      </c>
    </row>
    <row r="92" spans="1:19" s="68" customFormat="1" ht="12" customHeight="1">
      <c r="A92" s="161" t="s">
        <v>210</v>
      </c>
      <c r="B92" s="161" t="s">
        <v>90</v>
      </c>
      <c r="C92" s="179">
        <v>12.55</v>
      </c>
      <c r="D92" s="176">
        <v>14.81</v>
      </c>
      <c r="E92" s="176">
        <f>ROUND('[11]Staff Disposal Calcs'!L73*'[11]Staff Disposal Calcs'!E73,2)</f>
        <v>7.0000000000000007E-2</v>
      </c>
      <c r="F92" s="176">
        <f t="shared" si="14"/>
        <v>14.88</v>
      </c>
      <c r="G92" s="176">
        <f t="shared" si="15"/>
        <v>2.624201706411756</v>
      </c>
      <c r="H92" s="176">
        <f t="shared" si="16"/>
        <v>17.5</v>
      </c>
      <c r="I92" s="176">
        <f t="shared" si="17"/>
        <v>28.509212392596908</v>
      </c>
      <c r="J92" s="176">
        <f>H92/'[11]Staff Disposal Calcs'!E73</f>
        <v>17.5</v>
      </c>
      <c r="K92" s="176">
        <f>J92*'[11]Staff Disposal Calcs'!F73</f>
        <v>185.17960837272108</v>
      </c>
      <c r="L92" s="177">
        <v>75.3</v>
      </c>
      <c r="M92" s="177">
        <v>58.43</v>
      </c>
      <c r="N92" s="177">
        <f t="shared" si="18"/>
        <v>133.72999999999999</v>
      </c>
      <c r="O92" s="71"/>
      <c r="P92" s="177">
        <f t="shared" si="19"/>
        <v>1.1999999999999997</v>
      </c>
      <c r="Q92" s="177">
        <f t="shared" si="20"/>
        <v>0.56361531783543939</v>
      </c>
      <c r="R92" s="181">
        <f t="shared" si="22"/>
        <v>0.88180765891771951</v>
      </c>
    </row>
    <row r="93" spans="1:19" s="68" customFormat="1" ht="12" customHeight="1">
      <c r="A93" s="161" t="s">
        <v>211</v>
      </c>
      <c r="B93" s="161" t="s">
        <v>91</v>
      </c>
      <c r="C93" s="179">
        <v>13.65</v>
      </c>
      <c r="D93" s="176">
        <v>13.65</v>
      </c>
      <c r="E93" s="176">
        <f>'[11]Staff Disposal Calcs'!L74</f>
        <v>0</v>
      </c>
      <c r="F93" s="176">
        <f t="shared" si="14"/>
        <v>13.65</v>
      </c>
      <c r="G93" s="176">
        <f t="shared" si="15"/>
        <v>2.4072818072930424</v>
      </c>
      <c r="H93" s="176">
        <f t="shared" si="16"/>
        <v>16.059999999999999</v>
      </c>
      <c r="I93" s="176">
        <f t="shared" si="17"/>
        <v>1586.1116511535527</v>
      </c>
      <c r="J93" s="176">
        <f>H93</f>
        <v>16.059999999999999</v>
      </c>
      <c r="K93" s="176">
        <f>J93*R93*12</f>
        <v>10581.62490172684</v>
      </c>
      <c r="L93" s="177">
        <v>3681.7399999999993</v>
      </c>
      <c r="M93" s="177">
        <v>5338.24</v>
      </c>
      <c r="N93" s="177">
        <f t="shared" si="18"/>
        <v>9019.98</v>
      </c>
      <c r="O93" s="71"/>
      <c r="P93" s="177">
        <f t="shared" si="19"/>
        <v>53.944908424908405</v>
      </c>
      <c r="Q93" s="177">
        <f t="shared" si="20"/>
        <v>55.868550497121923</v>
      </c>
      <c r="R93" s="181">
        <f t="shared" si="22"/>
        <v>54.906729461015161</v>
      </c>
    </row>
    <row r="94" spans="1:19" s="68" customFormat="1" ht="12" customHeight="1">
      <c r="A94" s="161" t="s">
        <v>212</v>
      </c>
      <c r="B94" s="161" t="s">
        <v>92</v>
      </c>
      <c r="C94" s="179">
        <v>21.25</v>
      </c>
      <c r="D94" s="176">
        <v>21.25</v>
      </c>
      <c r="E94" s="176">
        <f>'[11]Staff Disposal Calcs'!L75</f>
        <v>0</v>
      </c>
      <c r="F94" s="176">
        <f t="shared" si="14"/>
        <v>21.25</v>
      </c>
      <c r="G94" s="176">
        <f t="shared" si="15"/>
        <v>3.7475998831485091</v>
      </c>
      <c r="H94" s="176">
        <f t="shared" si="16"/>
        <v>25</v>
      </c>
      <c r="I94" s="176">
        <f t="shared" si="17"/>
        <v>85.445277335786002</v>
      </c>
      <c r="J94" s="176">
        <f t="shared" ref="J94:J116" si="23">H94</f>
        <v>25</v>
      </c>
      <c r="K94" s="176">
        <f t="shared" ref="K94:K116" si="24">J94*R94*12</f>
        <v>570</v>
      </c>
      <c r="L94" s="177">
        <v>191.25</v>
      </c>
      <c r="M94" s="177">
        <v>297.5</v>
      </c>
      <c r="N94" s="177">
        <f t="shared" si="18"/>
        <v>488.75</v>
      </c>
      <c r="O94" s="71"/>
      <c r="P94" s="177">
        <f t="shared" si="19"/>
        <v>1.8</v>
      </c>
      <c r="Q94" s="177">
        <f t="shared" si="20"/>
        <v>2</v>
      </c>
      <c r="R94" s="181">
        <f t="shared" si="22"/>
        <v>1.9</v>
      </c>
    </row>
    <row r="95" spans="1:19" s="68" customFormat="1" ht="12" customHeight="1">
      <c r="A95" s="161" t="s">
        <v>213</v>
      </c>
      <c r="B95" s="161" t="s">
        <v>93</v>
      </c>
      <c r="C95" s="179">
        <v>16.649999999999999</v>
      </c>
      <c r="D95" s="176">
        <v>16.649999999999999</v>
      </c>
      <c r="E95" s="176">
        <f>'[11]Staff Disposal Calcs'!L76</f>
        <v>0</v>
      </c>
      <c r="F95" s="176">
        <f t="shared" si="14"/>
        <v>16.649999999999999</v>
      </c>
      <c r="G95" s="176">
        <f t="shared" si="15"/>
        <v>2.9363547319728314</v>
      </c>
      <c r="H95" s="176">
        <f t="shared" si="16"/>
        <v>19.59</v>
      </c>
      <c r="I95" s="176">
        <f t="shared" si="17"/>
        <v>1599.6982438593295</v>
      </c>
      <c r="J95" s="176">
        <f t="shared" si="23"/>
        <v>19.59</v>
      </c>
      <c r="K95" s="176">
        <f t="shared" si="24"/>
        <v>10672.446437065637</v>
      </c>
      <c r="L95" s="177">
        <v>3448.29</v>
      </c>
      <c r="M95" s="177">
        <v>5754.9499999999989</v>
      </c>
      <c r="N95" s="177">
        <f t="shared" si="18"/>
        <v>9203.239999999998</v>
      </c>
      <c r="O95" s="71"/>
      <c r="P95" s="177">
        <f t="shared" si="19"/>
        <v>41.420900900900904</v>
      </c>
      <c r="Q95" s="177">
        <f t="shared" si="20"/>
        <v>49.377520377520376</v>
      </c>
      <c r="R95" s="181">
        <f t="shared" si="22"/>
        <v>45.399210639210636</v>
      </c>
    </row>
    <row r="96" spans="1:19" s="68" customFormat="1" ht="12" customHeight="1">
      <c r="A96" s="161" t="s">
        <v>214</v>
      </c>
      <c r="B96" s="161" t="s">
        <v>94</v>
      </c>
      <c r="C96" s="179">
        <v>24.45</v>
      </c>
      <c r="D96" s="176">
        <v>24.45</v>
      </c>
      <c r="E96" s="176">
        <f>'[11]Staff Disposal Calcs'!L77</f>
        <v>0</v>
      </c>
      <c r="F96" s="176">
        <f t="shared" si="14"/>
        <v>24.45</v>
      </c>
      <c r="G96" s="176">
        <f t="shared" si="15"/>
        <v>4.3119443361402841</v>
      </c>
      <c r="H96" s="176">
        <f t="shared" si="16"/>
        <v>28.76</v>
      </c>
      <c r="I96" s="176">
        <f t="shared" si="17"/>
        <v>21.607338243922598</v>
      </c>
      <c r="J96" s="176">
        <f t="shared" si="23"/>
        <v>28.76</v>
      </c>
      <c r="K96" s="176">
        <f t="shared" si="24"/>
        <v>144.11759509202454</v>
      </c>
      <c r="L96" s="177">
        <v>51.05</v>
      </c>
      <c r="M96" s="177">
        <v>0</v>
      </c>
      <c r="N96" s="177">
        <f t="shared" si="18"/>
        <v>51.05</v>
      </c>
      <c r="O96" s="71"/>
      <c r="P96" s="177">
        <f t="shared" si="19"/>
        <v>0.41758691206543963</v>
      </c>
      <c r="Q96" s="177">
        <f t="shared" si="20"/>
        <v>0</v>
      </c>
      <c r="R96" s="181">
        <f t="shared" si="22"/>
        <v>0.41758691206543963</v>
      </c>
    </row>
    <row r="97" spans="1:18" s="68" customFormat="1" ht="12" customHeight="1">
      <c r="A97" s="161" t="s">
        <v>215</v>
      </c>
      <c r="B97" s="161" t="s">
        <v>95</v>
      </c>
      <c r="C97" s="179">
        <v>19.7</v>
      </c>
      <c r="D97" s="176">
        <v>19.7</v>
      </c>
      <c r="E97" s="176">
        <f>'[11]Staff Disposal Calcs'!L78</f>
        <v>0</v>
      </c>
      <c r="F97" s="176">
        <f t="shared" si="14"/>
        <v>19.7</v>
      </c>
      <c r="G97" s="176">
        <f t="shared" si="15"/>
        <v>3.4742455387306177</v>
      </c>
      <c r="H97" s="176">
        <f t="shared" si="16"/>
        <v>23.17</v>
      </c>
      <c r="I97" s="176">
        <f t="shared" si="17"/>
        <v>4622.9089127488369</v>
      </c>
      <c r="J97" s="176">
        <f t="shared" si="23"/>
        <v>23.17</v>
      </c>
      <c r="K97" s="176">
        <f t="shared" si="24"/>
        <v>30830.520846700514</v>
      </c>
      <c r="L97" s="177">
        <v>10860.369999999999</v>
      </c>
      <c r="M97" s="177">
        <v>15377.62</v>
      </c>
      <c r="N97" s="177">
        <f t="shared" si="18"/>
        <v>26237.989999999998</v>
      </c>
      <c r="O97" s="71"/>
      <c r="P97" s="177">
        <f t="shared" si="19"/>
        <v>110.25756345177665</v>
      </c>
      <c r="Q97" s="177">
        <f t="shared" si="20"/>
        <v>111.51283538796231</v>
      </c>
      <c r="R97" s="181">
        <f t="shared" si="22"/>
        <v>110.88519941986948</v>
      </c>
    </row>
    <row r="98" spans="1:18" s="68" customFormat="1" ht="12" customHeight="1">
      <c r="A98" s="161" t="s">
        <v>216</v>
      </c>
      <c r="B98" s="161" t="s">
        <v>96</v>
      </c>
      <c r="C98" s="179">
        <v>28.6</v>
      </c>
      <c r="D98" s="176">
        <v>28.6</v>
      </c>
      <c r="E98" s="176">
        <f>'[11]Staff Disposal Calcs'!L79</f>
        <v>0</v>
      </c>
      <c r="F98" s="176">
        <f t="shared" si="14"/>
        <v>28.6</v>
      </c>
      <c r="G98" s="176">
        <f t="shared" si="15"/>
        <v>5.0438285486139938</v>
      </c>
      <c r="H98" s="176">
        <f t="shared" si="16"/>
        <v>33.64</v>
      </c>
      <c r="I98" s="176">
        <f t="shared" si="17"/>
        <v>190.55090455267305</v>
      </c>
      <c r="J98" s="176">
        <f t="shared" si="23"/>
        <v>33.64</v>
      </c>
      <c r="K98" s="176">
        <f t="shared" si="24"/>
        <v>1270.8862657342661</v>
      </c>
      <c r="L98" s="177">
        <v>601.65000000000009</v>
      </c>
      <c r="M98" s="177">
        <v>418.25</v>
      </c>
      <c r="N98" s="177">
        <f t="shared" si="18"/>
        <v>1019.9000000000001</v>
      </c>
      <c r="O98" s="71"/>
      <c r="P98" s="177">
        <f t="shared" si="19"/>
        <v>4.2073426573426582</v>
      </c>
      <c r="Q98" s="177">
        <f t="shared" si="20"/>
        <v>2.0891608391608392</v>
      </c>
      <c r="R98" s="181">
        <f t="shared" si="22"/>
        <v>3.1482517482517487</v>
      </c>
    </row>
    <row r="99" spans="1:18" s="68" customFormat="1" ht="12" customHeight="1">
      <c r="A99" s="161" t="s">
        <v>217</v>
      </c>
      <c r="B99" s="161" t="s">
        <v>97</v>
      </c>
      <c r="C99" s="179">
        <v>31.25</v>
      </c>
      <c r="D99" s="176">
        <v>31.25</v>
      </c>
      <c r="E99" s="176">
        <f>'[11]Staff Disposal Calcs'!L80</f>
        <v>0</v>
      </c>
      <c r="F99" s="176">
        <f t="shared" si="14"/>
        <v>31.25</v>
      </c>
      <c r="G99" s="176">
        <f t="shared" si="15"/>
        <v>5.5111762987478077</v>
      </c>
      <c r="H99" s="176">
        <f t="shared" si="16"/>
        <v>36.76</v>
      </c>
      <c r="I99" s="176">
        <f t="shared" si="17"/>
        <v>158.25054900989355</v>
      </c>
      <c r="J99" s="176">
        <f t="shared" si="23"/>
        <v>36.76</v>
      </c>
      <c r="K99" s="176">
        <f t="shared" si="24"/>
        <v>1055.5442007771428</v>
      </c>
      <c r="L99" s="177">
        <v>390.63</v>
      </c>
      <c r="M99" s="177">
        <v>500</v>
      </c>
      <c r="N99" s="177">
        <f t="shared" si="18"/>
        <v>890.63</v>
      </c>
      <c r="O99" s="71"/>
      <c r="P99" s="177">
        <f t="shared" si="19"/>
        <v>2.500032</v>
      </c>
      <c r="Q99" s="177">
        <f t="shared" si="20"/>
        <v>2.2857142857142856</v>
      </c>
      <c r="R99" s="181">
        <f t="shared" si="22"/>
        <v>2.3928731428571428</v>
      </c>
    </row>
    <row r="100" spans="1:18" s="68" customFormat="1" ht="12" customHeight="1">
      <c r="A100" s="161" t="s">
        <v>218</v>
      </c>
      <c r="B100" s="161" t="s">
        <v>98</v>
      </c>
      <c r="C100" s="179">
        <v>12.7</v>
      </c>
      <c r="D100" s="176">
        <v>12.7</v>
      </c>
      <c r="E100" s="176">
        <f>'[11]Staff Disposal Calcs'!L81</f>
        <v>0</v>
      </c>
      <c r="F100" s="176">
        <f t="shared" si="14"/>
        <v>12.7</v>
      </c>
      <c r="G100" s="176">
        <f t="shared" si="15"/>
        <v>2.239742047811109</v>
      </c>
      <c r="H100" s="176">
        <f t="shared" si="16"/>
        <v>14.94</v>
      </c>
      <c r="I100" s="176">
        <f t="shared" si="17"/>
        <v>15.358231184990462</v>
      </c>
      <c r="J100" s="176">
        <f t="shared" si="23"/>
        <v>14.94</v>
      </c>
      <c r="K100" s="176">
        <f t="shared" si="24"/>
        <v>102.44571428571427</v>
      </c>
      <c r="L100" s="177">
        <v>63.499999999999993</v>
      </c>
      <c r="M100" s="177">
        <v>12.7</v>
      </c>
      <c r="N100" s="177">
        <f t="shared" si="18"/>
        <v>76.199999999999989</v>
      </c>
      <c r="O100" s="71"/>
      <c r="P100" s="177">
        <f t="shared" si="19"/>
        <v>1</v>
      </c>
      <c r="Q100" s="177">
        <f t="shared" si="20"/>
        <v>0.14285714285714285</v>
      </c>
      <c r="R100" s="181">
        <f t="shared" si="22"/>
        <v>0.5714285714285714</v>
      </c>
    </row>
    <row r="101" spans="1:18" s="68" customFormat="1" ht="12" customHeight="1">
      <c r="A101" s="161" t="s">
        <v>219</v>
      </c>
      <c r="B101" s="161" t="s">
        <v>99</v>
      </c>
      <c r="C101" s="179">
        <v>13.45</v>
      </c>
      <c r="D101" s="176">
        <v>13.45</v>
      </c>
      <c r="E101" s="176">
        <f>'[11]Staff Disposal Calcs'!L82</f>
        <v>0</v>
      </c>
      <c r="F101" s="176">
        <f t="shared" si="14"/>
        <v>13.45</v>
      </c>
      <c r="G101" s="176">
        <f t="shared" si="15"/>
        <v>2.372010278981056</v>
      </c>
      <c r="H101" s="176">
        <f t="shared" si="16"/>
        <v>15.82</v>
      </c>
      <c r="I101" s="176">
        <f t="shared" si="17"/>
        <v>43.102815355198615</v>
      </c>
      <c r="J101" s="176">
        <f t="shared" si="23"/>
        <v>15.82</v>
      </c>
      <c r="K101" s="176">
        <f t="shared" si="24"/>
        <v>287.47199999999998</v>
      </c>
      <c r="L101" s="177">
        <v>107.6</v>
      </c>
      <c r="M101" s="177">
        <v>134.5</v>
      </c>
      <c r="N101" s="177">
        <f t="shared" si="18"/>
        <v>242.1</v>
      </c>
      <c r="O101" s="71"/>
      <c r="P101" s="177">
        <f t="shared" si="19"/>
        <v>1.6</v>
      </c>
      <c r="Q101" s="177">
        <f t="shared" si="20"/>
        <v>1.4285714285714286</v>
      </c>
      <c r="R101" s="181">
        <f t="shared" si="22"/>
        <v>1.5142857142857142</v>
      </c>
    </row>
    <row r="102" spans="1:18" s="68" customFormat="1" ht="12" customHeight="1">
      <c r="A102" s="161" t="s">
        <v>220</v>
      </c>
      <c r="B102" s="161" t="s">
        <v>100</v>
      </c>
      <c r="C102" s="179">
        <v>14.25</v>
      </c>
      <c r="D102" s="176">
        <v>14.25</v>
      </c>
      <c r="E102" s="176">
        <f>'[11]Staff Disposal Calcs'!L83</f>
        <v>0</v>
      </c>
      <c r="F102" s="176">
        <f t="shared" si="14"/>
        <v>14.25</v>
      </c>
      <c r="G102" s="176">
        <f t="shared" si="15"/>
        <v>2.5130963922289999</v>
      </c>
      <c r="H102" s="176">
        <f t="shared" si="16"/>
        <v>16.760000000000002</v>
      </c>
      <c r="I102" s="176">
        <f t="shared" si="17"/>
        <v>108.97088284090475</v>
      </c>
      <c r="J102" s="176">
        <f t="shared" si="23"/>
        <v>16.760000000000002</v>
      </c>
      <c r="K102" s="176">
        <f t="shared" si="24"/>
        <v>726.7337624060151</v>
      </c>
      <c r="L102" s="177">
        <v>331.7</v>
      </c>
      <c r="M102" s="177">
        <v>256.5</v>
      </c>
      <c r="N102" s="177">
        <f t="shared" si="18"/>
        <v>588.20000000000005</v>
      </c>
      <c r="O102" s="71"/>
      <c r="P102" s="177">
        <f t="shared" si="19"/>
        <v>4.6554385964912282</v>
      </c>
      <c r="Q102" s="177">
        <f t="shared" si="20"/>
        <v>2.5714285714285716</v>
      </c>
      <c r="R102" s="181">
        <f t="shared" si="22"/>
        <v>3.6134335839598997</v>
      </c>
    </row>
    <row r="103" spans="1:18" s="68" customFormat="1" ht="12" customHeight="1">
      <c r="A103" s="161" t="s">
        <v>221</v>
      </c>
      <c r="B103" s="161" t="s">
        <v>101</v>
      </c>
      <c r="C103" s="179">
        <v>4</v>
      </c>
      <c r="D103" s="176">
        <v>4</v>
      </c>
      <c r="E103" s="176">
        <f>'[11]Staff Disposal Calcs'!L84</f>
        <v>0</v>
      </c>
      <c r="F103" s="176">
        <f t="shared" si="14"/>
        <v>4</v>
      </c>
      <c r="G103" s="176">
        <f t="shared" si="15"/>
        <v>0.70543056623971934</v>
      </c>
      <c r="H103" s="176">
        <f t="shared" si="16"/>
        <v>4.71</v>
      </c>
      <c r="I103" s="176">
        <f t="shared" si="17"/>
        <v>35.130442198738024</v>
      </c>
      <c r="J103" s="176">
        <f t="shared" si="23"/>
        <v>4.71</v>
      </c>
      <c r="K103" s="176">
        <f t="shared" si="24"/>
        <v>234.55800000000002</v>
      </c>
      <c r="L103" s="177">
        <v>86</v>
      </c>
      <c r="M103" s="177">
        <v>112</v>
      </c>
      <c r="N103" s="177">
        <f t="shared" si="18"/>
        <v>198</v>
      </c>
      <c r="O103" s="71"/>
      <c r="P103" s="177">
        <f t="shared" si="19"/>
        <v>4.3</v>
      </c>
      <c r="Q103" s="177">
        <f t="shared" si="20"/>
        <v>4</v>
      </c>
      <c r="R103" s="181">
        <f t="shared" si="22"/>
        <v>4.1500000000000004</v>
      </c>
    </row>
    <row r="104" spans="1:18" s="68" customFormat="1" ht="12" customHeight="1">
      <c r="A104" s="161" t="s">
        <v>222</v>
      </c>
      <c r="B104" s="161" t="s">
        <v>102</v>
      </c>
      <c r="C104" s="179">
        <v>8</v>
      </c>
      <c r="D104" s="176">
        <v>8</v>
      </c>
      <c r="E104" s="176">
        <f>'[11]Staff Disposal Calcs'!L85</f>
        <v>0</v>
      </c>
      <c r="F104" s="176">
        <f t="shared" si="14"/>
        <v>8</v>
      </c>
      <c r="G104" s="176">
        <f t="shared" si="15"/>
        <v>1.4108611324794387</v>
      </c>
      <c r="H104" s="176">
        <f t="shared" si="16"/>
        <v>9.41</v>
      </c>
      <c r="I104" s="176">
        <f t="shared" si="17"/>
        <v>31.321117141043544</v>
      </c>
      <c r="J104" s="176">
        <f t="shared" si="23"/>
        <v>9.41</v>
      </c>
      <c r="K104" s="176">
        <f t="shared" si="24"/>
        <v>208.90199999999999</v>
      </c>
      <c r="L104" s="177">
        <v>68</v>
      </c>
      <c r="M104" s="177">
        <v>112</v>
      </c>
      <c r="N104" s="177">
        <f t="shared" si="18"/>
        <v>180</v>
      </c>
      <c r="O104" s="71"/>
      <c r="P104" s="177">
        <f t="shared" si="19"/>
        <v>1.7</v>
      </c>
      <c r="Q104" s="177">
        <f t="shared" si="20"/>
        <v>2</v>
      </c>
      <c r="R104" s="181">
        <f t="shared" si="22"/>
        <v>1.85</v>
      </c>
    </row>
    <row r="105" spans="1:18" s="68" customFormat="1" ht="12" customHeight="1">
      <c r="A105" s="161" t="s">
        <v>223</v>
      </c>
      <c r="B105" s="161" t="s">
        <v>103</v>
      </c>
      <c r="C105" s="179">
        <v>12</v>
      </c>
      <c r="D105" s="176">
        <v>12</v>
      </c>
      <c r="E105" s="176">
        <f>'[11]Staff Disposal Calcs'!L86</f>
        <v>0</v>
      </c>
      <c r="F105" s="176">
        <f t="shared" si="14"/>
        <v>12</v>
      </c>
      <c r="G105" s="176">
        <f t="shared" si="15"/>
        <v>2.116291698719158</v>
      </c>
      <c r="H105" s="176">
        <f t="shared" si="16"/>
        <v>14.12</v>
      </c>
      <c r="I105" s="176">
        <f t="shared" si="17"/>
        <v>0</v>
      </c>
      <c r="J105" s="176">
        <f t="shared" si="23"/>
        <v>14.12</v>
      </c>
      <c r="K105" s="176">
        <f t="shared" si="24"/>
        <v>0</v>
      </c>
      <c r="L105" s="177"/>
      <c r="M105" s="177"/>
      <c r="N105" s="177"/>
      <c r="O105" s="71"/>
      <c r="P105" s="177">
        <f t="shared" si="19"/>
        <v>0</v>
      </c>
      <c r="Q105" s="177">
        <f t="shared" si="20"/>
        <v>0</v>
      </c>
      <c r="R105" s="181">
        <f t="shared" si="22"/>
        <v>0</v>
      </c>
    </row>
    <row r="106" spans="1:18" s="68" customFormat="1" ht="12" customHeight="1">
      <c r="A106" s="161" t="s">
        <v>224</v>
      </c>
      <c r="B106" s="161" t="s">
        <v>38</v>
      </c>
      <c r="C106" s="179">
        <v>2</v>
      </c>
      <c r="D106" s="176">
        <v>2</v>
      </c>
      <c r="E106" s="176">
        <f>'[11]Staff Disposal Calcs'!L87</f>
        <v>0</v>
      </c>
      <c r="F106" s="176">
        <f t="shared" si="14"/>
        <v>2</v>
      </c>
      <c r="G106" s="176">
        <f t="shared" si="15"/>
        <v>0.35271528311985967</v>
      </c>
      <c r="H106" s="176">
        <f t="shared" si="16"/>
        <v>2.35</v>
      </c>
      <c r="I106" s="176">
        <f t="shared" si="17"/>
        <v>4.232583397438316</v>
      </c>
      <c r="J106" s="176">
        <f t="shared" si="23"/>
        <v>2.35</v>
      </c>
      <c r="K106" s="176">
        <f t="shared" si="24"/>
        <v>28.200000000000003</v>
      </c>
      <c r="L106" s="177">
        <v>10</v>
      </c>
      <c r="M106" s="177">
        <v>14</v>
      </c>
      <c r="N106" s="177">
        <f t="shared" si="18"/>
        <v>24</v>
      </c>
      <c r="O106" s="71"/>
      <c r="P106" s="177">
        <f t="shared" si="19"/>
        <v>1</v>
      </c>
      <c r="Q106" s="177">
        <f t="shared" si="20"/>
        <v>1</v>
      </c>
      <c r="R106" s="181">
        <f t="shared" si="22"/>
        <v>1</v>
      </c>
    </row>
    <row r="107" spans="1:18" s="68" customFormat="1" ht="12" customHeight="1">
      <c r="A107" s="161" t="s">
        <v>225</v>
      </c>
      <c r="B107" s="161" t="s">
        <v>104</v>
      </c>
      <c r="C107" s="179">
        <v>2.5</v>
      </c>
      <c r="D107" s="176">
        <v>2.5</v>
      </c>
      <c r="E107" s="176">
        <f>'[11]Staff Disposal Calcs'!L88</f>
        <v>0</v>
      </c>
      <c r="F107" s="176">
        <f t="shared" si="14"/>
        <v>2.5</v>
      </c>
      <c r="G107" s="176">
        <f t="shared" si="15"/>
        <v>0.44089410389982459</v>
      </c>
      <c r="H107" s="176">
        <f t="shared" si="16"/>
        <v>2.94</v>
      </c>
      <c r="I107" s="176">
        <f t="shared" si="17"/>
        <v>14.851832814225521</v>
      </c>
      <c r="J107" s="176">
        <f t="shared" si="23"/>
        <v>2.94</v>
      </c>
      <c r="K107" s="176">
        <f t="shared" si="24"/>
        <v>99.036000000000001</v>
      </c>
      <c r="L107" s="177">
        <v>42.5</v>
      </c>
      <c r="M107" s="177">
        <v>38.75</v>
      </c>
      <c r="N107" s="177">
        <f t="shared" si="18"/>
        <v>81.25</v>
      </c>
      <c r="O107" s="71"/>
      <c r="P107" s="177">
        <f t="shared" si="19"/>
        <v>3.4</v>
      </c>
      <c r="Q107" s="177">
        <f t="shared" si="20"/>
        <v>2.2142857142857144</v>
      </c>
      <c r="R107" s="181">
        <f t="shared" si="22"/>
        <v>2.8071428571428569</v>
      </c>
    </row>
    <row r="108" spans="1:18" s="68" customFormat="1" ht="12" customHeight="1">
      <c r="A108" s="161" t="s">
        <v>226</v>
      </c>
      <c r="B108" s="161" t="s">
        <v>105</v>
      </c>
      <c r="C108" s="179">
        <v>5</v>
      </c>
      <c r="D108" s="176">
        <v>5</v>
      </c>
      <c r="E108" s="176">
        <f>'[11]Staff Disposal Calcs'!L89</f>
        <v>0</v>
      </c>
      <c r="F108" s="176">
        <f t="shared" si="14"/>
        <v>5</v>
      </c>
      <c r="G108" s="176">
        <f t="shared" si="15"/>
        <v>0.88178820779964917</v>
      </c>
      <c r="H108" s="176">
        <f t="shared" si="16"/>
        <v>5.88</v>
      </c>
      <c r="I108" s="176">
        <f t="shared" si="17"/>
        <v>10.58145849359579</v>
      </c>
      <c r="J108" s="176">
        <f t="shared" si="23"/>
        <v>5.88</v>
      </c>
      <c r="K108" s="176">
        <f t="shared" si="24"/>
        <v>70.56</v>
      </c>
      <c r="L108" s="177">
        <v>25</v>
      </c>
      <c r="M108" s="177">
        <v>35</v>
      </c>
      <c r="N108" s="177">
        <f t="shared" si="18"/>
        <v>60</v>
      </c>
      <c r="O108" s="71"/>
      <c r="P108" s="177">
        <f t="shared" si="19"/>
        <v>1</v>
      </c>
      <c r="Q108" s="177">
        <f t="shared" si="20"/>
        <v>1</v>
      </c>
      <c r="R108" s="181">
        <f t="shared" si="22"/>
        <v>1</v>
      </c>
    </row>
    <row r="109" spans="1:18" s="68" customFormat="1" ht="12" customHeight="1">
      <c r="A109" s="161" t="s">
        <v>227</v>
      </c>
      <c r="B109" s="161" t="s">
        <v>106</v>
      </c>
      <c r="C109" s="179">
        <v>1.5</v>
      </c>
      <c r="D109" s="176">
        <v>1.5</v>
      </c>
      <c r="E109" s="176">
        <f>'[11]Staff Disposal Calcs'!L90</f>
        <v>0</v>
      </c>
      <c r="F109" s="176">
        <f t="shared" si="14"/>
        <v>1.5</v>
      </c>
      <c r="G109" s="176">
        <f t="shared" si="15"/>
        <v>0.26453646233989475</v>
      </c>
      <c r="H109" s="176">
        <f t="shared" si="16"/>
        <v>1.76</v>
      </c>
      <c r="I109" s="176">
        <f t="shared" si="17"/>
        <v>1.9046625288472421</v>
      </c>
      <c r="J109" s="176">
        <f t="shared" si="23"/>
        <v>1.76</v>
      </c>
      <c r="K109" s="176">
        <f t="shared" si="24"/>
        <v>12.672000000000001</v>
      </c>
      <c r="L109" s="177">
        <v>4.5</v>
      </c>
      <c r="M109" s="177">
        <v>0</v>
      </c>
      <c r="N109" s="177">
        <f t="shared" si="18"/>
        <v>4.5</v>
      </c>
      <c r="O109" s="71"/>
      <c r="P109" s="177">
        <f t="shared" si="19"/>
        <v>0.6</v>
      </c>
      <c r="Q109" s="177">
        <f t="shared" si="20"/>
        <v>0</v>
      </c>
      <c r="R109" s="181">
        <f t="shared" si="22"/>
        <v>0.6</v>
      </c>
    </row>
    <row r="110" spans="1:18" s="68" customFormat="1" ht="12" customHeight="1">
      <c r="A110" s="161" t="s">
        <v>228</v>
      </c>
      <c r="B110" s="161" t="s">
        <v>107</v>
      </c>
      <c r="C110" s="179">
        <v>3.46</v>
      </c>
      <c r="D110" s="176">
        <v>3.46</v>
      </c>
      <c r="E110" s="176">
        <f>'[11]Staff Disposal Calcs'!L91</f>
        <v>0</v>
      </c>
      <c r="F110" s="176">
        <f t="shared" si="14"/>
        <v>3.46</v>
      </c>
      <c r="G110" s="176">
        <f t="shared" si="15"/>
        <v>0.61019743979735719</v>
      </c>
      <c r="H110" s="176">
        <f t="shared" si="16"/>
        <v>4.07</v>
      </c>
      <c r="I110" s="176">
        <f t="shared" si="17"/>
        <v>7.3223692775682867</v>
      </c>
      <c r="J110" s="176">
        <f t="shared" si="23"/>
        <v>4.07</v>
      </c>
      <c r="K110" s="176">
        <f t="shared" si="24"/>
        <v>48.84</v>
      </c>
      <c r="L110" s="177">
        <v>17.3</v>
      </c>
      <c r="M110" s="177">
        <v>24.220000000000002</v>
      </c>
      <c r="N110" s="177">
        <f t="shared" si="18"/>
        <v>41.52</v>
      </c>
      <c r="O110" s="71"/>
      <c r="P110" s="177">
        <f t="shared" si="19"/>
        <v>1</v>
      </c>
      <c r="Q110" s="177">
        <f t="shared" si="20"/>
        <v>1.0000000000000002</v>
      </c>
      <c r="R110" s="181">
        <f t="shared" si="22"/>
        <v>1</v>
      </c>
    </row>
    <row r="111" spans="1:18" s="68" customFormat="1" ht="12" customHeight="1">
      <c r="A111" s="161" t="s">
        <v>229</v>
      </c>
      <c r="B111" s="161" t="s">
        <v>108</v>
      </c>
      <c r="C111" s="179">
        <v>0.8</v>
      </c>
      <c r="D111" s="176">
        <v>0.8</v>
      </c>
      <c r="E111" s="176">
        <f>'[11]Staff Disposal Calcs'!L92</f>
        <v>0</v>
      </c>
      <c r="F111" s="176">
        <f t="shared" si="14"/>
        <v>0.8</v>
      </c>
      <c r="G111" s="176">
        <f t="shared" si="15"/>
        <v>0.14108611324794387</v>
      </c>
      <c r="H111" s="176">
        <f t="shared" si="16"/>
        <v>0.94</v>
      </c>
      <c r="I111" s="176">
        <f t="shared" si="17"/>
        <v>2.7814119468880358</v>
      </c>
      <c r="J111" s="176">
        <f t="shared" si="23"/>
        <v>0.94</v>
      </c>
      <c r="K111" s="176">
        <f t="shared" si="24"/>
        <v>18.53142857142857</v>
      </c>
      <c r="L111" s="177">
        <v>0</v>
      </c>
      <c r="M111" s="177">
        <v>9.1999999999999993</v>
      </c>
      <c r="N111" s="177">
        <f t="shared" si="18"/>
        <v>9.1999999999999993</v>
      </c>
      <c r="O111" s="71"/>
      <c r="P111" s="177">
        <f t="shared" si="19"/>
        <v>0</v>
      </c>
      <c r="Q111" s="177">
        <f t="shared" si="20"/>
        <v>1.6428571428571426</v>
      </c>
      <c r="R111" s="181">
        <f t="shared" si="22"/>
        <v>1.6428571428571426</v>
      </c>
    </row>
    <row r="112" spans="1:18" s="68" customFormat="1" ht="12" customHeight="1">
      <c r="A112" s="161" t="s">
        <v>230</v>
      </c>
      <c r="B112" s="161" t="s">
        <v>42</v>
      </c>
      <c r="C112" s="179">
        <v>7.36</v>
      </c>
      <c r="D112" s="176">
        <v>7.36</v>
      </c>
      <c r="E112" s="176">
        <f>'[11]Staff Disposal Calcs'!L93</f>
        <v>0</v>
      </c>
      <c r="F112" s="176">
        <f t="shared" si="14"/>
        <v>7.36</v>
      </c>
      <c r="G112" s="176">
        <f t="shared" si="15"/>
        <v>1.2979922418810836</v>
      </c>
      <c r="H112" s="176">
        <f t="shared" si="16"/>
        <v>8.66</v>
      </c>
      <c r="I112" s="176">
        <f t="shared" si="17"/>
        <v>15.575906902573003</v>
      </c>
      <c r="J112" s="176">
        <f t="shared" si="23"/>
        <v>8.66</v>
      </c>
      <c r="K112" s="176">
        <f t="shared" si="24"/>
        <v>103.92</v>
      </c>
      <c r="L112" s="177">
        <v>36.800000000000004</v>
      </c>
      <c r="M112" s="177">
        <v>51.52</v>
      </c>
      <c r="N112" s="177">
        <f t="shared" si="18"/>
        <v>88.320000000000007</v>
      </c>
      <c r="O112" s="71"/>
      <c r="P112" s="177">
        <f t="shared" si="19"/>
        <v>1</v>
      </c>
      <c r="Q112" s="177">
        <f t="shared" si="20"/>
        <v>1</v>
      </c>
      <c r="R112" s="181">
        <f t="shared" si="22"/>
        <v>1</v>
      </c>
    </row>
    <row r="113" spans="1:20" s="68" customFormat="1" ht="12" customHeight="1">
      <c r="A113" s="161" t="s">
        <v>231</v>
      </c>
      <c r="B113" s="161" t="s">
        <v>109</v>
      </c>
      <c r="C113" s="179">
        <v>13.86</v>
      </c>
      <c r="D113" s="176">
        <v>13.86</v>
      </c>
      <c r="E113" s="176">
        <f>'[11]Staff Disposal Calcs'!L94</f>
        <v>0</v>
      </c>
      <c r="F113" s="176">
        <f t="shared" si="14"/>
        <v>13.86</v>
      </c>
      <c r="G113" s="176">
        <f t="shared" si="15"/>
        <v>2.4443169120206276</v>
      </c>
      <c r="H113" s="176">
        <f t="shared" si="16"/>
        <v>16.3</v>
      </c>
      <c r="I113" s="176">
        <f t="shared" si="17"/>
        <v>566.83815004343296</v>
      </c>
      <c r="J113" s="176">
        <f t="shared" si="23"/>
        <v>16.3</v>
      </c>
      <c r="K113" s="176">
        <f t="shared" si="24"/>
        <v>3779.9770562770564</v>
      </c>
      <c r="L113" s="177">
        <v>1361.7499999999998</v>
      </c>
      <c r="M113" s="177">
        <v>1843.3799999999997</v>
      </c>
      <c r="N113" s="177">
        <f t="shared" si="18"/>
        <v>3205.1299999999992</v>
      </c>
      <c r="O113" s="71"/>
      <c r="P113" s="177">
        <f t="shared" si="19"/>
        <v>19.650072150072148</v>
      </c>
      <c r="Q113" s="177">
        <f t="shared" si="20"/>
        <v>18.999999999999996</v>
      </c>
      <c r="R113" s="181">
        <f t="shared" si="22"/>
        <v>19.325036075036074</v>
      </c>
    </row>
    <row r="114" spans="1:20" s="68" customFormat="1" ht="12" customHeight="1">
      <c r="A114" s="161" t="s">
        <v>232</v>
      </c>
      <c r="B114" s="161" t="s">
        <v>110</v>
      </c>
      <c r="C114" s="179">
        <v>41.58</v>
      </c>
      <c r="D114" s="176">
        <v>41.58</v>
      </c>
      <c r="E114" s="176">
        <f>'[11]Staff Disposal Calcs'!L95</f>
        <v>0</v>
      </c>
      <c r="F114" s="176">
        <f t="shared" si="14"/>
        <v>41.58</v>
      </c>
      <c r="G114" s="176">
        <f t="shared" si="15"/>
        <v>7.332950736061882</v>
      </c>
      <c r="H114" s="176">
        <f t="shared" si="16"/>
        <v>48.91</v>
      </c>
      <c r="I114" s="176">
        <f t="shared" si="17"/>
        <v>0</v>
      </c>
      <c r="J114" s="176">
        <f t="shared" si="23"/>
        <v>48.91</v>
      </c>
      <c r="K114" s="176">
        <f t="shared" si="24"/>
        <v>0</v>
      </c>
      <c r="L114" s="177"/>
      <c r="M114" s="177"/>
      <c r="N114" s="177"/>
      <c r="O114" s="71"/>
      <c r="P114" s="177">
        <f t="shared" si="19"/>
        <v>0</v>
      </c>
      <c r="Q114" s="177">
        <f t="shared" si="20"/>
        <v>0</v>
      </c>
      <c r="R114" s="181">
        <f t="shared" si="22"/>
        <v>0</v>
      </c>
    </row>
    <row r="115" spans="1:20" s="68" customFormat="1" ht="12" customHeight="1">
      <c r="A115" s="161" t="s">
        <v>233</v>
      </c>
      <c r="B115" s="161" t="s">
        <v>111</v>
      </c>
      <c r="C115" s="179">
        <v>3.2</v>
      </c>
      <c r="D115" s="176">
        <v>3.2</v>
      </c>
      <c r="E115" s="176">
        <f>'[11]Staff Disposal Calcs'!L96</f>
        <v>0</v>
      </c>
      <c r="F115" s="176">
        <f t="shared" ref="F115:F116" si="25">E115+D115</f>
        <v>3.2</v>
      </c>
      <c r="G115" s="176">
        <f t="shared" ref="G115:G116" si="26">F115*$G$7</f>
        <v>0.56434445299177549</v>
      </c>
      <c r="H115" s="176">
        <f t="shared" ref="H115:H116" si="27">ROUND(F115+G115,2)</f>
        <v>3.76</v>
      </c>
      <c r="I115" s="176">
        <f t="shared" ref="I115:I116" si="28">(G115+E115)*R115*12</f>
        <v>58.663605888495056</v>
      </c>
      <c r="J115" s="176">
        <f t="shared" si="23"/>
        <v>3.76</v>
      </c>
      <c r="K115" s="176">
        <f t="shared" si="24"/>
        <v>390.85199999999986</v>
      </c>
      <c r="L115" s="177">
        <v>138.6</v>
      </c>
      <c r="M115" s="177">
        <v>194.04</v>
      </c>
      <c r="N115" s="177">
        <f t="shared" si="18"/>
        <v>332.64</v>
      </c>
      <c r="O115" s="71"/>
      <c r="P115" s="177">
        <f t="shared" ref="P115:P116" si="29">IFERROR(L115/($C115),0)/5</f>
        <v>8.6624999999999979</v>
      </c>
      <c r="Q115" s="177">
        <f t="shared" ref="Q115:Q116" si="30">IFERROR(M115/($D115),0)/7</f>
        <v>8.6624999999999996</v>
      </c>
      <c r="R115" s="181">
        <f t="shared" si="22"/>
        <v>8.6624999999999979</v>
      </c>
    </row>
    <row r="116" spans="1:20" s="68" customFormat="1" ht="12" customHeight="1">
      <c r="A116" s="161" t="s">
        <v>234</v>
      </c>
      <c r="B116" s="161" t="s">
        <v>112</v>
      </c>
      <c r="C116" s="179">
        <v>6.94</v>
      </c>
      <c r="D116" s="176">
        <v>6.94</v>
      </c>
      <c r="E116" s="176">
        <f>'[11]Staff Disposal Calcs'!L97</f>
        <v>0</v>
      </c>
      <c r="F116" s="176">
        <f t="shared" si="25"/>
        <v>6.94</v>
      </c>
      <c r="G116" s="176">
        <f t="shared" si="26"/>
        <v>1.223922032425913</v>
      </c>
      <c r="H116" s="176">
        <f t="shared" si="27"/>
        <v>8.16</v>
      </c>
      <c r="I116" s="176">
        <f t="shared" si="28"/>
        <v>33.780248094955198</v>
      </c>
      <c r="J116" s="176">
        <f t="shared" si="23"/>
        <v>8.16</v>
      </c>
      <c r="K116" s="176">
        <f t="shared" si="24"/>
        <v>225.21599999999995</v>
      </c>
      <c r="L116" s="177">
        <v>90.22</v>
      </c>
      <c r="M116" s="177">
        <v>97.16</v>
      </c>
      <c r="N116" s="177">
        <f t="shared" ref="N116:N117" si="31">SUM(L116:M116)</f>
        <v>187.38</v>
      </c>
      <c r="O116" s="71"/>
      <c r="P116" s="177">
        <f t="shared" si="29"/>
        <v>2.5999999999999996</v>
      </c>
      <c r="Q116" s="177">
        <f t="shared" si="30"/>
        <v>1.9999999999999998</v>
      </c>
      <c r="R116" s="181">
        <f t="shared" si="22"/>
        <v>2.2999999999999998</v>
      </c>
    </row>
    <row r="117" spans="1:20" s="68" customFormat="1" ht="12" customHeight="1">
      <c r="A117" s="161" t="s">
        <v>235</v>
      </c>
      <c r="B117" s="161" t="s">
        <v>113</v>
      </c>
      <c r="C117" s="179"/>
      <c r="D117" s="176"/>
      <c r="E117" s="176"/>
      <c r="F117" s="176"/>
      <c r="G117" s="176"/>
      <c r="H117" s="176"/>
      <c r="I117" s="176"/>
      <c r="J117" s="176"/>
      <c r="K117" s="176"/>
      <c r="L117" s="177">
        <v>0</v>
      </c>
      <c r="M117" s="177">
        <v>2009.5299999999997</v>
      </c>
      <c r="N117" s="177">
        <f t="shared" si="31"/>
        <v>2009.5299999999997</v>
      </c>
      <c r="O117" s="71"/>
      <c r="P117" s="177"/>
      <c r="Q117" s="177"/>
      <c r="R117" s="161"/>
    </row>
    <row r="118" spans="1:20" s="68" customFormat="1" ht="12" customHeight="1">
      <c r="A118" s="183"/>
      <c r="B118" s="183"/>
      <c r="C118" s="183"/>
      <c r="D118" s="176"/>
      <c r="E118" s="176"/>
      <c r="F118" s="176"/>
      <c r="G118" s="176"/>
      <c r="H118" s="176"/>
      <c r="I118" s="176"/>
      <c r="J118" s="176"/>
      <c r="K118" s="176"/>
      <c r="L118" s="177"/>
      <c r="M118" s="177"/>
      <c r="N118" s="178"/>
      <c r="O118" s="71"/>
      <c r="P118" s="71"/>
      <c r="Q118" s="71"/>
      <c r="R118" s="161"/>
    </row>
    <row r="119" spans="1:20" s="92" customFormat="1" ht="12" customHeight="1" thickBot="1">
      <c r="A119" s="211"/>
      <c r="B119" s="184" t="s">
        <v>114</v>
      </c>
      <c r="C119" s="184"/>
      <c r="D119" s="192"/>
      <c r="E119" s="192"/>
      <c r="F119" s="192"/>
      <c r="G119" s="192"/>
      <c r="H119" s="192"/>
      <c r="I119" s="192">
        <f>SUM(I51:I116)</f>
        <v>69365.813417579571</v>
      </c>
      <c r="J119" s="192"/>
      <c r="K119" s="192">
        <f>SUM(K51:K116)</f>
        <v>448589.76864529506</v>
      </c>
      <c r="L119" s="186">
        <f>SUM(L51:L118)</f>
        <v>132366.71</v>
      </c>
      <c r="M119" s="186">
        <f>SUM(M51:M118)</f>
        <v>215784.47</v>
      </c>
      <c r="N119" s="186">
        <f>SUM(N51:N118)</f>
        <v>348151.18000000017</v>
      </c>
      <c r="O119" s="193"/>
      <c r="P119" s="194">
        <f>SUM(P51:P83)</f>
        <v>261.24320964362141</v>
      </c>
      <c r="Q119" s="194">
        <f t="shared" ref="Q119:R119" si="32">SUM(Q51:Q83)</f>
        <v>247.62442996068725</v>
      </c>
      <c r="R119" s="194">
        <f t="shared" si="32"/>
        <v>255.26239123072574</v>
      </c>
      <c r="T119" s="94"/>
    </row>
    <row r="120" spans="1:20" s="68" customFormat="1" ht="12" customHeight="1">
      <c r="A120" s="195"/>
      <c r="B120" s="195"/>
      <c r="C120" s="195"/>
      <c r="D120" s="176"/>
      <c r="E120" s="176"/>
      <c r="F120" s="176"/>
      <c r="G120" s="176"/>
      <c r="H120" s="176"/>
      <c r="I120" s="176">
        <f>I119/12</f>
        <v>5780.484451464964</v>
      </c>
      <c r="J120" s="176"/>
      <c r="K120" s="176"/>
      <c r="L120" s="196"/>
      <c r="M120" s="196"/>
      <c r="N120" s="178">
        <f>N119/12</f>
        <v>29012.598333333346</v>
      </c>
      <c r="O120" s="71"/>
      <c r="P120" s="71"/>
      <c r="Q120" s="71"/>
      <c r="R120" s="161"/>
    </row>
    <row r="121" spans="1:20" ht="12" customHeight="1">
      <c r="A121" s="174" t="s">
        <v>236</v>
      </c>
      <c r="B121" s="174" t="s">
        <v>236</v>
      </c>
      <c r="C121" s="174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</row>
    <row r="122" spans="1:20" ht="12" customHeight="1">
      <c r="A122" s="189"/>
      <c r="B122" s="189"/>
      <c r="C122" s="189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</row>
    <row r="123" spans="1:20" ht="12" customHeight="1">
      <c r="A123" s="164" t="s">
        <v>237</v>
      </c>
      <c r="B123" s="164" t="s">
        <v>237</v>
      </c>
      <c r="C123" s="179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</row>
    <row r="124" spans="1:20" ht="12" customHeight="1">
      <c r="A124" s="161" t="s">
        <v>238</v>
      </c>
      <c r="B124" s="161" t="s">
        <v>239</v>
      </c>
      <c r="C124" s="179">
        <v>95.4</v>
      </c>
      <c r="D124" s="176">
        <v>95.4</v>
      </c>
      <c r="E124" s="176"/>
      <c r="F124" s="176">
        <f t="shared" ref="F124:F135" si="33">E124+D124</f>
        <v>95.4</v>
      </c>
      <c r="G124" s="176">
        <f t="shared" ref="G124:G135" si="34">F124*$G$7</f>
        <v>16.824519004817308</v>
      </c>
      <c r="H124" s="176">
        <f t="shared" ref="H124:H135" si="35">ROUND(F124+G124,2)</f>
        <v>112.22</v>
      </c>
      <c r="I124" s="176">
        <f t="shared" ref="I124:I134" si="36">(G124+E124)*R124*12</f>
        <v>2796.2208492135169</v>
      </c>
      <c r="J124" s="176">
        <f>H124</f>
        <v>112.22</v>
      </c>
      <c r="K124" s="176">
        <f>J124*R124*12</f>
        <v>18650.8692230009</v>
      </c>
      <c r="L124" s="177">
        <v>9842.84</v>
      </c>
      <c r="M124" s="177">
        <v>4717.99</v>
      </c>
      <c r="N124" s="177">
        <f t="shared" ref="N124:N136" si="37">SUM(L124:M124)</f>
        <v>14560.83</v>
      </c>
      <c r="O124" s="161"/>
      <c r="P124" s="177">
        <f>IFERROR(L124/($C124),0)/5</f>
        <v>20.634884696016773</v>
      </c>
      <c r="Q124" s="177">
        <f t="shared" ref="Q124:Q136" si="38">IFERROR(M124/($D124),0)/7</f>
        <v>7.0649745432764295</v>
      </c>
      <c r="R124" s="181">
        <f t="shared" ref="R124:R136" si="39">IFERROR(AVERAGEIF(P124:Q124,"&lt;&gt;0"),0)</f>
        <v>13.849929619646602</v>
      </c>
      <c r="S124" s="68"/>
    </row>
    <row r="125" spans="1:20" ht="12" customHeight="1">
      <c r="A125" s="161" t="s">
        <v>240</v>
      </c>
      <c r="B125" s="161" t="s">
        <v>241</v>
      </c>
      <c r="C125" s="179">
        <v>95.4</v>
      </c>
      <c r="D125" s="176">
        <v>95.4</v>
      </c>
      <c r="E125" s="176"/>
      <c r="F125" s="176">
        <f t="shared" si="33"/>
        <v>95.4</v>
      </c>
      <c r="G125" s="176">
        <f t="shared" si="34"/>
        <v>16.824519004817308</v>
      </c>
      <c r="H125" s="176">
        <f t="shared" si="35"/>
        <v>112.22</v>
      </c>
      <c r="I125" s="176">
        <f t="shared" si="36"/>
        <v>498.96716362858194</v>
      </c>
      <c r="J125" s="176">
        <f t="shared" ref="J125:J135" si="40">H125</f>
        <v>112.22</v>
      </c>
      <c r="K125" s="176">
        <f t="shared" ref="K125:K135" si="41">J125*R125*12</f>
        <v>3328.1245714285715</v>
      </c>
      <c r="L125" s="177">
        <v>381.6</v>
      </c>
      <c r="M125" s="177">
        <v>2766.6000000000004</v>
      </c>
      <c r="N125" s="177">
        <f t="shared" si="37"/>
        <v>3148.2000000000003</v>
      </c>
      <c r="O125" s="161"/>
      <c r="P125" s="177">
        <f t="shared" ref="P125:P136" si="42">IFERROR(L125/($C125),0)/5</f>
        <v>0.8</v>
      </c>
      <c r="Q125" s="177">
        <f t="shared" si="38"/>
        <v>4.1428571428571432</v>
      </c>
      <c r="R125" s="181">
        <f t="shared" si="39"/>
        <v>2.4714285714285715</v>
      </c>
      <c r="S125" s="68"/>
    </row>
    <row r="126" spans="1:20" ht="12" customHeight="1">
      <c r="A126" s="161" t="s">
        <v>242</v>
      </c>
      <c r="B126" s="161" t="s">
        <v>243</v>
      </c>
      <c r="C126" s="179">
        <v>137.80000000000001</v>
      </c>
      <c r="D126" s="176">
        <v>137.80000000000001</v>
      </c>
      <c r="E126" s="176"/>
      <c r="F126" s="176">
        <f t="shared" si="33"/>
        <v>137.80000000000001</v>
      </c>
      <c r="G126" s="176">
        <f t="shared" si="34"/>
        <v>24.302083006958334</v>
      </c>
      <c r="H126" s="176">
        <f t="shared" si="35"/>
        <v>162.1</v>
      </c>
      <c r="I126" s="176">
        <f t="shared" si="36"/>
        <v>5893.5640069996134</v>
      </c>
      <c r="J126" s="176">
        <f t="shared" si="40"/>
        <v>162.1</v>
      </c>
      <c r="K126" s="176">
        <f t="shared" si="41"/>
        <v>39311.310279908765</v>
      </c>
      <c r="L126" s="177">
        <v>14954.400000000001</v>
      </c>
      <c r="M126" s="177">
        <v>18051.8</v>
      </c>
      <c r="N126" s="177">
        <f t="shared" si="37"/>
        <v>33006.199999999997</v>
      </c>
      <c r="O126" s="161"/>
      <c r="P126" s="177">
        <f t="shared" si="42"/>
        <v>21.704499274310596</v>
      </c>
      <c r="Q126" s="177">
        <f t="shared" si="38"/>
        <v>18.714285714285712</v>
      </c>
      <c r="R126" s="181">
        <f t="shared" si="39"/>
        <v>20.209392494298154</v>
      </c>
      <c r="S126" s="68"/>
    </row>
    <row r="127" spans="1:20" ht="12" customHeight="1">
      <c r="A127" s="161" t="s">
        <v>244</v>
      </c>
      <c r="B127" s="161" t="s">
        <v>245</v>
      </c>
      <c r="C127" s="179">
        <v>250</v>
      </c>
      <c r="D127" s="176">
        <v>250</v>
      </c>
      <c r="E127" s="176"/>
      <c r="F127" s="176">
        <f t="shared" si="33"/>
        <v>250</v>
      </c>
      <c r="G127" s="176">
        <f t="shared" si="34"/>
        <v>44.089410389982461</v>
      </c>
      <c r="H127" s="176">
        <f t="shared" si="35"/>
        <v>294.08999999999997</v>
      </c>
      <c r="I127" s="176">
        <f t="shared" si="36"/>
        <v>1343.1474570808591</v>
      </c>
      <c r="J127" s="176">
        <f t="shared" si="40"/>
        <v>294.08999999999997</v>
      </c>
      <c r="K127" s="176">
        <f t="shared" si="41"/>
        <v>8959.2088476342833</v>
      </c>
      <c r="L127" s="177">
        <v>2239.56</v>
      </c>
      <c r="M127" s="177">
        <v>5750</v>
      </c>
      <c r="N127" s="177">
        <f t="shared" si="37"/>
        <v>7989.5599999999995</v>
      </c>
      <c r="O127" s="161"/>
      <c r="P127" s="177">
        <f t="shared" si="42"/>
        <v>1.7916479999999999</v>
      </c>
      <c r="Q127" s="177">
        <f t="shared" si="38"/>
        <v>3.2857142857142856</v>
      </c>
      <c r="R127" s="181">
        <f t="shared" si="39"/>
        <v>2.5386811428571425</v>
      </c>
      <c r="S127" s="68"/>
    </row>
    <row r="128" spans="1:20" ht="12" customHeight="1">
      <c r="A128" s="161" t="s">
        <v>246</v>
      </c>
      <c r="B128" s="161" t="s">
        <v>247</v>
      </c>
      <c r="C128" s="179">
        <v>495</v>
      </c>
      <c r="D128" s="176">
        <v>495</v>
      </c>
      <c r="E128" s="176"/>
      <c r="F128" s="176">
        <f t="shared" si="33"/>
        <v>495</v>
      </c>
      <c r="G128" s="176">
        <f t="shared" si="34"/>
        <v>87.297032572165264</v>
      </c>
      <c r="H128" s="176">
        <f t="shared" si="35"/>
        <v>582.29999999999995</v>
      </c>
      <c r="I128" s="176">
        <f t="shared" si="36"/>
        <v>329.23452284359473</v>
      </c>
      <c r="J128" s="176">
        <f t="shared" si="40"/>
        <v>582.29999999999995</v>
      </c>
      <c r="K128" s="176">
        <f t="shared" si="41"/>
        <v>2196.1028571428569</v>
      </c>
      <c r="L128" s="177">
        <v>495</v>
      </c>
      <c r="M128" s="177">
        <v>1485</v>
      </c>
      <c r="N128" s="177">
        <f t="shared" si="37"/>
        <v>1980</v>
      </c>
      <c r="O128" s="161"/>
      <c r="P128" s="177">
        <f t="shared" si="42"/>
        <v>0.2</v>
      </c>
      <c r="Q128" s="177">
        <f t="shared" si="38"/>
        <v>0.42857142857142855</v>
      </c>
      <c r="R128" s="181">
        <f t="shared" si="39"/>
        <v>0.31428571428571428</v>
      </c>
      <c r="S128" s="68"/>
    </row>
    <row r="129" spans="1:19" ht="12" customHeight="1">
      <c r="A129" s="161" t="s">
        <v>248</v>
      </c>
      <c r="B129" s="161" t="s">
        <v>249</v>
      </c>
      <c r="C129" s="179">
        <v>42.6</v>
      </c>
      <c r="D129" s="176">
        <v>42.6</v>
      </c>
      <c r="E129" s="176"/>
      <c r="F129" s="176">
        <f t="shared" si="33"/>
        <v>42.6</v>
      </c>
      <c r="G129" s="176">
        <f t="shared" si="34"/>
        <v>7.5128355304530112</v>
      </c>
      <c r="H129" s="176">
        <f t="shared" si="35"/>
        <v>50.11</v>
      </c>
      <c r="I129" s="176">
        <f t="shared" si="36"/>
        <v>85.002367715982672</v>
      </c>
      <c r="J129" s="176">
        <f t="shared" si="40"/>
        <v>50.11</v>
      </c>
      <c r="K129" s="176">
        <f t="shared" si="41"/>
        <v>566.95885714285725</v>
      </c>
      <c r="L129" s="177">
        <v>340.80000000000007</v>
      </c>
      <c r="M129" s="177">
        <v>85.2</v>
      </c>
      <c r="N129" s="177">
        <f t="shared" si="37"/>
        <v>426.00000000000006</v>
      </c>
      <c r="O129" s="161"/>
      <c r="P129" s="177">
        <f t="shared" si="42"/>
        <v>1.6000000000000003</v>
      </c>
      <c r="Q129" s="177">
        <f t="shared" si="38"/>
        <v>0.2857142857142857</v>
      </c>
      <c r="R129" s="181">
        <f t="shared" si="39"/>
        <v>0.94285714285714306</v>
      </c>
      <c r="S129" s="68"/>
    </row>
    <row r="130" spans="1:19" ht="12" customHeight="1">
      <c r="A130" s="161" t="s">
        <v>250</v>
      </c>
      <c r="B130" s="161" t="s">
        <v>251</v>
      </c>
      <c r="C130" s="179">
        <v>42.6</v>
      </c>
      <c r="D130" s="176">
        <v>42.6</v>
      </c>
      <c r="E130" s="176"/>
      <c r="F130" s="176">
        <f t="shared" si="33"/>
        <v>42.6</v>
      </c>
      <c r="G130" s="176">
        <f t="shared" si="34"/>
        <v>7.5128355304530112</v>
      </c>
      <c r="H130" s="176">
        <f t="shared" si="35"/>
        <v>50.11</v>
      </c>
      <c r="I130" s="176">
        <f t="shared" si="36"/>
        <v>567.97036610224768</v>
      </c>
      <c r="J130" s="176">
        <f t="shared" si="40"/>
        <v>50.11</v>
      </c>
      <c r="K130" s="176">
        <f t="shared" si="41"/>
        <v>3788.3159999999998</v>
      </c>
      <c r="L130" s="177">
        <v>1618.8</v>
      </c>
      <c r="M130" s="177">
        <v>1491</v>
      </c>
      <c r="N130" s="177">
        <f t="shared" si="37"/>
        <v>3109.8</v>
      </c>
      <c r="O130" s="161"/>
      <c r="P130" s="177">
        <f t="shared" si="42"/>
        <v>7.6</v>
      </c>
      <c r="Q130" s="177">
        <f t="shared" si="38"/>
        <v>5</v>
      </c>
      <c r="R130" s="181">
        <f t="shared" si="39"/>
        <v>6.3</v>
      </c>
      <c r="S130" s="68"/>
    </row>
    <row r="131" spans="1:19" ht="12" customHeight="1">
      <c r="A131" s="161" t="s">
        <v>252</v>
      </c>
      <c r="B131" s="161" t="s">
        <v>253</v>
      </c>
      <c r="C131" s="179">
        <v>3.7</v>
      </c>
      <c r="D131" s="176">
        <v>3.7</v>
      </c>
      <c r="E131" s="176"/>
      <c r="F131" s="176">
        <f t="shared" si="33"/>
        <v>3.7</v>
      </c>
      <c r="G131" s="176">
        <f t="shared" si="34"/>
        <v>0.65252327377174046</v>
      </c>
      <c r="H131" s="176">
        <f t="shared" si="35"/>
        <v>4.3499999999999996</v>
      </c>
      <c r="I131" s="176">
        <f t="shared" si="36"/>
        <v>2545.7356567709603</v>
      </c>
      <c r="J131" s="176">
        <f t="shared" si="40"/>
        <v>4.3499999999999996</v>
      </c>
      <c r="K131" s="176">
        <f t="shared" si="41"/>
        <v>16970.965714285714</v>
      </c>
      <c r="L131" s="177">
        <v>10411.799999999999</v>
      </c>
      <c r="M131" s="177">
        <v>2264.4</v>
      </c>
      <c r="N131" s="177">
        <f t="shared" si="37"/>
        <v>12676.199999999999</v>
      </c>
      <c r="O131" s="161"/>
      <c r="P131" s="177">
        <f t="shared" si="42"/>
        <v>562.79999999999995</v>
      </c>
      <c r="Q131" s="177">
        <f t="shared" si="38"/>
        <v>87.428571428571431</v>
      </c>
      <c r="R131" s="181">
        <f t="shared" si="39"/>
        <v>325.1142857142857</v>
      </c>
      <c r="S131" s="68"/>
    </row>
    <row r="132" spans="1:19" ht="12" customHeight="1">
      <c r="A132" s="161" t="s">
        <v>254</v>
      </c>
      <c r="B132" s="161" t="s">
        <v>255</v>
      </c>
      <c r="C132" s="179">
        <v>106</v>
      </c>
      <c r="D132" s="176">
        <v>106</v>
      </c>
      <c r="E132" s="176"/>
      <c r="F132" s="176">
        <f t="shared" si="33"/>
        <v>106</v>
      </c>
      <c r="G132" s="176">
        <f t="shared" si="34"/>
        <v>18.693910005352564</v>
      </c>
      <c r="H132" s="176">
        <f t="shared" si="35"/>
        <v>124.69</v>
      </c>
      <c r="I132" s="176">
        <f t="shared" si="36"/>
        <v>2145.4058259458234</v>
      </c>
      <c r="J132" s="176">
        <f t="shared" si="40"/>
        <v>124.69</v>
      </c>
      <c r="K132" s="176">
        <f t="shared" si="41"/>
        <v>14310.042808625338</v>
      </c>
      <c r="L132" s="177">
        <v>4739</v>
      </c>
      <c r="M132" s="177">
        <v>7558</v>
      </c>
      <c r="N132" s="177">
        <f t="shared" si="37"/>
        <v>12297</v>
      </c>
      <c r="O132" s="161"/>
      <c r="P132" s="177">
        <f t="shared" si="42"/>
        <v>8.9415094339622634</v>
      </c>
      <c r="Q132" s="177">
        <f t="shared" si="38"/>
        <v>10.185983827493262</v>
      </c>
      <c r="R132" s="181">
        <f t="shared" si="39"/>
        <v>9.5637466307277634</v>
      </c>
      <c r="S132" s="68"/>
    </row>
    <row r="133" spans="1:19" ht="12" customHeight="1">
      <c r="A133" s="161" t="s">
        <v>256</v>
      </c>
      <c r="B133" s="161" t="s">
        <v>257</v>
      </c>
      <c r="C133" s="179">
        <v>6.9</v>
      </c>
      <c r="D133" s="176">
        <v>6.9</v>
      </c>
      <c r="E133" s="176"/>
      <c r="F133" s="176">
        <f t="shared" si="33"/>
        <v>6.9</v>
      </c>
      <c r="G133" s="176">
        <f t="shared" si="34"/>
        <v>1.216867726763516</v>
      </c>
      <c r="H133" s="176">
        <f t="shared" si="35"/>
        <v>8.1199999999999992</v>
      </c>
      <c r="I133" s="176">
        <f t="shared" si="36"/>
        <v>1770.043702254789</v>
      </c>
      <c r="J133" s="176">
        <f t="shared" si="40"/>
        <v>8.1199999999999992</v>
      </c>
      <c r="K133" s="176">
        <f t="shared" si="41"/>
        <v>11811.271304347825</v>
      </c>
      <c r="L133" s="177">
        <v>2508.75</v>
      </c>
      <c r="M133" s="177">
        <v>8197.1999999999989</v>
      </c>
      <c r="N133" s="177">
        <f t="shared" si="37"/>
        <v>10705.949999999999</v>
      </c>
      <c r="O133" s="161"/>
      <c r="P133" s="177">
        <f t="shared" si="42"/>
        <v>72.717391304347828</v>
      </c>
      <c r="Q133" s="177">
        <f t="shared" si="38"/>
        <v>169.71428571428569</v>
      </c>
      <c r="R133" s="181">
        <f t="shared" si="39"/>
        <v>121.21583850931677</v>
      </c>
      <c r="S133" s="68"/>
    </row>
    <row r="134" spans="1:19" ht="12" customHeight="1">
      <c r="A134" s="161" t="s">
        <v>258</v>
      </c>
      <c r="B134" s="161" t="s">
        <v>257</v>
      </c>
      <c r="C134" s="179">
        <v>106</v>
      </c>
      <c r="D134" s="176">
        <v>106</v>
      </c>
      <c r="E134" s="176"/>
      <c r="F134" s="176">
        <f t="shared" si="33"/>
        <v>106</v>
      </c>
      <c r="G134" s="176">
        <f t="shared" si="34"/>
        <v>18.693910005352564</v>
      </c>
      <c r="H134" s="176">
        <f t="shared" si="35"/>
        <v>124.69</v>
      </c>
      <c r="I134" s="176">
        <f t="shared" si="36"/>
        <v>187.65460819928308</v>
      </c>
      <c r="J134" s="176">
        <f t="shared" si="40"/>
        <v>124.69</v>
      </c>
      <c r="K134" s="176">
        <f t="shared" si="41"/>
        <v>1251.6725013477089</v>
      </c>
      <c r="L134" s="177">
        <v>811</v>
      </c>
      <c r="M134" s="177">
        <v>106</v>
      </c>
      <c r="N134" s="177">
        <f t="shared" si="37"/>
        <v>917</v>
      </c>
      <c r="O134" s="161"/>
      <c r="P134" s="177">
        <f t="shared" si="42"/>
        <v>1.530188679245283</v>
      </c>
      <c r="Q134" s="177">
        <f t="shared" si="38"/>
        <v>0.14285714285714285</v>
      </c>
      <c r="R134" s="181">
        <f t="shared" si="39"/>
        <v>0.8365229110512129</v>
      </c>
      <c r="S134" s="68"/>
    </row>
    <row r="135" spans="1:19" ht="12" customHeight="1">
      <c r="A135" s="161" t="s">
        <v>259</v>
      </c>
      <c r="B135" s="161" t="s">
        <v>260</v>
      </c>
      <c r="C135" s="179">
        <v>6.9</v>
      </c>
      <c r="D135" s="176">
        <v>6.9</v>
      </c>
      <c r="E135" s="176"/>
      <c r="F135" s="176">
        <f t="shared" si="33"/>
        <v>6.9</v>
      </c>
      <c r="G135" s="176">
        <f t="shared" si="34"/>
        <v>1.216867726763516</v>
      </c>
      <c r="H135" s="176">
        <f t="shared" si="35"/>
        <v>8.1199999999999992</v>
      </c>
      <c r="I135" s="176">
        <f>(G135+E135)*R135*12</f>
        <v>64.667827765146853</v>
      </c>
      <c r="J135" s="176">
        <f t="shared" si="40"/>
        <v>8.1199999999999992</v>
      </c>
      <c r="K135" s="176">
        <f t="shared" si="41"/>
        <v>431.52</v>
      </c>
      <c r="L135" s="177">
        <v>0</v>
      </c>
      <c r="M135" s="177">
        <v>213.9</v>
      </c>
      <c r="N135" s="177">
        <f t="shared" si="37"/>
        <v>213.9</v>
      </c>
      <c r="O135" s="161"/>
      <c r="P135" s="177">
        <f t="shared" si="42"/>
        <v>0</v>
      </c>
      <c r="Q135" s="177">
        <f t="shared" si="38"/>
        <v>4.4285714285714288</v>
      </c>
      <c r="R135" s="181">
        <f t="shared" si="39"/>
        <v>4.4285714285714288</v>
      </c>
      <c r="S135" s="68"/>
    </row>
    <row r="136" spans="1:19" ht="12" customHeight="1">
      <c r="A136" s="161" t="s">
        <v>261</v>
      </c>
      <c r="B136" s="161" t="s">
        <v>262</v>
      </c>
      <c r="C136" s="179"/>
      <c r="D136" s="161"/>
      <c r="E136" s="161"/>
      <c r="F136" s="161"/>
      <c r="G136" s="161"/>
      <c r="H136" s="161"/>
      <c r="I136" s="161"/>
      <c r="J136" s="161"/>
      <c r="K136" s="161"/>
      <c r="L136" s="177">
        <v>-85.2</v>
      </c>
      <c r="M136" s="177">
        <v>0</v>
      </c>
      <c r="N136" s="177">
        <f t="shared" si="37"/>
        <v>-85.2</v>
      </c>
      <c r="O136" s="161"/>
      <c r="P136" s="177">
        <f t="shared" si="42"/>
        <v>0</v>
      </c>
      <c r="Q136" s="177">
        <f t="shared" si="38"/>
        <v>0</v>
      </c>
      <c r="R136" s="181">
        <f t="shared" si="39"/>
        <v>0</v>
      </c>
      <c r="S136" s="68"/>
    </row>
    <row r="137" spans="1:19" ht="12" customHeight="1">
      <c r="A137" s="212"/>
      <c r="B137" s="212"/>
      <c r="C137" s="197"/>
      <c r="D137" s="161"/>
      <c r="E137" s="161"/>
      <c r="F137" s="161"/>
      <c r="G137" s="161"/>
      <c r="H137" s="161"/>
      <c r="I137" s="161"/>
      <c r="J137" s="161"/>
      <c r="K137" s="161"/>
      <c r="L137" s="177"/>
      <c r="M137" s="177"/>
      <c r="N137" s="198"/>
      <c r="O137" s="161"/>
      <c r="P137" s="177"/>
      <c r="Q137" s="177"/>
      <c r="R137" s="199"/>
    </row>
    <row r="138" spans="1:19" s="96" customFormat="1" ht="12" customHeight="1" thickBot="1">
      <c r="A138" s="200"/>
      <c r="B138" s="200"/>
      <c r="C138" s="200"/>
      <c r="D138" s="200"/>
      <c r="E138" s="200"/>
      <c r="F138" s="200"/>
      <c r="G138" s="200"/>
      <c r="H138" s="200"/>
      <c r="I138" s="201">
        <f>SUM(I124:I135)</f>
        <v>18227.6143545204</v>
      </c>
      <c r="J138" s="200"/>
      <c r="K138" s="201">
        <f>SUM(K124:K135)</f>
        <v>121576.36296486485</v>
      </c>
      <c r="L138" s="186">
        <f>SUM(L124:L137)</f>
        <v>48258.350000000006</v>
      </c>
      <c r="M138" s="186">
        <f>SUM(M124:M137)</f>
        <v>52687.09</v>
      </c>
      <c r="N138" s="186">
        <f>SUM(N124:N137)</f>
        <v>100945.43999999999</v>
      </c>
      <c r="O138" s="200"/>
      <c r="P138" s="202"/>
      <c r="Q138" s="202"/>
      <c r="R138" s="200"/>
    </row>
    <row r="139" spans="1:19" ht="12" customHeight="1">
      <c r="A139" s="203"/>
      <c r="B139" s="203"/>
      <c r="C139" s="203"/>
      <c r="D139" s="161"/>
      <c r="E139" s="161"/>
      <c r="F139" s="161"/>
      <c r="G139" s="161"/>
      <c r="H139" s="161"/>
      <c r="I139" s="161"/>
      <c r="J139" s="161"/>
      <c r="K139" s="161"/>
      <c r="L139" s="204"/>
      <c r="M139" s="161"/>
      <c r="N139" s="161"/>
      <c r="O139" s="161"/>
      <c r="P139" s="161"/>
      <c r="Q139" s="161"/>
      <c r="R139" s="161"/>
    </row>
    <row r="140" spans="1:19" ht="12" customHeight="1">
      <c r="A140" s="164" t="s">
        <v>263</v>
      </c>
      <c r="B140" s="164" t="s">
        <v>263</v>
      </c>
      <c r="C140" s="164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</row>
    <row r="141" spans="1:19" ht="12" customHeight="1">
      <c r="A141" s="161" t="s">
        <v>264</v>
      </c>
      <c r="B141" s="161" t="s">
        <v>265</v>
      </c>
      <c r="C141" s="179"/>
      <c r="D141" s="161"/>
      <c r="E141" s="161"/>
      <c r="F141" s="161"/>
      <c r="G141" s="161"/>
      <c r="H141" s="161"/>
      <c r="I141" s="161"/>
      <c r="J141" s="161"/>
      <c r="K141" s="181">
        <f>N141+'[11]Consolidated IS'!G11</f>
        <v>89925.7221021898</v>
      </c>
      <c r="L141" s="177">
        <v>37020.94</v>
      </c>
      <c r="M141" s="177">
        <v>51014.420000000006</v>
      </c>
      <c r="N141" s="177">
        <f t="shared" ref="N141" si="43">SUM(L141:M141)</f>
        <v>88035.360000000015</v>
      </c>
      <c r="O141" s="161"/>
      <c r="P141" s="161"/>
      <c r="Q141" s="161"/>
      <c r="R141" s="161"/>
    </row>
    <row r="142" spans="1:19" ht="12" customHeight="1">
      <c r="A142" s="197"/>
      <c r="B142" s="197"/>
      <c r="C142" s="161"/>
      <c r="D142" s="161"/>
      <c r="E142" s="161"/>
      <c r="F142" s="161"/>
      <c r="G142" s="161"/>
      <c r="H142" s="161"/>
      <c r="I142" s="161"/>
      <c r="J142" s="161"/>
      <c r="K142" s="161"/>
      <c r="L142" s="205"/>
      <c r="M142" s="205"/>
      <c r="N142" s="206"/>
      <c r="O142" s="161"/>
      <c r="P142" s="205"/>
      <c r="Q142" s="205"/>
      <c r="R142" s="161"/>
    </row>
    <row r="143" spans="1:19" s="96" customFormat="1" ht="12" customHeight="1" thickBot="1">
      <c r="A143" s="193"/>
      <c r="B143" s="184" t="s">
        <v>266</v>
      </c>
      <c r="C143" s="184"/>
      <c r="D143" s="200"/>
      <c r="E143" s="200"/>
      <c r="F143" s="200"/>
      <c r="G143" s="200"/>
      <c r="H143" s="200"/>
      <c r="I143" s="200"/>
      <c r="J143" s="200"/>
      <c r="K143" s="186">
        <f t="shared" ref="K143:N143" si="44">SUM(K141:K141)</f>
        <v>89925.7221021898</v>
      </c>
      <c r="L143" s="186">
        <f>SUM(L141:L141)</f>
        <v>37020.94</v>
      </c>
      <c r="M143" s="186">
        <f t="shared" si="44"/>
        <v>51014.420000000006</v>
      </c>
      <c r="N143" s="186">
        <f t="shared" si="44"/>
        <v>88035.360000000015</v>
      </c>
      <c r="O143" s="200"/>
      <c r="P143" s="200"/>
      <c r="Q143" s="200"/>
      <c r="R143" s="200"/>
    </row>
    <row r="144" spans="1:19" ht="12" customHeight="1">
      <c r="A144" s="203"/>
      <c r="B144" s="191"/>
      <c r="C144" s="191"/>
      <c r="D144" s="161"/>
      <c r="E144" s="161"/>
      <c r="F144" s="161"/>
      <c r="G144" s="161"/>
      <c r="H144" s="161"/>
      <c r="I144" s="161"/>
      <c r="J144" s="161"/>
      <c r="K144" s="161"/>
      <c r="L144" s="207"/>
      <c r="M144" s="207"/>
      <c r="N144" s="207"/>
      <c r="O144" s="161"/>
      <c r="P144" s="161"/>
      <c r="Q144" s="161"/>
      <c r="R144" s="161"/>
    </row>
    <row r="145" spans="1:18" s="68" customFormat="1" ht="12" customHeight="1">
      <c r="A145" s="213" t="s">
        <v>267</v>
      </c>
      <c r="B145" s="213" t="s">
        <v>267</v>
      </c>
      <c r="C145" s="189"/>
      <c r="D145" s="176"/>
      <c r="E145" s="176"/>
      <c r="F145" s="176"/>
      <c r="G145" s="176"/>
      <c r="H145" s="176"/>
      <c r="I145" s="176"/>
      <c r="J145" s="176"/>
      <c r="K145" s="176"/>
      <c r="L145" s="190"/>
      <c r="M145" s="177" t="str">
        <f>IF(D145="","",(#REF!/D145)+(#REF!/#REF!))</f>
        <v/>
      </c>
      <c r="N145" s="178"/>
      <c r="O145" s="71"/>
      <c r="P145" s="177"/>
      <c r="Q145" s="177"/>
      <c r="R145" s="161"/>
    </row>
    <row r="146" spans="1:18" s="68" customFormat="1" ht="12" customHeight="1">
      <c r="A146" s="197" t="s">
        <v>268</v>
      </c>
      <c r="B146" s="197" t="s">
        <v>269</v>
      </c>
      <c r="C146" s="179">
        <v>1</v>
      </c>
      <c r="D146" s="176"/>
      <c r="E146" s="176"/>
      <c r="F146" s="176"/>
      <c r="G146" s="176"/>
      <c r="H146" s="176"/>
      <c r="I146" s="176"/>
      <c r="J146" s="176"/>
      <c r="K146" s="176">
        <f>N146</f>
        <v>4805.2800000000007</v>
      </c>
      <c r="L146" s="177">
        <v>2128</v>
      </c>
      <c r="M146" s="177">
        <v>2677.28</v>
      </c>
      <c r="N146" s="177">
        <f t="shared" ref="N146" si="45">SUM(L146:M146)</f>
        <v>4805.2800000000007</v>
      </c>
      <c r="O146" s="71"/>
      <c r="P146" s="177"/>
      <c r="Q146" s="177"/>
      <c r="R146" s="161"/>
    </row>
    <row r="147" spans="1:18" s="68" customFormat="1" ht="12" customHeight="1">
      <c r="A147" s="197" t="s">
        <v>270</v>
      </c>
      <c r="B147" s="197" t="s">
        <v>271</v>
      </c>
      <c r="C147" s="179">
        <v>25</v>
      </c>
      <c r="D147" s="176"/>
      <c r="E147" s="176"/>
      <c r="F147" s="176"/>
      <c r="G147" s="176"/>
      <c r="H147" s="176"/>
      <c r="I147" s="176"/>
      <c r="J147" s="176"/>
      <c r="K147" s="176"/>
      <c r="L147" s="177"/>
      <c r="M147" s="177"/>
      <c r="N147" s="177">
        <f>SUM(L147:M147)</f>
        <v>0</v>
      </c>
      <c r="O147" s="71"/>
      <c r="P147" s="177"/>
      <c r="Q147" s="177"/>
      <c r="R147" s="161"/>
    </row>
    <row r="148" spans="1:18" s="68" customFormat="1" ht="12" customHeight="1">
      <c r="A148" s="197" t="s">
        <v>272</v>
      </c>
      <c r="B148" s="197" t="s">
        <v>273</v>
      </c>
      <c r="C148" s="179">
        <v>25</v>
      </c>
      <c r="D148" s="176"/>
      <c r="E148" s="176"/>
      <c r="F148" s="176"/>
      <c r="G148" s="176"/>
      <c r="H148" s="176"/>
      <c r="I148" s="176"/>
      <c r="J148" s="176"/>
      <c r="K148" s="176"/>
      <c r="L148" s="177"/>
      <c r="M148" s="177"/>
      <c r="N148" s="177">
        <f>SUM(L148:M148)</f>
        <v>0</v>
      </c>
      <c r="O148" s="71"/>
      <c r="P148" s="177"/>
      <c r="Q148" s="177"/>
      <c r="R148" s="161"/>
    </row>
    <row r="149" spans="1:18" s="68" customFormat="1" ht="12" customHeight="1">
      <c r="A149" s="183"/>
      <c r="B149" s="183"/>
      <c r="C149" s="183"/>
      <c r="D149" s="176"/>
      <c r="E149" s="176"/>
      <c r="F149" s="176"/>
      <c r="G149" s="176"/>
      <c r="H149" s="176"/>
      <c r="I149" s="176"/>
      <c r="J149" s="176"/>
      <c r="K149" s="176"/>
      <c r="L149" s="190"/>
      <c r="M149" s="177"/>
      <c r="N149" s="178"/>
      <c r="O149" s="71"/>
      <c r="P149" s="177"/>
      <c r="Q149" s="177"/>
      <c r="R149" s="161"/>
    </row>
    <row r="150" spans="1:18" s="92" customFormat="1" ht="12" customHeight="1" thickBot="1">
      <c r="A150" s="193"/>
      <c r="B150" s="184" t="s">
        <v>274</v>
      </c>
      <c r="C150" s="184"/>
      <c r="D150" s="192"/>
      <c r="E150" s="192"/>
      <c r="F150" s="192"/>
      <c r="G150" s="192"/>
      <c r="H150" s="192"/>
      <c r="I150" s="192"/>
      <c r="J150" s="192"/>
      <c r="K150" s="186">
        <f t="shared" ref="K150:N150" si="46">SUM(K146:K149)</f>
        <v>4805.2800000000007</v>
      </c>
      <c r="L150" s="186">
        <f t="shared" si="46"/>
        <v>2128</v>
      </c>
      <c r="M150" s="186">
        <f t="shared" si="46"/>
        <v>2677.28</v>
      </c>
      <c r="N150" s="186">
        <f t="shared" si="46"/>
        <v>4805.2800000000007</v>
      </c>
      <c r="O150" s="193"/>
      <c r="P150" s="202"/>
      <c r="Q150" s="202"/>
      <c r="R150" s="200"/>
    </row>
    <row r="151" spans="1:18" ht="12" customHeight="1">
      <c r="A151" s="203"/>
      <c r="B151" s="191"/>
      <c r="C151" s="19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</row>
    <row r="152" spans="1:18" s="96" customFormat="1" ht="12" customHeight="1" thickBot="1">
      <c r="A152" s="187"/>
      <c r="B152" s="184" t="s">
        <v>275</v>
      </c>
      <c r="C152" s="184"/>
      <c r="D152" s="200"/>
      <c r="E152" s="200"/>
      <c r="F152" s="200"/>
      <c r="G152" s="200"/>
      <c r="H152" s="200"/>
      <c r="I152" s="186">
        <f>SUM(I44,I119,I138,I143,I150)</f>
        <v>153669.26802596881</v>
      </c>
      <c r="J152" s="200"/>
      <c r="K152" s="186">
        <f>SUM(K44,K119,K138,K143,K150)</f>
        <v>1093826.6744675678</v>
      </c>
      <c r="L152" s="186">
        <f>SUM(L44,L119,L138,L143,L150)</f>
        <v>348537.98000000004</v>
      </c>
      <c r="M152" s="186">
        <f>SUM(M44,M119,M138,M143,M150)</f>
        <v>538906.25000000012</v>
      </c>
      <c r="N152" s="186">
        <f>SUM(N44,N119,N138,N143,N150)</f>
        <v>887444.22999999986</v>
      </c>
      <c r="O152" s="200"/>
      <c r="P152" s="200"/>
      <c r="Q152" s="200"/>
      <c r="R152" s="200"/>
    </row>
  </sheetData>
  <pageMargins left="0.7" right="0.7" top="0.75" bottom="0.75" header="0.3" footer="0.3"/>
  <pageSetup scale="43" fitToHeight="2" orientation="landscape" r:id="rId1"/>
  <headerFooter>
    <oddHeader xml:space="preserve">&amp;C&amp;"-,Bold"&amp;12
</oddHeader>
    <oddFooter>&amp;L&amp;F - &amp;A&amp;R&amp;P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tabSelected="1" zoomScale="85" zoomScaleNormal="85" workbookViewId="0">
      <selection activeCell="J29" sqref="J29"/>
    </sheetView>
  </sheetViews>
  <sheetFormatPr defaultRowHeight="15"/>
  <cols>
    <col min="1" max="1" width="2" style="1" customWidth="1"/>
    <col min="2" max="2" width="20.42578125" style="1" customWidth="1"/>
    <col min="3" max="14" width="11.5703125" style="1" bestFit="1" customWidth="1"/>
    <col min="15" max="15" width="12.5703125" style="1" bestFit="1" customWidth="1"/>
    <col min="16" max="16384" width="9.140625" style="1"/>
  </cols>
  <sheetData>
    <row r="1" spans="2:15">
      <c r="B1" s="7" t="s">
        <v>0</v>
      </c>
    </row>
    <row r="2" spans="2:15">
      <c r="B2" s="7" t="s">
        <v>417</v>
      </c>
    </row>
    <row r="4" spans="2:15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2:15">
      <c r="B6" s="47" t="s">
        <v>400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2:1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>
      <c r="B8" s="48"/>
      <c r="C8" s="49">
        <v>42370</v>
      </c>
      <c r="D8" s="49">
        <v>42401</v>
      </c>
      <c r="E8" s="49">
        <v>42430</v>
      </c>
      <c r="F8" s="49">
        <v>42461</v>
      </c>
      <c r="G8" s="49">
        <v>42491</v>
      </c>
      <c r="H8" s="49">
        <v>42522</v>
      </c>
      <c r="I8" s="49">
        <v>42552</v>
      </c>
      <c r="J8" s="49">
        <v>42583</v>
      </c>
      <c r="K8" s="49">
        <v>42614</v>
      </c>
      <c r="L8" s="49">
        <v>42644</v>
      </c>
      <c r="M8" s="49">
        <v>42675</v>
      </c>
      <c r="N8" s="49">
        <v>42705</v>
      </c>
      <c r="O8" s="50" t="s">
        <v>401</v>
      </c>
    </row>
    <row r="9" spans="2:15">
      <c r="B9" s="48" t="s">
        <v>402</v>
      </c>
      <c r="C9" s="51">
        <f>C13/68.5</f>
        <v>79.838686131386865</v>
      </c>
      <c r="D9" s="51">
        <f t="shared" ref="D9:G10" si="0">D13/68.5</f>
        <v>179.43795620437956</v>
      </c>
      <c r="E9" s="51">
        <f t="shared" si="0"/>
        <v>116.30919708029198</v>
      </c>
      <c r="F9" s="51">
        <f t="shared" si="0"/>
        <v>138.98175182481754</v>
      </c>
      <c r="G9" s="51">
        <f t="shared" si="0"/>
        <v>111.90116788321167</v>
      </c>
      <c r="H9" s="51">
        <f>H13/70</f>
        <v>157.00771428571429</v>
      </c>
      <c r="I9" s="51">
        <f t="shared" ref="I9:N10" si="1">I13/70</f>
        <v>103.09285714285716</v>
      </c>
      <c r="J9" s="51">
        <f t="shared" si="1"/>
        <v>164.18</v>
      </c>
      <c r="K9" s="51">
        <f t="shared" si="1"/>
        <v>107.00000000000001</v>
      </c>
      <c r="L9" s="51">
        <f t="shared" si="1"/>
        <v>145.38</v>
      </c>
      <c r="M9" s="51">
        <f t="shared" si="1"/>
        <v>125.08</v>
      </c>
      <c r="N9" s="51">
        <f t="shared" si="1"/>
        <v>134.53</v>
      </c>
      <c r="O9" s="52">
        <f>SUM(C9:N9)</f>
        <v>1562.7393305526591</v>
      </c>
    </row>
    <row r="10" spans="2:15">
      <c r="B10" s="48" t="s">
        <v>403</v>
      </c>
      <c r="C10" s="51">
        <f>C14/68.5</f>
        <v>247.57737226277371</v>
      </c>
      <c r="D10" s="51">
        <f t="shared" si="0"/>
        <v>204.1094890510949</v>
      </c>
      <c r="E10" s="51">
        <f t="shared" si="0"/>
        <v>170.37693430656932</v>
      </c>
      <c r="F10" s="51">
        <f t="shared" si="0"/>
        <v>274.0985401459854</v>
      </c>
      <c r="G10" s="51">
        <f t="shared" si="0"/>
        <v>204.75576642335767</v>
      </c>
      <c r="H10" s="51">
        <f>H14/70</f>
        <v>251.12085714285712</v>
      </c>
      <c r="I10" s="51">
        <f t="shared" si="1"/>
        <v>242.36428571428573</v>
      </c>
      <c r="J10" s="51">
        <f t="shared" si="1"/>
        <v>173.54857142857142</v>
      </c>
      <c r="K10" s="51">
        <f t="shared" si="1"/>
        <v>303.32857142857142</v>
      </c>
      <c r="L10" s="51">
        <f t="shared" si="1"/>
        <v>217.47714285714287</v>
      </c>
      <c r="M10" s="51">
        <f t="shared" si="1"/>
        <v>196.36285714285714</v>
      </c>
      <c r="N10" s="51">
        <f t="shared" si="1"/>
        <v>164.5842857142857</v>
      </c>
      <c r="O10" s="53">
        <f>SUM(C10:N10)</f>
        <v>2649.7046736183524</v>
      </c>
    </row>
    <row r="11" spans="2:15">
      <c r="B11" s="48"/>
      <c r="C11" s="51">
        <f t="shared" ref="C11:N11" si="2">SUM(C9:C10)</f>
        <v>327.41605839416059</v>
      </c>
      <c r="D11" s="51">
        <f t="shared" si="2"/>
        <v>383.54744525547449</v>
      </c>
      <c r="E11" s="51">
        <f t="shared" si="2"/>
        <v>286.68613138686129</v>
      </c>
      <c r="F11" s="51">
        <f t="shared" si="2"/>
        <v>413.08029197080293</v>
      </c>
      <c r="G11" s="51">
        <f t="shared" si="2"/>
        <v>316.65693430656933</v>
      </c>
      <c r="H11" s="51">
        <f t="shared" si="2"/>
        <v>408.12857142857138</v>
      </c>
      <c r="I11" s="51">
        <f t="shared" si="2"/>
        <v>345.45714285714291</v>
      </c>
      <c r="J11" s="51">
        <f t="shared" si="2"/>
        <v>337.7285714285714</v>
      </c>
      <c r="K11" s="51">
        <f t="shared" si="2"/>
        <v>410.32857142857142</v>
      </c>
      <c r="L11" s="51">
        <f t="shared" si="2"/>
        <v>362.85714285714289</v>
      </c>
      <c r="M11" s="51">
        <f t="shared" si="2"/>
        <v>321.44285714285712</v>
      </c>
      <c r="N11" s="51">
        <f t="shared" si="2"/>
        <v>299.1142857142857</v>
      </c>
      <c r="O11" s="54">
        <f>SUM(O9:O10)</f>
        <v>4212.4440041710113</v>
      </c>
    </row>
    <row r="12" spans="2:15">
      <c r="B12" s="48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2:15">
      <c r="B13" s="48" t="s">
        <v>404</v>
      </c>
      <c r="C13" s="56">
        <v>5468.9500000000007</v>
      </c>
      <c r="D13" s="56">
        <v>12291.5</v>
      </c>
      <c r="E13" s="56">
        <v>7967.18</v>
      </c>
      <c r="F13" s="56">
        <v>9520.2500000000018</v>
      </c>
      <c r="G13" s="56">
        <v>7665.23</v>
      </c>
      <c r="H13" s="56">
        <v>10990.54</v>
      </c>
      <c r="I13" s="56">
        <v>7216.5000000000009</v>
      </c>
      <c r="J13" s="56">
        <v>11492.6</v>
      </c>
      <c r="K13" s="56">
        <v>7490.0000000000009</v>
      </c>
      <c r="L13" s="56">
        <v>10176.6</v>
      </c>
      <c r="M13" s="56">
        <v>8755.6</v>
      </c>
      <c r="N13" s="56">
        <v>9417.1</v>
      </c>
      <c r="O13" s="57">
        <f>SUM(C13:N13)</f>
        <v>108452.05000000002</v>
      </c>
    </row>
    <row r="14" spans="2:15">
      <c r="B14" s="48" t="s">
        <v>405</v>
      </c>
      <c r="C14" s="56">
        <f>C15-C13</f>
        <v>16959.05</v>
      </c>
      <c r="D14" s="56">
        <f t="shared" ref="D14:N14" si="3">D15-D13</f>
        <v>13981.5</v>
      </c>
      <c r="E14" s="56">
        <f t="shared" si="3"/>
        <v>11670.82</v>
      </c>
      <c r="F14" s="56">
        <f t="shared" si="3"/>
        <v>18775.75</v>
      </c>
      <c r="G14" s="56">
        <f t="shared" si="3"/>
        <v>14025.77</v>
      </c>
      <c r="H14" s="56">
        <f t="shared" si="3"/>
        <v>17578.46</v>
      </c>
      <c r="I14" s="56">
        <f t="shared" si="3"/>
        <v>16965.5</v>
      </c>
      <c r="J14" s="56">
        <f t="shared" si="3"/>
        <v>12148.4</v>
      </c>
      <c r="K14" s="56">
        <f t="shared" si="3"/>
        <v>21233</v>
      </c>
      <c r="L14" s="56">
        <f t="shared" si="3"/>
        <v>15223.4</v>
      </c>
      <c r="M14" s="56">
        <f t="shared" si="3"/>
        <v>13745.4</v>
      </c>
      <c r="N14" s="56">
        <f t="shared" si="3"/>
        <v>11520.9</v>
      </c>
      <c r="O14" s="58">
        <f>SUM(C14:N14)</f>
        <v>183827.94999999998</v>
      </c>
    </row>
    <row r="15" spans="2:15">
      <c r="B15" s="48" t="s">
        <v>406</v>
      </c>
      <c r="C15" s="56">
        <v>22428</v>
      </c>
      <c r="D15" s="56">
        <v>26273</v>
      </c>
      <c r="E15" s="56">
        <v>19638</v>
      </c>
      <c r="F15" s="56">
        <v>28296</v>
      </c>
      <c r="G15" s="56">
        <v>21691</v>
      </c>
      <c r="H15" s="56">
        <v>28569</v>
      </c>
      <c r="I15" s="56">
        <v>24182</v>
      </c>
      <c r="J15" s="56">
        <v>23641</v>
      </c>
      <c r="K15" s="56">
        <v>28723</v>
      </c>
      <c r="L15" s="56">
        <v>25400</v>
      </c>
      <c r="M15" s="56">
        <v>22501</v>
      </c>
      <c r="N15" s="56">
        <v>20938</v>
      </c>
      <c r="O15" s="57">
        <f>SUM(O13:O14)</f>
        <v>292280</v>
      </c>
    </row>
    <row r="16" spans="2:15">
      <c r="B16" s="4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15">
      <c r="B17" s="5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</row>
  </sheetData>
  <pageMargins left="0.7" right="0.7" top="0.75" bottom="0.75" header="0.3" footer="0.3"/>
  <pageSetup scale="52" orientation="portrait" r:id="rId1"/>
  <headerFooter>
    <oddHeader xml:space="preserve">&amp;C&amp;"-,Bold"&amp;12
</oddHead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261CA765E3794A923444EA841FC7D5" ma:contentTypeVersion="92" ma:contentTypeDescription="" ma:contentTypeScope="" ma:versionID="3938077f8a24eaf7b2a5b081ab986d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2017-03-16T07:00:00+00:00</OpenedDate>
    <Date1 xmlns="dc463f71-b30c-4ab2-9473-d307f9d35888">2017-03-16T07:00:00+00:00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170183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5298EC-E9D8-461F-BD15-39AF5AB8FB38}"/>
</file>

<file path=customXml/itemProps2.xml><?xml version="1.0" encoding="utf-8"?>
<ds:datastoreItem xmlns:ds="http://schemas.openxmlformats.org/officeDocument/2006/customXml" ds:itemID="{05A164F2-18A2-4CBC-9711-0511D6F9A1E9}"/>
</file>

<file path=customXml/itemProps3.xml><?xml version="1.0" encoding="utf-8"?>
<ds:datastoreItem xmlns:ds="http://schemas.openxmlformats.org/officeDocument/2006/customXml" ds:itemID="{C591FCA6-1E83-4542-AA45-6EFBBE823C0F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c463f71-b30c-4ab2-9473-d307f9d35888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2165449-1AF8-4BEC-BA5B-3112B7D4B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G-48 DF Calc</vt:lpstr>
      <vt:lpstr>Rate Schedule G-48</vt:lpstr>
      <vt:lpstr> Staff G-48 Price Out</vt:lpstr>
      <vt:lpstr>Disposal Schedule</vt:lpstr>
      <vt:lpstr>' Staff G-48 Price Out'!Print_Area</vt:lpstr>
      <vt:lpstr>'Rate Schedule G-48'!Print_Area</vt:lpstr>
      <vt:lpstr>' Staff G-48 Price Out'!Print_Titles</vt:lpstr>
      <vt:lpstr>'G-48 DF Calc'!Print_Titles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2017-03-16T19:53:20Z</cp:lastPrinted>
  <dcterms:created xsi:type="dcterms:W3CDTF">2017-03-13T22:28:00Z</dcterms:created>
  <dcterms:modified xsi:type="dcterms:W3CDTF">2017-03-23T15:54:15Z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0x0101006E56B4D1795A2E4DB2F0B01679ED314A000F261CA765E3794A923444EA841FC7D5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