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activeTab="1"/>
  </bookViews>
  <sheets>
    <sheet name="References" sheetId="1" r:id="rId1"/>
    <sheet name="Staff PF" sheetId="2" r:id="rId2"/>
    <sheet name="Fuel Costs" sheetId="3" r:id="rId3"/>
  </sheets>
  <definedNames/>
  <calcPr fullCalcOnLoad="1"/>
</workbook>
</file>

<file path=xl/sharedStrings.xml><?xml version="1.0" encoding="utf-8"?>
<sst xmlns="http://schemas.openxmlformats.org/spreadsheetml/2006/main" count="101" uniqueCount="92">
  <si>
    <t>Total per Books</t>
  </si>
  <si>
    <t>Remove Nonregulated</t>
  </si>
  <si>
    <t>Regulated</t>
  </si>
  <si>
    <t>Restated</t>
  </si>
  <si>
    <t>Restating Adjustments</t>
  </si>
  <si>
    <t>ProForma Adjustments</t>
  </si>
  <si>
    <t>Revenue</t>
  </si>
  <si>
    <t>Total Revenue</t>
  </si>
  <si>
    <t>Expenses</t>
  </si>
  <si>
    <t>Fuel for Hired Vehicles</t>
  </si>
  <si>
    <t>Purchases</t>
  </si>
  <si>
    <t>Travel Expenses for Drivers</t>
  </si>
  <si>
    <t>Advertising &amp; Promotion</t>
  </si>
  <si>
    <t>Bank Service Charges</t>
  </si>
  <si>
    <t>Business Licenses and Permits</t>
  </si>
  <si>
    <t>Computer and Internet Expenses</t>
  </si>
  <si>
    <t>Depreciation Expense</t>
  </si>
  <si>
    <t>Equipment Rental</t>
  </si>
  <si>
    <t>Insurance Expense</t>
  </si>
  <si>
    <t>Meals and Entertainment</t>
  </si>
  <si>
    <t>Office Supplies</t>
  </si>
  <si>
    <t>Officer Compensation</t>
  </si>
  <si>
    <t>Payroll Expenses</t>
  </si>
  <si>
    <t>Professional Fees</t>
  </si>
  <si>
    <t>Rent Expense</t>
  </si>
  <si>
    <t>Repairs and Maintenance</t>
  </si>
  <si>
    <t>Small Tools and Equipment</t>
  </si>
  <si>
    <t>Telephone Expense</t>
  </si>
  <si>
    <t>Uniforms</t>
  </si>
  <si>
    <t>Utilities</t>
  </si>
  <si>
    <t>Miscellaneous Expense</t>
  </si>
  <si>
    <t>Total Expenses</t>
  </si>
  <si>
    <t>Net Profit</t>
  </si>
  <si>
    <t>Passenger</t>
  </si>
  <si>
    <t>Baggage, etc</t>
  </si>
  <si>
    <t>Charter</t>
  </si>
  <si>
    <t>Pro Forma</t>
  </si>
  <si>
    <t>Revenue Requirement</t>
  </si>
  <si>
    <t>Operating Ratio</t>
  </si>
  <si>
    <t xml:space="preserve">        </t>
  </si>
  <si>
    <t>One Way Fares</t>
  </si>
  <si>
    <t>Round Trip Fares</t>
  </si>
  <si>
    <t>Passengers</t>
  </si>
  <si>
    <t>Current Fares</t>
  </si>
  <si>
    <t>Proposed Fares</t>
  </si>
  <si>
    <t>Proposed Revenue</t>
  </si>
  <si>
    <t>Fare Increase</t>
  </si>
  <si>
    <t>New One Way Rate</t>
  </si>
  <si>
    <t>Total Customers</t>
  </si>
  <si>
    <t>Rounding Factor</t>
  </si>
  <si>
    <t>b</t>
  </si>
  <si>
    <t>a</t>
  </si>
  <si>
    <t>c</t>
  </si>
  <si>
    <t>d</t>
  </si>
  <si>
    <t>e</t>
  </si>
  <si>
    <t>Month</t>
  </si>
  <si>
    <t>Dollars</t>
  </si>
  <si>
    <t>Gallons</t>
  </si>
  <si>
    <t>per Gallon</t>
  </si>
  <si>
    <t>Allowed Fuel Costs</t>
  </si>
  <si>
    <t>Additional Fuel Cost</t>
  </si>
  <si>
    <t>Additional Depreciation Expense</t>
  </si>
  <si>
    <t>Company Adjustments</t>
  </si>
  <si>
    <t>Staff Adjustments</t>
  </si>
  <si>
    <t>To adjust to straight line depreciation</t>
  </si>
  <si>
    <t>To remove $.184 fuel tax</t>
  </si>
  <si>
    <t>To pro forma fuel to most recent 12 month average</t>
  </si>
  <si>
    <t>To pro forma payroll to April 1, 2013 pay increase</t>
  </si>
  <si>
    <t>Depreciation for capitalization of new transmission</t>
  </si>
  <si>
    <t>Remove transmission expense; to be capitalized</t>
  </si>
  <si>
    <t>To pro form fuel costs based on most recent 12 motnh period</t>
  </si>
  <si>
    <t>Remove unallowed UTC penalty of $325 (TC-130909) and $2,000  (TC-121120)</t>
  </si>
  <si>
    <t>Remove unregulated</t>
  </si>
  <si>
    <t>Fuel Tax</t>
  </si>
  <si>
    <t>Adjustment</t>
  </si>
  <si>
    <t>Rate Adjustment</t>
  </si>
  <si>
    <t>Pro Forma with Rates</t>
  </si>
  <si>
    <t>Fare Increase x 2</t>
  </si>
  <si>
    <t>Round Trip Rate</t>
  </si>
  <si>
    <t>Current Revenue</t>
  </si>
  <si>
    <t>So rates can be doubled</t>
  </si>
  <si>
    <t>One-way</t>
  </si>
  <si>
    <t>Round trip</t>
  </si>
  <si>
    <t>Percentage increase for one-way fare</t>
  </si>
  <si>
    <t>Percentage Increase for round-trip fare</t>
  </si>
  <si>
    <t xml:space="preserve">Allowed Revenue Increase </t>
  </si>
  <si>
    <t>Allowed Operating Ratio</t>
  </si>
  <si>
    <t>Tax</t>
  </si>
  <si>
    <t>Travel Expenses</t>
  </si>
  <si>
    <t xml:space="preserve">Other </t>
  </si>
  <si>
    <t>Other Expense</t>
  </si>
  <si>
    <t>Automobile Lease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</si>
</sst>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vertAlign val="superscript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43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43" fontId="0" fillId="0" borderId="11" xfId="42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33" borderId="0" xfId="42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3" fontId="0" fillId="33" borderId="0" xfId="42" applyFont="1" applyFill="1" applyAlignment="1">
      <alignment horizontal="center"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  <xf numFmtId="43" fontId="34" fillId="0" borderId="0" xfId="42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43" fontId="37" fillId="0" borderId="0" xfId="42" applyFont="1" applyAlignment="1">
      <alignment/>
    </xf>
    <xf numFmtId="0" fontId="37" fillId="0" borderId="0" xfId="42" applyNumberFormat="1" applyFont="1" applyAlignment="1">
      <alignment horizontal="left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0" fontId="34" fillId="0" borderId="0" xfId="0" applyFont="1" applyAlignment="1">
      <alignment horizontal="center"/>
    </xf>
    <xf numFmtId="44" fontId="34" fillId="0" borderId="0" xfId="44" applyFont="1" applyAlignment="1">
      <alignment horizontal="center"/>
    </xf>
    <xf numFmtId="43" fontId="34" fillId="0" borderId="0" xfId="42" applyFont="1" applyAlignment="1">
      <alignment horizontal="center"/>
    </xf>
    <xf numFmtId="44" fontId="0" fillId="0" borderId="10" xfId="44" applyFont="1" applyBorder="1" applyAlignment="1">
      <alignment/>
    </xf>
    <xf numFmtId="43" fontId="0" fillId="0" borderId="10" xfId="42" applyFont="1" applyBorder="1" applyAlignment="1">
      <alignment/>
    </xf>
    <xf numFmtId="4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3" fontId="34" fillId="35" borderId="0" xfId="42" applyFont="1" applyFill="1" applyAlignment="1">
      <alignment horizontal="center" wrapText="1"/>
    </xf>
    <xf numFmtId="0" fontId="34" fillId="35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 horizontal="left"/>
    </xf>
    <xf numFmtId="44" fontId="34" fillId="0" borderId="10" xfId="0" applyNumberFormat="1" applyFont="1" applyBorder="1" applyAlignment="1">
      <alignment/>
    </xf>
    <xf numFmtId="44" fontId="34" fillId="0" borderId="0" xfId="44" applyFont="1" applyBorder="1" applyAlignment="1">
      <alignment/>
    </xf>
    <xf numFmtId="44" fontId="0" fillId="34" borderId="12" xfId="0" applyNumberFormat="1" applyFill="1" applyBorder="1" applyAlignment="1">
      <alignment/>
    </xf>
    <xf numFmtId="43" fontId="0" fillId="0" borderId="13" xfId="42" applyFont="1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17" xfId="0" applyBorder="1" applyAlignment="1">
      <alignment/>
    </xf>
    <xf numFmtId="44" fontId="0" fillId="34" borderId="18" xfId="44" applyFont="1" applyFill="1" applyBorder="1" applyAlignment="1">
      <alignment/>
    </xf>
    <xf numFmtId="165" fontId="0" fillId="0" borderId="0" xfId="57" applyNumberFormat="1" applyFont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 horizontal="center"/>
    </xf>
    <xf numFmtId="43" fontId="0" fillId="33" borderId="19" xfId="42" applyFont="1" applyFill="1" applyBorder="1" applyAlignment="1">
      <alignment horizontal="center"/>
    </xf>
    <xf numFmtId="43" fontId="0" fillId="33" borderId="20" xfId="42" applyFont="1" applyFill="1" applyBorder="1" applyAlignment="1">
      <alignment horizontal="center"/>
    </xf>
    <xf numFmtId="43" fontId="0" fillId="33" borderId="21" xfId="42" applyFont="1" applyFill="1" applyBorder="1" applyAlignment="1">
      <alignment horizontal="center"/>
    </xf>
    <xf numFmtId="43" fontId="34" fillId="0" borderId="0" xfId="42" applyFont="1" applyAlignment="1">
      <alignment horizontal="lef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5.8515625" style="0" bestFit="1" customWidth="1"/>
    <col min="2" max="2" width="12.28125" style="8" bestFit="1" customWidth="1"/>
    <col min="3" max="3" width="12.8515625" style="0" bestFit="1" customWidth="1"/>
    <col min="4" max="4" width="22.8515625" style="1" bestFit="1" customWidth="1"/>
    <col min="5" max="5" width="14.7109375" style="0" bestFit="1" customWidth="1"/>
    <col min="6" max="6" width="19.421875" style="1" bestFit="1" customWidth="1"/>
    <col min="7" max="7" width="12.00390625" style="0" bestFit="1" customWidth="1"/>
    <col min="8" max="8" width="12.57421875" style="0" bestFit="1" customWidth="1"/>
    <col min="9" max="9" width="7.140625" style="24" customWidth="1"/>
    <col min="10" max="10" width="11.28125" style="0" bestFit="1" customWidth="1"/>
    <col min="12" max="12" width="11.57421875" style="0" bestFit="1" customWidth="1"/>
  </cols>
  <sheetData>
    <row r="1" spans="2:6" ht="15">
      <c r="B1" s="10" t="s">
        <v>42</v>
      </c>
      <c r="C1" s="11" t="s">
        <v>43</v>
      </c>
      <c r="D1" s="12" t="s">
        <v>6</v>
      </c>
      <c r="E1" s="11" t="s">
        <v>44</v>
      </c>
      <c r="F1" s="12" t="s">
        <v>45</v>
      </c>
    </row>
    <row r="2" spans="1:9" ht="15">
      <c r="A2" t="s">
        <v>40</v>
      </c>
      <c r="B2" s="8">
        <v>10257</v>
      </c>
      <c r="C2" s="13">
        <v>45</v>
      </c>
      <c r="D2" s="13">
        <f>B2*C2</f>
        <v>461565</v>
      </c>
      <c r="E2" s="13">
        <v>47.5</v>
      </c>
      <c r="F2" s="13">
        <f>B2*E2</f>
        <v>487207.5</v>
      </c>
      <c r="G2">
        <f>F2/F4</f>
        <v>0.642281567316914</v>
      </c>
      <c r="H2" s="30">
        <f>G2*'Staff PF'!$J$44</f>
        <v>78523.58706840647</v>
      </c>
      <c r="I2" s="24">
        <f>H2/B7</f>
        <v>7.655609541620988</v>
      </c>
    </row>
    <row r="3" spans="1:9" ht="15">
      <c r="A3" t="s">
        <v>41</v>
      </c>
      <c r="B3" s="8">
        <v>3015</v>
      </c>
      <c r="C3" s="13">
        <v>85</v>
      </c>
      <c r="D3" s="28">
        <f>B3*C3</f>
        <v>256275</v>
      </c>
      <c r="E3" s="13">
        <v>90</v>
      </c>
      <c r="F3" s="28">
        <f>E3*B3</f>
        <v>271350</v>
      </c>
      <c r="G3">
        <f>F3/F4</f>
        <v>0.357718432683086</v>
      </c>
      <c r="H3" s="30">
        <f>G3*'Staff PF'!$J$44</f>
        <v>43733.676823554844</v>
      </c>
      <c r="I3" s="24">
        <f>H3/B3</f>
        <v>14.505365447281871</v>
      </c>
    </row>
    <row r="4" spans="4:10" ht="15">
      <c r="D4" s="23">
        <f>SUM(D2:D3)</f>
        <v>717840</v>
      </c>
      <c r="F4" s="1">
        <f>SUM(F2:F3)</f>
        <v>758557.5</v>
      </c>
      <c r="J4" s="3"/>
    </row>
    <row r="6" spans="1:2" ht="15">
      <c r="A6" s="52" t="s">
        <v>48</v>
      </c>
      <c r="B6" s="52"/>
    </row>
    <row r="7" spans="1:5" ht="15">
      <c r="A7" t="s">
        <v>40</v>
      </c>
      <c r="B7" s="8">
        <f>B2</f>
        <v>10257</v>
      </c>
      <c r="D7" s="38" t="s">
        <v>79</v>
      </c>
      <c r="E7" s="30">
        <f>D4</f>
        <v>717840</v>
      </c>
    </row>
    <row r="8" spans="1:5" ht="15">
      <c r="A8" t="s">
        <v>41</v>
      </c>
      <c r="B8" s="9">
        <f>B3*2</f>
        <v>6030</v>
      </c>
      <c r="D8" s="39" t="s">
        <v>37</v>
      </c>
      <c r="E8" s="40">
        <f>'Staff PF'!J44</f>
        <v>122257.26389196131</v>
      </c>
    </row>
    <row r="9" spans="2:5" ht="15.75" thickBot="1">
      <c r="B9" s="8">
        <f>SUM(B7:B8)</f>
        <v>16287</v>
      </c>
      <c r="D9" s="38"/>
      <c r="E9" s="42">
        <f>SUM(E7:E8)</f>
        <v>840097.2638919613</v>
      </c>
    </row>
    <row r="10" ht="15.75" thickTop="1">
      <c r="D10" s="38"/>
    </row>
    <row r="11" spans="1:2" ht="15.75" thickBot="1">
      <c r="A11" s="6" t="s">
        <v>49</v>
      </c>
      <c r="B11" s="15">
        <v>0.1</v>
      </c>
    </row>
    <row r="12" spans="4:8" ht="15">
      <c r="D12" s="38" t="s">
        <v>46</v>
      </c>
      <c r="E12" s="37">
        <f>'Staff PF'!J44/B9</f>
        <v>7.506432362740917</v>
      </c>
      <c r="F12" s="53" t="s">
        <v>80</v>
      </c>
      <c r="G12" s="54"/>
      <c r="H12" s="55"/>
    </row>
    <row r="13" spans="4:8" ht="15">
      <c r="D13" s="39" t="s">
        <v>47</v>
      </c>
      <c r="E13" s="41">
        <f>MROUND(C2+E12,B11)</f>
        <v>52.5</v>
      </c>
      <c r="F13" s="43" t="s">
        <v>81</v>
      </c>
      <c r="G13" s="44">
        <v>41.52</v>
      </c>
      <c r="H13" s="45">
        <f>G13*B2</f>
        <v>425870.64</v>
      </c>
    </row>
    <row r="14" spans="4:8" ht="15">
      <c r="D14" s="38" t="s">
        <v>77</v>
      </c>
      <c r="E14" s="3">
        <f>E12*2</f>
        <v>15.012864725481833</v>
      </c>
      <c r="F14" s="43"/>
      <c r="G14" s="44"/>
      <c r="H14" s="45"/>
    </row>
    <row r="15" spans="4:8" ht="15">
      <c r="D15" s="38" t="s">
        <v>78</v>
      </c>
      <c r="E15" s="30">
        <f>C3+E14</f>
        <v>100.01286472548183</v>
      </c>
      <c r="F15" s="43" t="s">
        <v>82</v>
      </c>
      <c r="G15" s="44">
        <f>G13*2</f>
        <v>83.04</v>
      </c>
      <c r="H15" s="46">
        <f>G15*B3</f>
        <v>250365.6</v>
      </c>
    </row>
    <row r="16" spans="6:8" ht="15.75" thickBot="1">
      <c r="F16" s="47"/>
      <c r="G16" s="48"/>
      <c r="H16" s="49">
        <f>SUM(H13:H15)</f>
        <v>676236.24</v>
      </c>
    </row>
    <row r="19" spans="8:9" ht="15">
      <c r="H19" s="30">
        <f>H16-E7</f>
        <v>-41603.76000000001</v>
      </c>
      <c r="I19" s="24" t="s">
        <v>85</v>
      </c>
    </row>
    <row r="20" spans="6:9" ht="15">
      <c r="F20" s="36"/>
      <c r="H20" s="4">
        <f>'Staff PF'!L38/References!H16</f>
        <v>1.1543564937003734</v>
      </c>
      <c r="I20" s="24" t="s">
        <v>86</v>
      </c>
    </row>
    <row r="21" spans="3:8" ht="15">
      <c r="C21" s="30">
        <f>G13-C2</f>
        <v>-3.479999999999997</v>
      </c>
      <c r="D21" s="50">
        <f>C21/C2</f>
        <v>-0.07733333333333327</v>
      </c>
      <c r="E21" t="s">
        <v>83</v>
      </c>
      <c r="H21" s="30"/>
    </row>
    <row r="22" spans="3:5" ht="15">
      <c r="C22" s="30">
        <f>G15-C3</f>
        <v>-1.9599999999999937</v>
      </c>
      <c r="D22" s="50">
        <f>C22/C3</f>
        <v>-0.02305882352941169</v>
      </c>
      <c r="E22" t="s">
        <v>84</v>
      </c>
    </row>
  </sheetData>
  <sheetProtection/>
  <mergeCells count="2">
    <mergeCell ref="A6:B6"/>
    <mergeCell ref="F12:H12"/>
  </mergeCells>
  <printOptions/>
  <pageMargins left="0.7" right="0.7" top="1.25" bottom="0.75" header="0.3" footer="0.3"/>
  <pageSetup fitToHeight="1" fitToWidth="1" horizontalDpi="600" verticalDpi="600" orientation="portrait" scale="60" r:id="rId1"/>
  <headerFooter>
    <oddHeader>&amp;C&amp;"-,Bold"BML Investments LLC&amp;"-,Regular"
dba Wenatchee Valley Shuttle
References for GRC TC-132127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28">
      <selection activeCell="H23" sqref="H23"/>
    </sheetView>
  </sheetViews>
  <sheetFormatPr defaultColWidth="9.140625" defaultRowHeight="15"/>
  <cols>
    <col min="1" max="1" width="30.7109375" style="0" customWidth="1"/>
    <col min="2" max="2" width="15.140625" style="1" bestFit="1" customWidth="1"/>
    <col min="3" max="3" width="21.421875" style="0" bestFit="1" customWidth="1"/>
    <col min="4" max="4" width="12.140625" style="0" bestFit="1" customWidth="1"/>
    <col min="5" max="5" width="12.28125" style="0" bestFit="1" customWidth="1"/>
    <col min="6" max="6" width="2.8515625" style="0" bestFit="1" customWidth="1"/>
    <col min="7" max="7" width="12.140625" style="0" bestFit="1" customWidth="1"/>
    <col min="8" max="8" width="12.28125" style="0" bestFit="1" customWidth="1"/>
    <col min="9" max="9" width="1.8515625" style="0" bestFit="1" customWidth="1"/>
    <col min="10" max="10" width="13.57421875" style="0" customWidth="1"/>
    <col min="11" max="11" width="13.7109375" style="0" customWidth="1"/>
    <col min="12" max="12" width="12.140625" style="0" bestFit="1" customWidth="1"/>
  </cols>
  <sheetData>
    <row r="1" spans="1:12" ht="30">
      <c r="A1" s="32"/>
      <c r="B1" s="33" t="s">
        <v>0</v>
      </c>
      <c r="C1" s="34" t="s">
        <v>1</v>
      </c>
      <c r="D1" s="34" t="s">
        <v>2</v>
      </c>
      <c r="E1" s="34" t="s">
        <v>4</v>
      </c>
      <c r="F1" s="34"/>
      <c r="G1" s="34" t="s">
        <v>3</v>
      </c>
      <c r="H1" s="34" t="s">
        <v>5</v>
      </c>
      <c r="I1" s="34"/>
      <c r="J1" s="34" t="s">
        <v>36</v>
      </c>
      <c r="K1" s="34" t="s">
        <v>75</v>
      </c>
      <c r="L1" s="34" t="s">
        <v>76</v>
      </c>
    </row>
    <row r="2" spans="1:10" ht="15">
      <c r="A2" s="6" t="s">
        <v>6</v>
      </c>
      <c r="C2" s="4">
        <v>0.0419</v>
      </c>
      <c r="J2" t="s">
        <v>39</v>
      </c>
    </row>
    <row r="3" spans="1:12" ht="15">
      <c r="A3" t="s">
        <v>33</v>
      </c>
      <c r="B3" s="1">
        <v>716330.15</v>
      </c>
      <c r="D3" s="3">
        <f>B3+C3</f>
        <v>716330.15</v>
      </c>
      <c r="E3" s="1"/>
      <c r="F3" s="1"/>
      <c r="G3" s="1">
        <f>D3+E3</f>
        <v>716330.15</v>
      </c>
      <c r="H3" s="1"/>
      <c r="I3" s="1"/>
      <c r="J3" s="1">
        <f>G3+H3</f>
        <v>716330.15</v>
      </c>
      <c r="K3" s="24">
        <f>J44</f>
        <v>122257.26389196131</v>
      </c>
      <c r="L3" s="3">
        <f>SUM(J3:K3)</f>
        <v>838587.4138919613</v>
      </c>
    </row>
    <row r="4" spans="1:12" ht="15">
      <c r="A4" t="s">
        <v>34</v>
      </c>
      <c r="B4" s="1">
        <v>780</v>
      </c>
      <c r="D4" s="3">
        <f>B4+C4</f>
        <v>780</v>
      </c>
      <c r="E4" s="1"/>
      <c r="F4" s="1"/>
      <c r="G4" s="1">
        <f>D4+E4</f>
        <v>780</v>
      </c>
      <c r="H4" s="1"/>
      <c r="I4" s="1"/>
      <c r="J4" s="1">
        <f>G4+H4</f>
        <v>780</v>
      </c>
      <c r="L4" s="3">
        <f>SUM(J4:K4)</f>
        <v>780</v>
      </c>
    </row>
    <row r="5" spans="1:12" ht="15">
      <c r="A5" t="s">
        <v>35</v>
      </c>
      <c r="B5" s="1">
        <v>61562.62</v>
      </c>
      <c r="C5" s="3">
        <f>-B5</f>
        <v>-61562.62</v>
      </c>
      <c r="D5" s="3">
        <f>B5+C5</f>
        <v>0</v>
      </c>
      <c r="E5" s="1"/>
      <c r="F5" s="1"/>
      <c r="G5" s="1">
        <f>D5+E5</f>
        <v>0</v>
      </c>
      <c r="H5" s="1"/>
      <c r="I5" s="1"/>
      <c r="J5" s="1">
        <f>G5+H5</f>
        <v>0</v>
      </c>
      <c r="L5" s="3">
        <f>SUM(J5:K5)</f>
        <v>0</v>
      </c>
    </row>
    <row r="6" spans="1:12" ht="15">
      <c r="A6" t="s">
        <v>89</v>
      </c>
      <c r="B6" s="2">
        <v>0</v>
      </c>
      <c r="C6" s="5">
        <f>-B6</f>
        <v>0</v>
      </c>
      <c r="D6" s="5">
        <f>B6+C6</f>
        <v>0</v>
      </c>
      <c r="E6" s="2"/>
      <c r="F6" s="2"/>
      <c r="G6" s="2">
        <f>D6+E6</f>
        <v>0</v>
      </c>
      <c r="H6" s="2"/>
      <c r="I6" s="2"/>
      <c r="J6" s="2">
        <f>G6+H6</f>
        <v>0</v>
      </c>
      <c r="K6" s="35"/>
      <c r="L6" s="5">
        <f>SUM(J6:K6)</f>
        <v>0</v>
      </c>
    </row>
    <row r="7" spans="1:12" ht="15">
      <c r="A7" t="s">
        <v>7</v>
      </c>
      <c r="B7" s="1">
        <f>SUM(B3:B6)</f>
        <v>778672.77</v>
      </c>
      <c r="D7" s="3">
        <f>SUM(D3:D6)</f>
        <v>717110.15</v>
      </c>
      <c r="E7" s="1"/>
      <c r="F7" s="1"/>
      <c r="G7" s="1">
        <f>SUM(G3:G6)</f>
        <v>717110.15</v>
      </c>
      <c r="H7" s="1"/>
      <c r="I7" s="1"/>
      <c r="J7" s="1">
        <f>SUM(J3:J6)</f>
        <v>717110.15</v>
      </c>
      <c r="K7" s="24">
        <f>SUM(K3:K6)</f>
        <v>122257.26389196131</v>
      </c>
      <c r="L7" s="24">
        <f>SUM(L3:L6)</f>
        <v>839367.4138919613</v>
      </c>
    </row>
    <row r="8" spans="5:10" ht="15">
      <c r="E8" s="1"/>
      <c r="F8" s="1"/>
      <c r="G8" s="1"/>
      <c r="H8" s="1"/>
      <c r="I8" s="1"/>
      <c r="J8" s="1"/>
    </row>
    <row r="9" spans="1:10" ht="15">
      <c r="A9" s="6" t="s">
        <v>8</v>
      </c>
      <c r="E9" s="1"/>
      <c r="F9" s="1"/>
      <c r="G9" s="1"/>
      <c r="H9" s="1"/>
      <c r="I9" s="1"/>
      <c r="J9" s="1"/>
    </row>
    <row r="10" spans="1:12" ht="17.25">
      <c r="A10" t="s">
        <v>9</v>
      </c>
      <c r="B10" s="1">
        <v>88931.75</v>
      </c>
      <c r="C10" s="3">
        <f>-B10*$C$2</f>
        <v>-3726.2403249999998</v>
      </c>
      <c r="D10" s="3">
        <f>B10+C10</f>
        <v>85205.509675</v>
      </c>
      <c r="E10" s="1">
        <v>-2505.98</v>
      </c>
      <c r="F10" s="19" t="s">
        <v>50</v>
      </c>
      <c r="G10" s="1">
        <f>D10+E10</f>
        <v>82699.529675</v>
      </c>
      <c r="H10" s="1">
        <v>-1670.11</v>
      </c>
      <c r="I10" s="20">
        <v>1</v>
      </c>
      <c r="J10" s="1">
        <f>G10+H10</f>
        <v>81029.419675</v>
      </c>
      <c r="L10" s="24">
        <f>I10+J10</f>
        <v>81030.419675</v>
      </c>
    </row>
    <row r="11" spans="1:12" ht="17.25">
      <c r="A11" s="31" t="s">
        <v>60</v>
      </c>
      <c r="C11" s="3"/>
      <c r="D11" s="3"/>
      <c r="E11" s="1"/>
      <c r="F11" s="19"/>
      <c r="G11" s="1"/>
      <c r="H11" s="1">
        <f>'Fuel Costs'!G21</f>
        <v>478.21292252413696</v>
      </c>
      <c r="I11" s="20">
        <v>3</v>
      </c>
      <c r="J11" s="1">
        <f>G11+H11</f>
        <v>478.21292252413696</v>
      </c>
      <c r="L11" s="24">
        <f>I11+J11</f>
        <v>481.21292252413696</v>
      </c>
    </row>
    <row r="12" spans="1:12" ht="15">
      <c r="A12" t="s">
        <v>10</v>
      </c>
      <c r="B12" s="1">
        <v>0</v>
      </c>
      <c r="C12" s="3">
        <f aca="true" t="shared" si="0" ref="C12:C37">-B12*$C$2</f>
        <v>0</v>
      </c>
      <c r="D12" s="3">
        <f aca="true" t="shared" si="1" ref="D12:D37">B12+C12</f>
        <v>0</v>
      </c>
      <c r="E12" s="1"/>
      <c r="F12" s="1"/>
      <c r="G12" s="1">
        <f aca="true" t="shared" si="2" ref="G12:G37">D12+E12</f>
        <v>0</v>
      </c>
      <c r="H12" s="1"/>
      <c r="I12" s="8"/>
      <c r="J12" s="1">
        <f aca="true" t="shared" si="3" ref="J12:L37">G12+H12</f>
        <v>0</v>
      </c>
      <c r="L12" s="24">
        <f t="shared" si="3"/>
        <v>0</v>
      </c>
    </row>
    <row r="13" spans="1:12" ht="15">
      <c r="A13" t="s">
        <v>11</v>
      </c>
      <c r="B13" s="1">
        <v>237.16</v>
      </c>
      <c r="C13" s="3">
        <f t="shared" si="0"/>
        <v>-9.937004</v>
      </c>
      <c r="D13" s="3">
        <f t="shared" si="1"/>
        <v>227.222996</v>
      </c>
      <c r="E13" s="1"/>
      <c r="F13" s="1"/>
      <c r="G13" s="1">
        <f t="shared" si="2"/>
        <v>227.222996</v>
      </c>
      <c r="H13" s="1"/>
      <c r="I13" s="8"/>
      <c r="J13" s="1">
        <f t="shared" si="3"/>
        <v>227.222996</v>
      </c>
      <c r="L13" s="24">
        <f t="shared" si="3"/>
        <v>227.222996</v>
      </c>
    </row>
    <row r="14" spans="1:12" ht="15">
      <c r="A14" t="s">
        <v>12</v>
      </c>
      <c r="B14" s="1">
        <v>10364.25</v>
      </c>
      <c r="C14" s="3">
        <f t="shared" si="0"/>
        <v>-434.262075</v>
      </c>
      <c r="D14" s="3">
        <f t="shared" si="1"/>
        <v>9929.987925</v>
      </c>
      <c r="E14" s="1"/>
      <c r="F14" s="1"/>
      <c r="G14" s="1">
        <f t="shared" si="2"/>
        <v>9929.987925</v>
      </c>
      <c r="H14" s="1">
        <v>7000</v>
      </c>
      <c r="I14" s="8"/>
      <c r="J14" s="1">
        <f t="shared" si="3"/>
        <v>16929.987925</v>
      </c>
      <c r="L14" s="24">
        <f t="shared" si="3"/>
        <v>16929.987925</v>
      </c>
    </row>
    <row r="15" spans="1:12" ht="15">
      <c r="A15" t="s">
        <v>91</v>
      </c>
      <c r="B15" s="1">
        <v>0</v>
      </c>
      <c r="C15" s="3">
        <f t="shared" si="0"/>
        <v>0</v>
      </c>
      <c r="D15" s="3">
        <f t="shared" si="1"/>
        <v>0</v>
      </c>
      <c r="E15" s="1"/>
      <c r="F15" s="1"/>
      <c r="G15" s="1">
        <f t="shared" si="2"/>
        <v>0</v>
      </c>
      <c r="H15" s="1"/>
      <c r="I15" s="8"/>
      <c r="J15" s="1">
        <f t="shared" si="3"/>
        <v>0</v>
      </c>
      <c r="L15" s="24">
        <f t="shared" si="3"/>
        <v>0</v>
      </c>
    </row>
    <row r="16" spans="1:12" ht="15">
      <c r="A16" t="s">
        <v>13</v>
      </c>
      <c r="B16" s="1">
        <v>25416.68</v>
      </c>
      <c r="C16" s="3">
        <f t="shared" si="0"/>
        <v>-1064.958892</v>
      </c>
      <c r="D16" s="3">
        <f t="shared" si="1"/>
        <v>24351.721108</v>
      </c>
      <c r="E16" s="1"/>
      <c r="F16" s="1"/>
      <c r="G16" s="1">
        <f t="shared" si="2"/>
        <v>24351.721108</v>
      </c>
      <c r="H16" s="1"/>
      <c r="I16" s="8"/>
      <c r="J16" s="1">
        <f t="shared" si="3"/>
        <v>24351.721108</v>
      </c>
      <c r="L16" s="24">
        <f t="shared" si="3"/>
        <v>24351.721108</v>
      </c>
    </row>
    <row r="17" spans="1:12" ht="15">
      <c r="A17" t="s">
        <v>14</v>
      </c>
      <c r="B17" s="1">
        <v>5791.88</v>
      </c>
      <c r="C17" s="3">
        <f t="shared" si="0"/>
        <v>-242.679772</v>
      </c>
      <c r="D17" s="3">
        <f t="shared" si="1"/>
        <v>5549.200228</v>
      </c>
      <c r="E17" s="1"/>
      <c r="F17" s="1"/>
      <c r="G17" s="1">
        <f t="shared" si="2"/>
        <v>5549.200228</v>
      </c>
      <c r="H17" s="1"/>
      <c r="I17" s="8"/>
      <c r="J17" s="1">
        <f t="shared" si="3"/>
        <v>5549.200228</v>
      </c>
      <c r="L17" s="24">
        <f t="shared" si="3"/>
        <v>5549.200228</v>
      </c>
    </row>
    <row r="18" spans="1:12" ht="15">
      <c r="A18" t="s">
        <v>15</v>
      </c>
      <c r="B18" s="1">
        <v>97.37</v>
      </c>
      <c r="C18" s="3">
        <f t="shared" si="0"/>
        <v>-4.079803</v>
      </c>
      <c r="D18" s="3">
        <f t="shared" si="1"/>
        <v>93.290197</v>
      </c>
      <c r="E18" s="1"/>
      <c r="F18" s="1"/>
      <c r="G18" s="1">
        <f t="shared" si="2"/>
        <v>93.290197</v>
      </c>
      <c r="H18" s="1"/>
      <c r="I18" s="8"/>
      <c r="J18" s="1">
        <f t="shared" si="3"/>
        <v>93.290197</v>
      </c>
      <c r="L18" s="24">
        <f t="shared" si="3"/>
        <v>93.290197</v>
      </c>
    </row>
    <row r="19" spans="1:12" ht="17.25">
      <c r="A19" t="s">
        <v>16</v>
      </c>
      <c r="B19" s="1">
        <v>45468</v>
      </c>
      <c r="C19" s="3">
        <f t="shared" si="0"/>
        <v>-1905.1092</v>
      </c>
      <c r="D19" s="3">
        <f t="shared" si="1"/>
        <v>43562.8908</v>
      </c>
      <c r="E19" s="1">
        <v>-3133.4</v>
      </c>
      <c r="F19" s="19" t="s">
        <v>51</v>
      </c>
      <c r="G19" s="1">
        <f t="shared" si="2"/>
        <v>40429.4908</v>
      </c>
      <c r="H19" s="1"/>
      <c r="I19" s="8"/>
      <c r="J19" s="1">
        <f t="shared" si="3"/>
        <v>40429.4908</v>
      </c>
      <c r="L19" s="24">
        <f t="shared" si="3"/>
        <v>40429.4908</v>
      </c>
    </row>
    <row r="20" spans="1:12" ht="17.25">
      <c r="A20" s="31" t="s">
        <v>61</v>
      </c>
      <c r="C20" s="3"/>
      <c r="D20" s="3"/>
      <c r="E20" s="1">
        <f>9000/5</f>
        <v>1800</v>
      </c>
      <c r="F20" s="19" t="s">
        <v>52</v>
      </c>
      <c r="G20" s="1">
        <f>E20</f>
        <v>1800</v>
      </c>
      <c r="H20" s="1"/>
      <c r="I20" s="8"/>
      <c r="J20" s="1">
        <f t="shared" si="3"/>
        <v>1800</v>
      </c>
      <c r="L20" s="24">
        <f t="shared" si="3"/>
        <v>1800</v>
      </c>
    </row>
    <row r="21" spans="1:12" ht="15">
      <c r="A21" t="s">
        <v>17</v>
      </c>
      <c r="B21" s="1">
        <v>969.89</v>
      </c>
      <c r="C21" s="3">
        <f t="shared" si="0"/>
        <v>-40.638391</v>
      </c>
      <c r="D21" s="3">
        <f t="shared" si="1"/>
        <v>929.251609</v>
      </c>
      <c r="E21" s="1"/>
      <c r="F21" s="1"/>
      <c r="G21" s="1">
        <f t="shared" si="2"/>
        <v>929.251609</v>
      </c>
      <c r="H21" s="1"/>
      <c r="I21" s="8"/>
      <c r="J21" s="1">
        <f t="shared" si="3"/>
        <v>929.251609</v>
      </c>
      <c r="L21" s="24">
        <f t="shared" si="3"/>
        <v>929.251609</v>
      </c>
    </row>
    <row r="22" spans="1:12" ht="15">
      <c r="A22" t="s">
        <v>18</v>
      </c>
      <c r="B22" s="1">
        <v>17197.08</v>
      </c>
      <c r="C22" s="3">
        <f t="shared" si="0"/>
        <v>-720.5576520000001</v>
      </c>
      <c r="D22" s="3">
        <f t="shared" si="1"/>
        <v>16476.522348000002</v>
      </c>
      <c r="E22" s="1"/>
      <c r="F22" s="1"/>
      <c r="G22" s="1">
        <f t="shared" si="2"/>
        <v>16476.522348000002</v>
      </c>
      <c r="H22" s="1">
        <v>7000</v>
      </c>
      <c r="I22" s="8"/>
      <c r="J22" s="1">
        <f t="shared" si="3"/>
        <v>23476.522348000002</v>
      </c>
      <c r="L22" s="24">
        <f t="shared" si="3"/>
        <v>23476.522348000002</v>
      </c>
    </row>
    <row r="23" spans="1:12" ht="15">
      <c r="A23" t="s">
        <v>19</v>
      </c>
      <c r="B23" s="1">
        <v>3115.7</v>
      </c>
      <c r="C23" s="3">
        <f t="shared" si="0"/>
        <v>-130.54783</v>
      </c>
      <c r="D23" s="3">
        <f t="shared" si="1"/>
        <v>2985.15217</v>
      </c>
      <c r="E23" s="1"/>
      <c r="F23" s="1"/>
      <c r="G23" s="1">
        <f t="shared" si="2"/>
        <v>2985.15217</v>
      </c>
      <c r="H23" s="1"/>
      <c r="I23" s="8"/>
      <c r="J23" s="1">
        <f t="shared" si="3"/>
        <v>2985.15217</v>
      </c>
      <c r="L23" s="24">
        <f t="shared" si="3"/>
        <v>2985.15217</v>
      </c>
    </row>
    <row r="24" spans="1:12" ht="17.25">
      <c r="A24" t="s">
        <v>30</v>
      </c>
      <c r="B24" s="1">
        <v>241.17</v>
      </c>
      <c r="C24" s="3">
        <f t="shared" si="0"/>
        <v>-10.105023</v>
      </c>
      <c r="D24" s="3">
        <f t="shared" si="1"/>
        <v>231.064977</v>
      </c>
      <c r="E24" s="1">
        <v>-2325</v>
      </c>
      <c r="F24" s="19" t="s">
        <v>53</v>
      </c>
      <c r="G24" s="1">
        <f t="shared" si="2"/>
        <v>-2093.935023</v>
      </c>
      <c r="H24" s="1"/>
      <c r="I24" s="8"/>
      <c r="J24" s="1">
        <f t="shared" si="3"/>
        <v>-2093.935023</v>
      </c>
      <c r="L24" s="24">
        <f t="shared" si="3"/>
        <v>-2093.935023</v>
      </c>
    </row>
    <row r="25" spans="1:12" ht="15">
      <c r="A25" t="s">
        <v>20</v>
      </c>
      <c r="B25" s="1">
        <v>11152.96</v>
      </c>
      <c r="C25" s="3">
        <f t="shared" si="0"/>
        <v>-467.30902399999997</v>
      </c>
      <c r="D25" s="3">
        <f t="shared" si="1"/>
        <v>10685.650975999999</v>
      </c>
      <c r="E25" s="1"/>
      <c r="F25" s="1"/>
      <c r="G25" s="1">
        <f t="shared" si="2"/>
        <v>10685.650975999999</v>
      </c>
      <c r="H25" s="1">
        <v>5000</v>
      </c>
      <c r="I25" s="8"/>
      <c r="J25" s="1">
        <f t="shared" si="3"/>
        <v>15685.650975999999</v>
      </c>
      <c r="L25" s="24">
        <f t="shared" si="3"/>
        <v>15685.650975999999</v>
      </c>
    </row>
    <row r="26" spans="1:12" ht="17.25">
      <c r="A26" t="s">
        <v>21</v>
      </c>
      <c r="B26" s="1">
        <v>19421.5</v>
      </c>
      <c r="C26" s="3">
        <f t="shared" si="0"/>
        <v>-813.76085</v>
      </c>
      <c r="D26" s="3">
        <f t="shared" si="1"/>
        <v>18607.73915</v>
      </c>
      <c r="E26" s="1"/>
      <c r="F26" s="19"/>
      <c r="G26" s="1">
        <f t="shared" si="2"/>
        <v>18607.73915</v>
      </c>
      <c r="H26" s="1">
        <v>6500</v>
      </c>
      <c r="I26" s="8"/>
      <c r="J26" s="1">
        <f t="shared" si="3"/>
        <v>25107.73915</v>
      </c>
      <c r="L26" s="24">
        <f t="shared" si="3"/>
        <v>25107.73915</v>
      </c>
    </row>
    <row r="27" spans="1:12" ht="17.25">
      <c r="A27" t="s">
        <v>22</v>
      </c>
      <c r="B27" s="1">
        <v>288425.27</v>
      </c>
      <c r="C27" s="3">
        <f t="shared" si="0"/>
        <v>-12085.018813</v>
      </c>
      <c r="D27" s="3">
        <f t="shared" si="1"/>
        <v>276340.251187</v>
      </c>
      <c r="E27" s="1"/>
      <c r="F27" s="1"/>
      <c r="G27" s="1">
        <f t="shared" si="2"/>
        <v>276340.251187</v>
      </c>
      <c r="H27" s="1">
        <v>22785</v>
      </c>
      <c r="I27" s="20">
        <v>2</v>
      </c>
      <c r="J27" s="1">
        <f t="shared" si="3"/>
        <v>299125.251187</v>
      </c>
      <c r="L27" s="24">
        <f t="shared" si="3"/>
        <v>299127.251187</v>
      </c>
    </row>
    <row r="28" spans="1:12" ht="15">
      <c r="A28" t="s">
        <v>23</v>
      </c>
      <c r="B28" s="1">
        <v>7906.6</v>
      </c>
      <c r="C28" s="3">
        <f t="shared" si="0"/>
        <v>-331.28654</v>
      </c>
      <c r="D28" s="3">
        <f t="shared" si="1"/>
        <v>7575.31346</v>
      </c>
      <c r="E28" s="1"/>
      <c r="F28" s="1"/>
      <c r="G28" s="1">
        <f t="shared" si="2"/>
        <v>7575.31346</v>
      </c>
      <c r="H28" s="1"/>
      <c r="I28" s="1"/>
      <c r="J28" s="1">
        <f t="shared" si="3"/>
        <v>7575.31346</v>
      </c>
      <c r="L28" s="24">
        <f t="shared" si="3"/>
        <v>7575.31346</v>
      </c>
    </row>
    <row r="29" spans="1:12" ht="15">
      <c r="A29" t="s">
        <v>24</v>
      </c>
      <c r="B29" s="1">
        <v>65625.61</v>
      </c>
      <c r="C29" s="3">
        <f t="shared" si="0"/>
        <v>-2749.713059</v>
      </c>
      <c r="D29" s="3">
        <f t="shared" si="1"/>
        <v>62875.896941</v>
      </c>
      <c r="E29" s="1"/>
      <c r="F29" s="1"/>
      <c r="G29" s="1">
        <f t="shared" si="2"/>
        <v>62875.896941</v>
      </c>
      <c r="H29" s="1"/>
      <c r="I29" s="1"/>
      <c r="J29" s="1">
        <f t="shared" si="3"/>
        <v>62875.896941</v>
      </c>
      <c r="L29" s="24">
        <f t="shared" si="3"/>
        <v>62875.896941</v>
      </c>
    </row>
    <row r="30" spans="1:12" ht="17.25">
      <c r="A30" t="s">
        <v>25</v>
      </c>
      <c r="B30" s="1">
        <v>102103.53</v>
      </c>
      <c r="C30" s="3">
        <f t="shared" si="0"/>
        <v>-4278.137907</v>
      </c>
      <c r="D30" s="3">
        <f t="shared" si="1"/>
        <v>97825.392093</v>
      </c>
      <c r="E30" s="1">
        <v>-9000</v>
      </c>
      <c r="F30" s="19" t="s">
        <v>54</v>
      </c>
      <c r="G30" s="1">
        <f t="shared" si="2"/>
        <v>88825.392093</v>
      </c>
      <c r="H30" s="1">
        <v>40000</v>
      </c>
      <c r="I30" s="1"/>
      <c r="J30" s="1">
        <f t="shared" si="3"/>
        <v>128825.392093</v>
      </c>
      <c r="L30" s="24">
        <f t="shared" si="3"/>
        <v>128825.392093</v>
      </c>
    </row>
    <row r="31" spans="1:12" ht="15">
      <c r="A31" t="s">
        <v>87</v>
      </c>
      <c r="B31" s="1">
        <v>11939.14</v>
      </c>
      <c r="C31" s="3">
        <f t="shared" si="0"/>
        <v>-500.249966</v>
      </c>
      <c r="D31" s="3">
        <f t="shared" si="1"/>
        <v>11438.890034</v>
      </c>
      <c r="E31" s="1"/>
      <c r="F31" s="1"/>
      <c r="G31" s="1">
        <f t="shared" si="2"/>
        <v>11438.890034</v>
      </c>
      <c r="H31" s="1"/>
      <c r="I31" s="1"/>
      <c r="J31" s="1">
        <f t="shared" si="3"/>
        <v>11438.890034</v>
      </c>
      <c r="L31" s="24">
        <f t="shared" si="3"/>
        <v>11438.890034</v>
      </c>
    </row>
    <row r="32" spans="1:12" ht="15">
      <c r="A32" t="s">
        <v>26</v>
      </c>
      <c r="B32" s="1">
        <v>320.12</v>
      </c>
      <c r="C32" s="3">
        <f t="shared" si="0"/>
        <v>-13.413028</v>
      </c>
      <c r="D32" s="3">
        <f t="shared" si="1"/>
        <v>306.706972</v>
      </c>
      <c r="E32" s="1"/>
      <c r="F32" s="1"/>
      <c r="G32" s="1">
        <f t="shared" si="2"/>
        <v>306.706972</v>
      </c>
      <c r="H32" s="1"/>
      <c r="I32" s="1"/>
      <c r="J32" s="1">
        <f t="shared" si="3"/>
        <v>306.706972</v>
      </c>
      <c r="L32" s="24">
        <f t="shared" si="3"/>
        <v>306.706972</v>
      </c>
    </row>
    <row r="33" spans="1:12" ht="15">
      <c r="A33" t="s">
        <v>27</v>
      </c>
      <c r="B33" s="1">
        <v>14854.26</v>
      </c>
      <c r="C33" s="3">
        <f t="shared" si="0"/>
        <v>-622.393494</v>
      </c>
      <c r="D33" s="3">
        <f t="shared" si="1"/>
        <v>14231.866506</v>
      </c>
      <c r="E33" s="1"/>
      <c r="F33" s="1"/>
      <c r="G33" s="1">
        <f t="shared" si="2"/>
        <v>14231.866506</v>
      </c>
      <c r="H33" s="1"/>
      <c r="I33" s="1"/>
      <c r="J33" s="1">
        <f t="shared" si="3"/>
        <v>14231.866506</v>
      </c>
      <c r="L33" s="24">
        <f t="shared" si="3"/>
        <v>14231.866506</v>
      </c>
    </row>
    <row r="34" spans="1:12" ht="15">
      <c r="A34" t="s">
        <v>88</v>
      </c>
      <c r="B34" s="1">
        <v>4670.58</v>
      </c>
      <c r="C34" s="3">
        <f t="shared" si="0"/>
        <v>-195.697302</v>
      </c>
      <c r="D34" s="3">
        <f t="shared" si="1"/>
        <v>4474.882698</v>
      </c>
      <c r="E34" s="1"/>
      <c r="F34" s="1"/>
      <c r="G34" s="1">
        <f t="shared" si="2"/>
        <v>4474.882698</v>
      </c>
      <c r="H34" s="1"/>
      <c r="I34" s="1"/>
      <c r="J34" s="1">
        <f t="shared" si="3"/>
        <v>4474.882698</v>
      </c>
      <c r="L34" s="24">
        <f t="shared" si="3"/>
        <v>4474.882698</v>
      </c>
    </row>
    <row r="35" spans="1:12" ht="15">
      <c r="A35" t="s">
        <v>28</v>
      </c>
      <c r="B35" s="1">
        <v>1664.2</v>
      </c>
      <c r="C35" s="3">
        <f t="shared" si="0"/>
        <v>-69.72998</v>
      </c>
      <c r="D35" s="3">
        <f t="shared" si="1"/>
        <v>1594.47002</v>
      </c>
      <c r="E35" s="1"/>
      <c r="F35" s="1"/>
      <c r="G35" s="1">
        <f t="shared" si="2"/>
        <v>1594.47002</v>
      </c>
      <c r="H35" s="1"/>
      <c r="I35" s="1"/>
      <c r="J35" s="1">
        <f t="shared" si="3"/>
        <v>1594.47002</v>
      </c>
      <c r="L35" s="24">
        <f t="shared" si="3"/>
        <v>1594.47002</v>
      </c>
    </row>
    <row r="36" spans="1:12" ht="15">
      <c r="A36" t="s">
        <v>29</v>
      </c>
      <c r="B36" s="2">
        <v>5319.7</v>
      </c>
      <c r="C36" s="5">
        <f t="shared" si="0"/>
        <v>-222.89543</v>
      </c>
      <c r="D36" s="5">
        <f t="shared" si="1"/>
        <v>5096.80457</v>
      </c>
      <c r="E36" s="2"/>
      <c r="F36" s="2"/>
      <c r="G36" s="2">
        <f t="shared" si="2"/>
        <v>5096.80457</v>
      </c>
      <c r="H36" s="2"/>
      <c r="I36" s="2"/>
      <c r="J36" s="2">
        <f t="shared" si="3"/>
        <v>5096.80457</v>
      </c>
      <c r="L36" s="29">
        <f t="shared" si="3"/>
        <v>5096.80457</v>
      </c>
    </row>
    <row r="37" spans="1:12" s="21" customFormat="1" ht="15">
      <c r="A37" s="21" t="s">
        <v>90</v>
      </c>
      <c r="B37" s="37">
        <v>8440.97</v>
      </c>
      <c r="C37" s="51">
        <f t="shared" si="0"/>
        <v>-353.67664299999996</v>
      </c>
      <c r="D37" s="51">
        <f t="shared" si="1"/>
        <v>8087.293357</v>
      </c>
      <c r="E37" s="37"/>
      <c r="F37" s="37"/>
      <c r="G37" s="37">
        <f t="shared" si="2"/>
        <v>8087.293357</v>
      </c>
      <c r="H37" s="37"/>
      <c r="I37" s="37"/>
      <c r="J37" s="37">
        <f t="shared" si="3"/>
        <v>8087.293357</v>
      </c>
      <c r="L37" s="37">
        <f t="shared" si="3"/>
        <v>8087.293357</v>
      </c>
    </row>
    <row r="38" spans="1:12" ht="15">
      <c r="A38" t="s">
        <v>31</v>
      </c>
      <c r="B38" s="1">
        <f>SUM(B10:B37)</f>
        <v>739675.3699999999</v>
      </c>
      <c r="D38" s="3">
        <f>SUM(D10:D37)</f>
        <v>708682.971997</v>
      </c>
      <c r="E38" s="1"/>
      <c r="F38" s="1"/>
      <c r="G38" s="1">
        <f>SUM(G10:G37)</f>
        <v>693518.591997</v>
      </c>
      <c r="H38" s="1"/>
      <c r="I38" s="1"/>
      <c r="J38" s="1">
        <f>SUM(J10:J37)</f>
        <v>780611.6949195241</v>
      </c>
      <c r="L38" s="24">
        <f>SUM(L10:L37)</f>
        <v>780617.6949195241</v>
      </c>
    </row>
    <row r="39" spans="5:12" ht="15">
      <c r="E39" s="1"/>
      <c r="F39" s="1"/>
      <c r="G39" s="1"/>
      <c r="H39" s="1"/>
      <c r="I39" s="1"/>
      <c r="J39" s="1"/>
      <c r="L39" s="24"/>
    </row>
    <row r="40" spans="1:12" ht="15.75" thickBot="1">
      <c r="A40" t="s">
        <v>32</v>
      </c>
      <c r="B40" s="7">
        <f>B7-B38</f>
        <v>38997.40000000014</v>
      </c>
      <c r="C40" s="1"/>
      <c r="D40" s="7">
        <f>D7-D38</f>
        <v>8427.178002999979</v>
      </c>
      <c r="E40" s="1"/>
      <c r="F40" s="1"/>
      <c r="G40" s="7">
        <f>G7-G38</f>
        <v>23591.558002999984</v>
      </c>
      <c r="H40" s="1"/>
      <c r="I40" s="1"/>
      <c r="J40" s="7">
        <f>J7-J38</f>
        <v>-63501.54491952411</v>
      </c>
      <c r="K40" s="1"/>
      <c r="L40" s="7">
        <f>L7-L38</f>
        <v>58749.7189724372</v>
      </c>
    </row>
    <row r="41" ht="15.75" thickTop="1">
      <c r="L41" s="21"/>
    </row>
    <row r="42" spans="1:12" ht="15">
      <c r="A42" t="s">
        <v>38</v>
      </c>
      <c r="B42" s="4">
        <f>B38/B7</f>
        <v>0.9499181151538147</v>
      </c>
      <c r="C42" s="4"/>
      <c r="D42" s="4">
        <f>D38/D7</f>
        <v>0.9882484190148473</v>
      </c>
      <c r="E42" s="4"/>
      <c r="F42" s="4"/>
      <c r="G42" s="4">
        <f>G38/G7</f>
        <v>0.9671019047729279</v>
      </c>
      <c r="H42" s="4"/>
      <c r="I42" s="4"/>
      <c r="J42" s="4">
        <f>J38/J7</f>
        <v>1.0885520096452743</v>
      </c>
      <c r="K42" s="1"/>
      <c r="L42" s="4">
        <f>L38/L7</f>
        <v>0.9300071482403305</v>
      </c>
    </row>
    <row r="44" spans="1:10" ht="15">
      <c r="A44" s="14" t="s">
        <v>37</v>
      </c>
      <c r="B44" s="14"/>
      <c r="C44" s="14"/>
      <c r="D44" s="14"/>
      <c r="E44" s="14"/>
      <c r="F44" s="14"/>
      <c r="G44" s="14"/>
      <c r="H44" s="14"/>
      <c r="I44" s="14"/>
      <c r="J44" s="14">
        <f>J38/93%-J7</f>
        <v>122257.26389196131</v>
      </c>
    </row>
    <row r="46" spans="2:7" s="21" customFormat="1" ht="15">
      <c r="B46" s="56" t="s">
        <v>62</v>
      </c>
      <c r="C46" s="56"/>
      <c r="E46" s="57" t="s">
        <v>63</v>
      </c>
      <c r="F46" s="57"/>
      <c r="G46" s="57"/>
    </row>
    <row r="47" spans="1:10" ht="17.25">
      <c r="A47" s="17" t="s">
        <v>51</v>
      </c>
      <c r="B47" s="58" t="s">
        <v>64</v>
      </c>
      <c r="C47" s="58"/>
      <c r="D47" s="17" t="s">
        <v>52</v>
      </c>
      <c r="E47" s="58" t="s">
        <v>68</v>
      </c>
      <c r="F47" s="58"/>
      <c r="G47" s="58"/>
      <c r="H47" s="58"/>
      <c r="I47" s="58"/>
      <c r="J47" s="58"/>
    </row>
    <row r="48" spans="1:10" ht="17.25">
      <c r="A48" s="17" t="s">
        <v>50</v>
      </c>
      <c r="B48" s="58" t="s">
        <v>65</v>
      </c>
      <c r="C48" s="58"/>
      <c r="D48" s="17" t="s">
        <v>53</v>
      </c>
      <c r="E48" s="58" t="s">
        <v>71</v>
      </c>
      <c r="F48" s="58"/>
      <c r="G48" s="58"/>
      <c r="H48" s="58"/>
      <c r="I48" s="58"/>
      <c r="J48" s="58"/>
    </row>
    <row r="49" spans="1:10" ht="17.25">
      <c r="A49" s="18">
        <v>1</v>
      </c>
      <c r="B49" s="58" t="s">
        <v>66</v>
      </c>
      <c r="C49" s="58"/>
      <c r="D49" s="17" t="s">
        <v>54</v>
      </c>
      <c r="E49" s="58" t="s">
        <v>69</v>
      </c>
      <c r="F49" s="58"/>
      <c r="G49" s="58"/>
      <c r="H49" s="58"/>
      <c r="I49" s="58"/>
      <c r="J49" s="58"/>
    </row>
    <row r="50" spans="1:10" ht="17.25">
      <c r="A50" s="18">
        <v>2</v>
      </c>
      <c r="B50" s="58" t="s">
        <v>67</v>
      </c>
      <c r="C50" s="58"/>
      <c r="D50" s="18">
        <v>3</v>
      </c>
      <c r="E50" s="58" t="s">
        <v>70</v>
      </c>
      <c r="F50" s="58"/>
      <c r="G50" s="58"/>
      <c r="H50" s="58"/>
      <c r="I50" s="58"/>
      <c r="J50" s="58"/>
    </row>
    <row r="51" spans="3:5" ht="15">
      <c r="C51" s="16"/>
      <c r="D51" s="16"/>
      <c r="E51" s="16"/>
    </row>
    <row r="52" ht="17.25">
      <c r="B52" s="17"/>
    </row>
  </sheetData>
  <sheetProtection/>
  <mergeCells count="10">
    <mergeCell ref="B50:C50"/>
    <mergeCell ref="E47:J47"/>
    <mergeCell ref="E48:J48"/>
    <mergeCell ref="E49:J49"/>
    <mergeCell ref="E50:J50"/>
    <mergeCell ref="B46:C46"/>
    <mergeCell ref="E46:G46"/>
    <mergeCell ref="B47:C47"/>
    <mergeCell ref="B48:C48"/>
    <mergeCell ref="B49:C49"/>
  </mergeCells>
  <printOptions/>
  <pageMargins left="0.7" right="0.7" top="1" bottom="0.75" header="0.3" footer="0.3"/>
  <pageSetup fitToHeight="1" fitToWidth="1" horizontalDpi="600" verticalDpi="600" orientation="landscape" scale="64" r:id="rId1"/>
  <headerFooter>
    <oddHeader>&amp;C&amp;"-,Bold"BML Investments LLC&amp;"-,Regular"
dba Wenatchee Valley Shuttle
Staff ProForma GRC TC-132127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4">
      <selection activeCell="B19" sqref="B19"/>
    </sheetView>
  </sheetViews>
  <sheetFormatPr defaultColWidth="9.140625" defaultRowHeight="15"/>
  <cols>
    <col min="1" max="1" width="7.421875" style="0" bestFit="1" customWidth="1"/>
    <col min="2" max="2" width="11.57421875" style="0" bestFit="1" customWidth="1"/>
    <col min="3" max="3" width="10.57421875" style="0" bestFit="1" customWidth="1"/>
    <col min="4" max="4" width="11.7109375" style="0" bestFit="1" customWidth="1"/>
    <col min="7" max="8" width="18.140625" style="0" bestFit="1" customWidth="1"/>
  </cols>
  <sheetData>
    <row r="1" spans="1:7" ht="15">
      <c r="A1" s="25" t="s">
        <v>55</v>
      </c>
      <c r="B1" s="26" t="s">
        <v>56</v>
      </c>
      <c r="C1" s="27" t="s">
        <v>57</v>
      </c>
      <c r="D1" s="26" t="s">
        <v>58</v>
      </c>
      <c r="E1" s="21"/>
      <c r="F1" s="21"/>
      <c r="G1" s="21"/>
    </row>
    <row r="2" spans="1:7" ht="15">
      <c r="A2" s="22">
        <v>42370</v>
      </c>
      <c r="B2" s="23">
        <v>8049.79</v>
      </c>
      <c r="C2" s="24">
        <v>2357</v>
      </c>
      <c r="D2" s="23">
        <f>B2/C2</f>
        <v>3.415269410267289</v>
      </c>
      <c r="E2" s="21"/>
      <c r="F2" s="21"/>
      <c r="G2" s="21"/>
    </row>
    <row r="3" spans="1:7" ht="15">
      <c r="A3" s="22">
        <v>42401</v>
      </c>
      <c r="B3" s="23">
        <v>5948.33</v>
      </c>
      <c r="C3" s="24">
        <v>1757</v>
      </c>
      <c r="D3" s="23">
        <f aca="true" t="shared" si="0" ref="D3:D13">B3/C3</f>
        <v>3.385503699487763</v>
      </c>
      <c r="E3" s="21"/>
      <c r="F3" s="21"/>
      <c r="G3" s="21"/>
    </row>
    <row r="4" spans="1:7" ht="15">
      <c r="A4" s="22">
        <v>42430</v>
      </c>
      <c r="B4" s="23">
        <v>4706.01</v>
      </c>
      <c r="C4" s="24">
        <v>1392</v>
      </c>
      <c r="D4" s="23">
        <f t="shared" si="0"/>
        <v>3.3807543103448277</v>
      </c>
      <c r="E4" s="21"/>
      <c r="F4" s="21"/>
      <c r="G4" s="21"/>
    </row>
    <row r="5" spans="1:7" ht="15">
      <c r="A5" s="22">
        <v>42461</v>
      </c>
      <c r="B5" s="23">
        <v>4675.78</v>
      </c>
      <c r="C5" s="24">
        <v>1288</v>
      </c>
      <c r="D5" s="23">
        <f t="shared" si="0"/>
        <v>3.6302639751552794</v>
      </c>
      <c r="E5" s="21"/>
      <c r="F5" s="21"/>
      <c r="G5" s="21"/>
    </row>
    <row r="6" spans="1:6" ht="15">
      <c r="A6" s="22">
        <v>42491</v>
      </c>
      <c r="B6" s="23">
        <v>6174.81</v>
      </c>
      <c r="C6" s="24">
        <v>1842</v>
      </c>
      <c r="D6" s="23">
        <f t="shared" si="0"/>
        <v>3.3522312703583066</v>
      </c>
      <c r="E6" s="21"/>
      <c r="F6" s="21"/>
    </row>
    <row r="7" spans="1:7" ht="15">
      <c r="A7" s="22">
        <v>42522</v>
      </c>
      <c r="B7" s="23">
        <v>7170.27</v>
      </c>
      <c r="C7" s="24">
        <v>2128</v>
      </c>
      <c r="D7" s="23">
        <f t="shared" si="0"/>
        <v>3.3694877819548874</v>
      </c>
      <c r="E7" s="21"/>
      <c r="F7" s="21"/>
      <c r="G7" s="21"/>
    </row>
    <row r="8" spans="1:7" ht="15">
      <c r="A8" s="22">
        <v>42552</v>
      </c>
      <c r="B8" s="23">
        <v>7399.39</v>
      </c>
      <c r="C8" s="24">
        <v>2181</v>
      </c>
      <c r="D8" s="23">
        <f t="shared" si="0"/>
        <v>3.392659330582302</v>
      </c>
      <c r="E8" s="21"/>
      <c r="F8" s="21"/>
      <c r="G8" s="21"/>
    </row>
    <row r="9" spans="1:7" ht="15">
      <c r="A9" s="22">
        <v>42583</v>
      </c>
      <c r="B9" s="23">
        <v>9730.18</v>
      </c>
      <c r="C9" s="24">
        <v>2876</v>
      </c>
      <c r="D9" s="23">
        <f t="shared" si="0"/>
        <v>3.3832336578581366</v>
      </c>
      <c r="E9" s="21"/>
      <c r="F9" s="21"/>
      <c r="G9" s="21"/>
    </row>
    <row r="10" spans="1:7" ht="15">
      <c r="A10" s="22">
        <v>42614</v>
      </c>
      <c r="B10" s="23">
        <v>9249.9</v>
      </c>
      <c r="C10" s="24">
        <v>2744</v>
      </c>
      <c r="D10" s="23">
        <f t="shared" si="0"/>
        <v>3.370954810495627</v>
      </c>
      <c r="E10" s="21"/>
      <c r="F10" s="21"/>
      <c r="G10" s="21"/>
    </row>
    <row r="11" spans="1:7" ht="15">
      <c r="A11" s="22">
        <v>42644</v>
      </c>
      <c r="B11" s="23">
        <v>8916.42</v>
      </c>
      <c r="C11" s="24">
        <v>2688</v>
      </c>
      <c r="D11" s="23">
        <f t="shared" si="0"/>
        <v>3.317120535714286</v>
      </c>
      <c r="E11" s="21"/>
      <c r="F11" s="21"/>
      <c r="G11" s="21"/>
    </row>
    <row r="12" spans="1:7" ht="15">
      <c r="A12" s="22">
        <v>42675</v>
      </c>
      <c r="B12" s="23">
        <v>6567.27</v>
      </c>
      <c r="C12" s="24">
        <v>1975</v>
      </c>
      <c r="D12" s="23">
        <f t="shared" si="0"/>
        <v>3.3252</v>
      </c>
      <c r="E12" s="21"/>
      <c r="F12" s="21"/>
      <c r="G12" s="21"/>
    </row>
    <row r="13" spans="1:4" ht="15">
      <c r="A13" s="22">
        <v>42705</v>
      </c>
      <c r="B13" s="28">
        <v>12151.25</v>
      </c>
      <c r="C13" s="29">
        <v>3625</v>
      </c>
      <c r="D13" s="23">
        <f t="shared" si="0"/>
        <v>3.3520689655172413</v>
      </c>
    </row>
    <row r="14" spans="1:6" ht="15">
      <c r="A14" s="21"/>
      <c r="B14" s="23">
        <f>SUM(B2:B13)</f>
        <v>90739.40000000001</v>
      </c>
      <c r="C14" s="24">
        <f>SUM(C2:C13)</f>
        <v>26853</v>
      </c>
      <c r="D14" s="21"/>
      <c r="E14" s="21"/>
      <c r="F14" s="21"/>
    </row>
    <row r="15" spans="1:6" ht="15">
      <c r="A15" s="21"/>
      <c r="B15" s="21"/>
      <c r="C15" s="21"/>
      <c r="D15" s="21"/>
      <c r="E15" s="21"/>
      <c r="F15" s="21"/>
    </row>
    <row r="16" spans="1:6" ht="15">
      <c r="A16" s="21" t="s">
        <v>73</v>
      </c>
      <c r="B16" s="23"/>
      <c r="C16" s="24"/>
      <c r="D16" s="21">
        <v>0.184</v>
      </c>
      <c r="E16" s="21"/>
      <c r="F16" s="21"/>
    </row>
    <row r="17" spans="4:7" ht="15">
      <c r="D17" s="30">
        <f>D13-D16</f>
        <v>3.168068965517241</v>
      </c>
      <c r="G17" s="23">
        <f>C14*D17</f>
        <v>85072.15593103447</v>
      </c>
    </row>
    <row r="18" spans="7:8" ht="15">
      <c r="G18" s="28">
        <f>-G17*'Staff PF'!C2</f>
        <v>-3564.5233335103444</v>
      </c>
      <c r="H18" t="s">
        <v>72</v>
      </c>
    </row>
    <row r="19" spans="7:8" ht="15">
      <c r="G19" s="23">
        <f>SUM(G17:G18)</f>
        <v>81507.63259752413</v>
      </c>
      <c r="H19" s="21" t="s">
        <v>59</v>
      </c>
    </row>
    <row r="20" ht="15">
      <c r="G20" s="28">
        <f>-'Staff PF'!J10</f>
        <v>-81029.419675</v>
      </c>
    </row>
    <row r="21" spans="7:8" ht="15">
      <c r="G21" s="23">
        <f>SUM(G19:G20)</f>
        <v>478.21292252413696</v>
      </c>
      <c r="H21" t="s">
        <v>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Kredel, Ashley (UTC)</cp:lastModifiedBy>
  <cp:lastPrinted>2013-12-11T14:53:57Z</cp:lastPrinted>
  <dcterms:created xsi:type="dcterms:W3CDTF">2013-11-21T23:32:07Z</dcterms:created>
  <dcterms:modified xsi:type="dcterms:W3CDTF">2017-02-21T18:24:28Z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0x01010084BC3F20A807DF429454942B1891806D</vt:lpwstr>
  </property>
  <property fmtid="{D5CDD505-2E9C-101B-9397-08002B2CF9AE}" pid="3" name="EFilingId">
    <vt:lpwstr>5543</vt:lpwstr>
  </property>
  <property fmtid="{D5CDD505-2E9C-101B-9397-08002B2CF9AE}" pid="4" name="Confidentiality">
    <vt:lpwstr>Confidential</vt:lpwstr>
  </property>
  <property fmtid="{D5CDD505-2E9C-101B-9397-08002B2CF9AE}" pid="5" name="EFilingLookup">
    <vt:lpwstr/>
  </property>
  <property fmtid="{D5CDD505-2E9C-101B-9397-08002B2CF9AE}" pid="6" name="DocumentDescription">
    <vt:lpwstr>Staff ProForma spreadhseet</vt:lpwstr>
  </property>
  <property fmtid="{D5CDD505-2E9C-101B-9397-08002B2CF9AE}" pid="7" name="DocumentSetType">
    <vt:lpwstr>Workpapers</vt:lpwstr>
  </property>
  <property fmtid="{D5CDD505-2E9C-101B-9397-08002B2CF9AE}" pid="8" name="IsHighlyConfidential">
    <vt:lpwstr>0</vt:lpwstr>
  </property>
  <property fmtid="{D5CDD505-2E9C-101B-9397-08002B2CF9AE}" pid="9" name="CaseCompanyNames">
    <vt:lpwstr>BML Investments LLC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170114</vt:lpwstr>
  </property>
  <property fmtid="{D5CDD505-2E9C-101B-9397-08002B2CF9AE}" pid="13" name="Date1">
    <vt:lpwstr>2017-02-21T00:00:00Z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2017-02-21T00:00:00Z</vt:lpwstr>
  </property>
  <property fmtid="{D5CDD505-2E9C-101B-9397-08002B2CF9AE}" pid="17" name="Prefix">
    <vt:lpwstr>TC</vt:lpwstr>
  </property>
  <property fmtid="{D5CDD505-2E9C-101B-9397-08002B2CF9AE}" pid="18" name="IndustryCode">
    <vt:lpwstr>230</vt:lpwstr>
  </property>
  <property fmtid="{D5CDD505-2E9C-101B-9397-08002B2CF9AE}" pid="19" name="CaseStatus">
    <vt:lpwstr>Closed</vt:lpwstr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_docset_NoMedatataSyncRequired">
    <vt:lpwstr>False</vt:lpwstr>
  </property>
  <property fmtid="{D5CDD505-2E9C-101B-9397-08002B2CF9AE}" pid="23" name="DocumentGroup">
    <vt:lpwstr/>
  </property>
</Properties>
</file>