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24675" windowHeight="11295" activeTab="3"/>
  </bookViews>
  <sheets>
    <sheet name="Com'l Priceout" sheetId="1" r:id="rId1"/>
    <sheet name="Res'l Priceout" sheetId="2" r:id="rId2"/>
    <sheet name="Revenue &amp; Expense Adj." sheetId="3" r:id="rId3"/>
    <sheet name="Gross up Factor" sheetId="4" r:id="rId4"/>
  </sheets>
  <definedNames>
    <definedName name="_xlnm.Print_Area" localSheetId="0">'Com''l Priceout'!$A$7:$Q$153</definedName>
    <definedName name="_xlnm.Print_Area" localSheetId="3">'Gross up Factor'!$A$1:$H$24</definedName>
    <definedName name="_xlnm.Print_Area" localSheetId="1">'Res''l Priceout'!$A$1:$Q$30</definedName>
    <definedName name="_xlnm.Print_Area" localSheetId="2">'Revenue &amp; Expense Adj.'!$A$1:$K$34</definedName>
    <definedName name="_xlnm.Print_Titles" localSheetId="0">'Com''l Priceout'!$1:$6</definedName>
  </definedNames>
  <calcPr calcId="145621" iterate="1"/>
</workbook>
</file>

<file path=xl/calcChain.xml><?xml version="1.0" encoding="utf-8"?>
<calcChain xmlns="http://schemas.openxmlformats.org/spreadsheetml/2006/main">
  <c r="L158" i="1" l="1"/>
  <c r="I158" i="1"/>
  <c r="K158" i="1"/>
  <c r="G158" i="1"/>
  <c r="I156" i="1"/>
  <c r="K156" i="1"/>
  <c r="G156" i="1"/>
  <c r="C29" i="4" l="1"/>
  <c r="C27" i="4"/>
  <c r="Q8" i="2"/>
  <c r="Q7" i="1"/>
  <c r="G12" i="3"/>
  <c r="O153" i="1" l="1"/>
  <c r="G153" i="1"/>
  <c r="D153" i="1"/>
  <c r="C153" i="1"/>
  <c r="H11" i="2" l="1"/>
  <c r="H12" i="2"/>
  <c r="H13" i="2"/>
  <c r="H14" i="2"/>
  <c r="H15" i="2"/>
  <c r="H16" i="2"/>
  <c r="H17" i="2"/>
  <c r="H18" i="2"/>
  <c r="H19" i="2"/>
  <c r="H21" i="2"/>
  <c r="H25" i="2"/>
  <c r="H28" i="2"/>
  <c r="H9" i="2"/>
  <c r="P31" i="2"/>
  <c r="H14" i="1"/>
  <c r="H15" i="1"/>
  <c r="H16" i="1"/>
  <c r="H17" i="1"/>
  <c r="H18" i="1"/>
  <c r="H19" i="1"/>
  <c r="H20" i="1"/>
  <c r="H21" i="1"/>
  <c r="H22" i="1"/>
  <c r="H23" i="1"/>
  <c r="H24" i="1"/>
  <c r="H28" i="1"/>
  <c r="H29" i="1"/>
  <c r="H30" i="1"/>
  <c r="H31" i="1"/>
  <c r="H35" i="1"/>
  <c r="H36" i="1"/>
  <c r="H37" i="1"/>
  <c r="H38" i="1"/>
  <c r="H39" i="1"/>
  <c r="H40" i="1"/>
  <c r="H44" i="1"/>
  <c r="H45" i="1"/>
  <c r="H46" i="1"/>
  <c r="H47" i="1"/>
  <c r="H48" i="1"/>
  <c r="H49" i="1"/>
  <c r="H50" i="1"/>
  <c r="H51" i="1"/>
  <c r="H52" i="1"/>
  <c r="H56" i="1"/>
  <c r="H64" i="1"/>
  <c r="H65" i="1"/>
  <c r="H66" i="1"/>
  <c r="H67" i="1"/>
  <c r="H68" i="1"/>
  <c r="H69" i="1"/>
  <c r="H73" i="1"/>
  <c r="H87" i="1"/>
  <c r="H88" i="1"/>
  <c r="H89" i="1"/>
  <c r="H90" i="1"/>
  <c r="H91" i="1"/>
  <c r="H92" i="1"/>
  <c r="H93" i="1"/>
  <c r="H94" i="1"/>
  <c r="H95" i="1"/>
  <c r="H96" i="1"/>
  <c r="H97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9" i="1"/>
  <c r="H120" i="1"/>
  <c r="H134" i="1"/>
  <c r="H147" i="1"/>
  <c r="H148" i="1"/>
  <c r="H13" i="1"/>
  <c r="H10" i="1"/>
  <c r="O155" i="1"/>
  <c r="F135" i="1"/>
  <c r="H135" i="1" s="1"/>
  <c r="F121" i="1"/>
  <c r="H121" i="1" s="1"/>
  <c r="F75" i="1"/>
  <c r="F76" i="1" s="1"/>
  <c r="F77" i="1" s="1"/>
  <c r="F78" i="1" s="1"/>
  <c r="F79" i="1" s="1"/>
  <c r="F80" i="1" s="1"/>
  <c r="F81" i="1" s="1"/>
  <c r="F82" i="1" s="1"/>
  <c r="F83" i="1" s="1"/>
  <c r="H83" i="1" s="1"/>
  <c r="F74" i="1"/>
  <c r="H74" i="1" s="1"/>
  <c r="F58" i="1"/>
  <c r="F59" i="1" s="1"/>
  <c r="F60" i="1" s="1"/>
  <c r="H60" i="1" s="1"/>
  <c r="F57" i="1"/>
  <c r="H57" i="1" s="1"/>
  <c r="C12" i="4"/>
  <c r="G8" i="4"/>
  <c r="G13" i="4" s="1"/>
  <c r="B16" i="4" s="1"/>
  <c r="B7" i="4"/>
  <c r="C10" i="4" s="1"/>
  <c r="G6" i="4"/>
  <c r="C6" i="4"/>
  <c r="G5" i="4"/>
  <c r="C5" i="4"/>
  <c r="C7" i="4" l="1"/>
  <c r="F136" i="1"/>
  <c r="F137" i="1" s="1"/>
  <c r="F138" i="1" s="1"/>
  <c r="F139" i="1" s="1"/>
  <c r="F140" i="1" s="1"/>
  <c r="F141" i="1" s="1"/>
  <c r="F142" i="1" s="1"/>
  <c r="F143" i="1" s="1"/>
  <c r="H143" i="1" s="1"/>
  <c r="H137" i="1"/>
  <c r="H81" i="1"/>
  <c r="H77" i="1"/>
  <c r="H59" i="1"/>
  <c r="F122" i="1"/>
  <c r="H136" i="1"/>
  <c r="H80" i="1"/>
  <c r="H76" i="1"/>
  <c r="H58" i="1"/>
  <c r="H139" i="1"/>
  <c r="H79" i="1"/>
  <c r="H75" i="1"/>
  <c r="H138" i="1"/>
  <c r="H82" i="1"/>
  <c r="H78" i="1"/>
  <c r="D7" i="4"/>
  <c r="H142" i="1" l="1"/>
  <c r="H140" i="1"/>
  <c r="H141" i="1"/>
  <c r="F123" i="1"/>
  <c r="H122" i="1"/>
  <c r="D29" i="3"/>
  <c r="G28" i="3"/>
  <c r="H28" i="3" s="1"/>
  <c r="F28" i="3"/>
  <c r="F29" i="3" s="1"/>
  <c r="D20" i="3"/>
  <c r="G19" i="3"/>
  <c r="H19" i="3" s="1"/>
  <c r="F19" i="3"/>
  <c r="F20" i="3" s="1"/>
  <c r="F12" i="3"/>
  <c r="F13" i="3" s="1"/>
  <c r="F124" i="1" l="1"/>
  <c r="H123" i="1"/>
  <c r="F22" i="3"/>
  <c r="F32" i="3" s="1"/>
  <c r="H29" i="3"/>
  <c r="I28" i="3"/>
  <c r="H20" i="3"/>
  <c r="Q31" i="2" s="1"/>
  <c r="I19" i="3"/>
  <c r="H12" i="3"/>
  <c r="D13" i="3"/>
  <c r="D22" i="3" s="1"/>
  <c r="D32" i="3" s="1"/>
  <c r="D29" i="2"/>
  <c r="C29" i="2"/>
  <c r="O28" i="2"/>
  <c r="J28" i="2"/>
  <c r="L28" i="2" s="1"/>
  <c r="F27" i="2"/>
  <c r="F26" i="2"/>
  <c r="O25" i="2"/>
  <c r="O26" i="2" s="1"/>
  <c r="G25" i="2"/>
  <c r="F24" i="2"/>
  <c r="F23" i="2"/>
  <c r="F22" i="2"/>
  <c r="O21" i="2"/>
  <c r="O24" i="2" s="1"/>
  <c r="P24" i="2" s="1"/>
  <c r="G21" i="2"/>
  <c r="F20" i="2"/>
  <c r="H20" i="2" s="1"/>
  <c r="O19" i="2"/>
  <c r="O20" i="2" s="1"/>
  <c r="P20" i="2" s="1"/>
  <c r="I19" i="2"/>
  <c r="G19" i="2"/>
  <c r="O18" i="2"/>
  <c r="P18" i="2" s="1"/>
  <c r="G18" i="2"/>
  <c r="O17" i="2"/>
  <c r="P17" i="2" s="1"/>
  <c r="J17" i="2"/>
  <c r="L17" i="2" s="1"/>
  <c r="G17" i="2"/>
  <c r="O16" i="2"/>
  <c r="P16" i="2" s="1"/>
  <c r="G16" i="2"/>
  <c r="P15" i="2"/>
  <c r="I15" i="2"/>
  <c r="G15" i="2"/>
  <c r="O14" i="2"/>
  <c r="O13" i="2" s="1"/>
  <c r="I14" i="2"/>
  <c r="G14" i="2"/>
  <c r="I13" i="2"/>
  <c r="G13" i="2"/>
  <c r="I12" i="2"/>
  <c r="G12" i="2"/>
  <c r="O11" i="2"/>
  <c r="P11" i="2" s="1"/>
  <c r="I11" i="2"/>
  <c r="G11" i="2"/>
  <c r="F10" i="2"/>
  <c r="G9" i="2"/>
  <c r="C149" i="1"/>
  <c r="G148" i="1"/>
  <c r="G147" i="1"/>
  <c r="G149" i="1" s="1"/>
  <c r="D147" i="1"/>
  <c r="D149" i="1" s="1"/>
  <c r="C144" i="1"/>
  <c r="N143" i="1"/>
  <c r="O143" i="1" s="1"/>
  <c r="G143" i="1"/>
  <c r="N142" i="1"/>
  <c r="O142" i="1" s="1"/>
  <c r="G142" i="1"/>
  <c r="N141" i="1"/>
  <c r="O141" i="1" s="1"/>
  <c r="G141" i="1"/>
  <c r="N140" i="1"/>
  <c r="O140" i="1" s="1"/>
  <c r="G140" i="1"/>
  <c r="N139" i="1"/>
  <c r="O139" i="1" s="1"/>
  <c r="G139" i="1"/>
  <c r="N138" i="1"/>
  <c r="O138" i="1" s="1"/>
  <c r="G138" i="1"/>
  <c r="N137" i="1"/>
  <c r="O137" i="1" s="1"/>
  <c r="G137" i="1"/>
  <c r="N136" i="1"/>
  <c r="O136" i="1" s="1"/>
  <c r="G136" i="1"/>
  <c r="D136" i="1"/>
  <c r="D144" i="1" s="1"/>
  <c r="N135" i="1"/>
  <c r="E135" i="1"/>
  <c r="G135" i="1" s="1"/>
  <c r="N134" i="1"/>
  <c r="O134" i="1" s="1"/>
  <c r="E134" i="1"/>
  <c r="G134" i="1" s="1"/>
  <c r="C131" i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G124" i="1"/>
  <c r="N123" i="1"/>
  <c r="O123" i="1" s="1"/>
  <c r="G123" i="1"/>
  <c r="D123" i="1"/>
  <c r="D131" i="1" s="1"/>
  <c r="N122" i="1"/>
  <c r="O122" i="1" s="1"/>
  <c r="G122" i="1"/>
  <c r="N121" i="1"/>
  <c r="O121" i="1" s="1"/>
  <c r="E121" i="1"/>
  <c r="G121" i="1" s="1"/>
  <c r="N120" i="1"/>
  <c r="E120" i="1"/>
  <c r="G120" i="1" s="1"/>
  <c r="N119" i="1"/>
  <c r="E119" i="1"/>
  <c r="G119" i="1" s="1"/>
  <c r="C116" i="1"/>
  <c r="N115" i="1"/>
  <c r="O115" i="1" s="1"/>
  <c r="G115" i="1"/>
  <c r="N114" i="1"/>
  <c r="O114" i="1" s="1"/>
  <c r="G114" i="1"/>
  <c r="N113" i="1"/>
  <c r="O113" i="1" s="1"/>
  <c r="G113" i="1"/>
  <c r="N112" i="1"/>
  <c r="O112" i="1" s="1"/>
  <c r="G112" i="1"/>
  <c r="N111" i="1"/>
  <c r="O111" i="1" s="1"/>
  <c r="G111" i="1"/>
  <c r="N110" i="1"/>
  <c r="O110" i="1" s="1"/>
  <c r="G110" i="1"/>
  <c r="N109" i="1"/>
  <c r="O109" i="1" s="1"/>
  <c r="G109" i="1"/>
  <c r="N108" i="1"/>
  <c r="O108" i="1" s="1"/>
  <c r="G108" i="1"/>
  <c r="N107" i="1"/>
  <c r="O107" i="1" s="1"/>
  <c r="G107" i="1"/>
  <c r="N106" i="1"/>
  <c r="O106" i="1" s="1"/>
  <c r="G106" i="1"/>
  <c r="N105" i="1"/>
  <c r="O105" i="1" s="1"/>
  <c r="G105" i="1"/>
  <c r="D105" i="1"/>
  <c r="D116" i="1" s="1"/>
  <c r="N104" i="1"/>
  <c r="O104" i="1" s="1"/>
  <c r="G104" i="1"/>
  <c r="N103" i="1"/>
  <c r="O103" i="1" s="1"/>
  <c r="E103" i="1"/>
  <c r="G103" i="1" s="1"/>
  <c r="N102" i="1"/>
  <c r="E102" i="1"/>
  <c r="G102" i="1" s="1"/>
  <c r="N101" i="1"/>
  <c r="E101" i="1"/>
  <c r="G101" i="1" s="1"/>
  <c r="C98" i="1"/>
  <c r="N97" i="1"/>
  <c r="O97" i="1" s="1"/>
  <c r="G97" i="1"/>
  <c r="N96" i="1"/>
  <c r="O96" i="1" s="1"/>
  <c r="G96" i="1"/>
  <c r="N95" i="1"/>
  <c r="O95" i="1" s="1"/>
  <c r="G95" i="1"/>
  <c r="N94" i="1"/>
  <c r="O94" i="1" s="1"/>
  <c r="G94" i="1"/>
  <c r="N93" i="1"/>
  <c r="O93" i="1" s="1"/>
  <c r="G93" i="1"/>
  <c r="N92" i="1"/>
  <c r="O92" i="1" s="1"/>
  <c r="G92" i="1"/>
  <c r="O91" i="1"/>
  <c r="N91" i="1"/>
  <c r="G91" i="1"/>
  <c r="N90" i="1"/>
  <c r="O90" i="1" s="1"/>
  <c r="G90" i="1"/>
  <c r="D90" i="1"/>
  <c r="D98" i="1" s="1"/>
  <c r="N89" i="1"/>
  <c r="O89" i="1" s="1"/>
  <c r="G89" i="1"/>
  <c r="N88" i="1"/>
  <c r="E88" i="1"/>
  <c r="G88" i="1" s="1"/>
  <c r="N87" i="1"/>
  <c r="N147" i="1" s="1"/>
  <c r="O147" i="1" s="1"/>
  <c r="E87" i="1"/>
  <c r="N83" i="1"/>
  <c r="O83" i="1" s="1"/>
  <c r="G83" i="1"/>
  <c r="N82" i="1"/>
  <c r="O82" i="1" s="1"/>
  <c r="G82" i="1"/>
  <c r="O81" i="1"/>
  <c r="N81" i="1"/>
  <c r="G81" i="1"/>
  <c r="N80" i="1"/>
  <c r="O80" i="1" s="1"/>
  <c r="G80" i="1"/>
  <c r="N79" i="1"/>
  <c r="O79" i="1" s="1"/>
  <c r="G79" i="1"/>
  <c r="N78" i="1"/>
  <c r="O78" i="1" s="1"/>
  <c r="G78" i="1"/>
  <c r="N77" i="1"/>
  <c r="O77" i="1" s="1"/>
  <c r="G77" i="1"/>
  <c r="N76" i="1"/>
  <c r="C76" i="1"/>
  <c r="C84" i="1" s="1"/>
  <c r="N75" i="1"/>
  <c r="O75" i="1" s="1"/>
  <c r="G75" i="1"/>
  <c r="N74" i="1"/>
  <c r="E74" i="1"/>
  <c r="N73" i="1"/>
  <c r="E73" i="1"/>
  <c r="G73" i="1" s="1"/>
  <c r="N69" i="1"/>
  <c r="O69" i="1" s="1"/>
  <c r="G69" i="1"/>
  <c r="N68" i="1"/>
  <c r="O68" i="1" s="1"/>
  <c r="Q68" i="1" s="1"/>
  <c r="G68" i="1"/>
  <c r="N67" i="1"/>
  <c r="O67" i="1" s="1"/>
  <c r="G67" i="1"/>
  <c r="N66" i="1"/>
  <c r="D66" i="1"/>
  <c r="D70" i="1" s="1"/>
  <c r="C66" i="1"/>
  <c r="C70" i="1" s="1"/>
  <c r="N65" i="1"/>
  <c r="O65" i="1" s="1"/>
  <c r="G65" i="1"/>
  <c r="N64" i="1"/>
  <c r="E64" i="1"/>
  <c r="G64" i="1" s="1"/>
  <c r="D61" i="1"/>
  <c r="C61" i="1"/>
  <c r="N60" i="1"/>
  <c r="O60" i="1" s="1"/>
  <c r="G60" i="1"/>
  <c r="N59" i="1"/>
  <c r="O59" i="1" s="1"/>
  <c r="G59" i="1"/>
  <c r="N58" i="1"/>
  <c r="O58" i="1" s="1"/>
  <c r="G58" i="1"/>
  <c r="N57" i="1"/>
  <c r="E56" i="1"/>
  <c r="E57" i="1" s="1"/>
  <c r="G57" i="1" s="1"/>
  <c r="N52" i="1"/>
  <c r="O52" i="1" s="1"/>
  <c r="G52" i="1"/>
  <c r="N51" i="1"/>
  <c r="O51" i="1" s="1"/>
  <c r="G51" i="1"/>
  <c r="N50" i="1"/>
  <c r="O50" i="1" s="1"/>
  <c r="G50" i="1"/>
  <c r="N49" i="1"/>
  <c r="O49" i="1" s="1"/>
  <c r="G49" i="1"/>
  <c r="N48" i="1"/>
  <c r="O48" i="1" s="1"/>
  <c r="G48" i="1"/>
  <c r="N47" i="1"/>
  <c r="O47" i="1" s="1"/>
  <c r="G47" i="1"/>
  <c r="N46" i="1"/>
  <c r="D46" i="1"/>
  <c r="D53" i="1" s="1"/>
  <c r="C46" i="1"/>
  <c r="G46" i="1" s="1"/>
  <c r="N45" i="1"/>
  <c r="O45" i="1" s="1"/>
  <c r="G45" i="1"/>
  <c r="N44" i="1"/>
  <c r="E44" i="1"/>
  <c r="G44" i="1" s="1"/>
  <c r="N40" i="1"/>
  <c r="O40" i="1" s="1"/>
  <c r="G40" i="1"/>
  <c r="N39" i="1"/>
  <c r="O39" i="1" s="1"/>
  <c r="G39" i="1"/>
  <c r="N38" i="1"/>
  <c r="O38" i="1" s="1"/>
  <c r="G38" i="1"/>
  <c r="N37" i="1"/>
  <c r="O37" i="1" s="1"/>
  <c r="G37" i="1"/>
  <c r="N36" i="1"/>
  <c r="D36" i="1"/>
  <c r="D41" i="1" s="1"/>
  <c r="C36" i="1"/>
  <c r="C41" i="1" s="1"/>
  <c r="N35" i="1"/>
  <c r="O35" i="1" s="1"/>
  <c r="G35" i="1"/>
  <c r="N31" i="1"/>
  <c r="O31" i="1" s="1"/>
  <c r="G31" i="1"/>
  <c r="N30" i="1"/>
  <c r="O30" i="1" s="1"/>
  <c r="G30" i="1"/>
  <c r="O29" i="1"/>
  <c r="N29" i="1"/>
  <c r="G29" i="1"/>
  <c r="N28" i="1"/>
  <c r="D28" i="1"/>
  <c r="D32" i="1" s="1"/>
  <c r="C28" i="1"/>
  <c r="C32" i="1" s="1"/>
  <c r="N24" i="1"/>
  <c r="O24" i="1" s="1"/>
  <c r="G24" i="1"/>
  <c r="N23" i="1"/>
  <c r="O23" i="1" s="1"/>
  <c r="G23" i="1"/>
  <c r="N22" i="1"/>
  <c r="O22" i="1" s="1"/>
  <c r="G22" i="1"/>
  <c r="N21" i="1"/>
  <c r="O21" i="1" s="1"/>
  <c r="G21" i="1"/>
  <c r="N20" i="1"/>
  <c r="O20" i="1" s="1"/>
  <c r="G20" i="1"/>
  <c r="N19" i="1"/>
  <c r="O19" i="1" s="1"/>
  <c r="G19" i="1"/>
  <c r="N18" i="1"/>
  <c r="O18" i="1" s="1"/>
  <c r="G18" i="1"/>
  <c r="N17" i="1"/>
  <c r="O17" i="1" s="1"/>
  <c r="G17" i="1"/>
  <c r="N16" i="1"/>
  <c r="O16" i="1" s="1"/>
  <c r="G16" i="1"/>
  <c r="N15" i="1"/>
  <c r="O15" i="1" s="1"/>
  <c r="G15" i="1"/>
  <c r="N14" i="1"/>
  <c r="O14" i="1" s="1"/>
  <c r="G14" i="1"/>
  <c r="N13" i="1"/>
  <c r="D13" i="1"/>
  <c r="D25" i="1" s="1"/>
  <c r="C13" i="1"/>
  <c r="C25" i="1" s="1"/>
  <c r="N10" i="1"/>
  <c r="O10" i="1" s="1"/>
  <c r="I10" i="1"/>
  <c r="G10" i="1"/>
  <c r="G22" i="2" l="1"/>
  <c r="H22" i="2"/>
  <c r="G10" i="2"/>
  <c r="H10" i="2"/>
  <c r="I10" i="2" s="1"/>
  <c r="K10" i="2" s="1"/>
  <c r="G23" i="2"/>
  <c r="H23" i="2"/>
  <c r="G26" i="2"/>
  <c r="H26" i="2"/>
  <c r="I26" i="2" s="1"/>
  <c r="K26" i="2" s="1"/>
  <c r="K12" i="2"/>
  <c r="K14" i="2"/>
  <c r="G24" i="2"/>
  <c r="H24" i="2"/>
  <c r="G27" i="2"/>
  <c r="H27" i="2"/>
  <c r="O13" i="1"/>
  <c r="O25" i="1" s="1"/>
  <c r="O28" i="1"/>
  <c r="R68" i="1"/>
  <c r="D76" i="1"/>
  <c r="D84" i="1" s="1"/>
  <c r="O44" i="1"/>
  <c r="O53" i="1" s="1"/>
  <c r="O74" i="1"/>
  <c r="O36" i="1"/>
  <c r="Q36" i="1" s="1"/>
  <c r="O76" i="1"/>
  <c r="O32" i="1"/>
  <c r="O64" i="1"/>
  <c r="O88" i="1"/>
  <c r="Q88" i="1" s="1"/>
  <c r="R88" i="1" s="1"/>
  <c r="F125" i="1"/>
  <c r="H124" i="1"/>
  <c r="O56" i="1"/>
  <c r="G28" i="1"/>
  <c r="G32" i="1" s="1"/>
  <c r="O46" i="1"/>
  <c r="G66" i="1"/>
  <c r="G70" i="1" s="1"/>
  <c r="K10" i="1"/>
  <c r="G13" i="1"/>
  <c r="G25" i="1" s="1"/>
  <c r="G56" i="1"/>
  <c r="O73" i="1"/>
  <c r="O84" i="1" s="1"/>
  <c r="G76" i="1"/>
  <c r="O87" i="1"/>
  <c r="O98" i="1" s="1"/>
  <c r="G116" i="1"/>
  <c r="O102" i="1"/>
  <c r="Q102" i="1" s="1"/>
  <c r="R102" i="1" s="1"/>
  <c r="Q10" i="1"/>
  <c r="R10" i="1" s="1"/>
  <c r="Q15" i="1"/>
  <c r="R15" i="1" s="1"/>
  <c r="Q17" i="1"/>
  <c r="R17" i="1" s="1"/>
  <c r="Q19" i="1"/>
  <c r="R19" i="1" s="1"/>
  <c r="Q21" i="1"/>
  <c r="R21" i="1" s="1"/>
  <c r="Q23" i="1"/>
  <c r="R23" i="1" s="1"/>
  <c r="Q31" i="1"/>
  <c r="Q30" i="1"/>
  <c r="R30" i="1" s="1"/>
  <c r="Q38" i="1"/>
  <c r="R38" i="1" s="1"/>
  <c r="Q40" i="1"/>
  <c r="R40" i="1" s="1"/>
  <c r="Q46" i="1"/>
  <c r="R46" i="1" s="1"/>
  <c r="Q48" i="1"/>
  <c r="R48" i="1" s="1"/>
  <c r="Q50" i="1"/>
  <c r="Q52" i="1"/>
  <c r="R52" i="1" s="1"/>
  <c r="Q59" i="1"/>
  <c r="R59" i="1" s="1"/>
  <c r="Q14" i="1"/>
  <c r="R14" i="1" s="1"/>
  <c r="Q16" i="1"/>
  <c r="R16" i="1" s="1"/>
  <c r="Q18" i="1"/>
  <c r="R18" i="1" s="1"/>
  <c r="Q20" i="1"/>
  <c r="R20" i="1" s="1"/>
  <c r="Q22" i="1"/>
  <c r="R22" i="1" s="1"/>
  <c r="Q24" i="1"/>
  <c r="R24" i="1" s="1"/>
  <c r="Q29" i="1"/>
  <c r="R29" i="1" s="1"/>
  <c r="Q45" i="1"/>
  <c r="R45" i="1" s="1"/>
  <c r="Q37" i="1"/>
  <c r="R37" i="1" s="1"/>
  <c r="Q39" i="1"/>
  <c r="Q47" i="1"/>
  <c r="R47" i="1" s="1"/>
  <c r="Q49" i="1"/>
  <c r="R49" i="1" s="1"/>
  <c r="Q51" i="1"/>
  <c r="R51" i="1" s="1"/>
  <c r="Q58" i="1"/>
  <c r="Q60" i="1"/>
  <c r="R60" i="1" s="1"/>
  <c r="I12" i="3"/>
  <c r="H13" i="3"/>
  <c r="I20" i="3"/>
  <c r="I29" i="3"/>
  <c r="K28" i="3"/>
  <c r="K13" i="2"/>
  <c r="K15" i="2"/>
  <c r="J25" i="2"/>
  <c r="L25" i="2" s="1"/>
  <c r="I28" i="2"/>
  <c r="K11" i="2"/>
  <c r="G28" i="2"/>
  <c r="P28" i="2"/>
  <c r="Q28" i="2" s="1"/>
  <c r="J21" i="2"/>
  <c r="L21" i="2" s="1"/>
  <c r="M25" i="2"/>
  <c r="K19" i="2"/>
  <c r="J20" i="2"/>
  <c r="L20" i="2" s="1"/>
  <c r="M21" i="2"/>
  <c r="M17" i="2"/>
  <c r="I17" i="2"/>
  <c r="K17" i="2" s="1"/>
  <c r="J16" i="2"/>
  <c r="L16" i="2" s="1"/>
  <c r="J15" i="2"/>
  <c r="L15" i="2" s="1"/>
  <c r="M16" i="2"/>
  <c r="J9" i="2"/>
  <c r="L9" i="2" s="1"/>
  <c r="O9" i="2"/>
  <c r="O12" i="2"/>
  <c r="P12" i="2" s="1"/>
  <c r="Q12" i="2" s="1"/>
  <c r="R12" i="2" s="1"/>
  <c r="S12" i="2" s="1"/>
  <c r="T12" i="2" s="1"/>
  <c r="P13" i="2"/>
  <c r="Q13" i="2" s="1"/>
  <c r="R13" i="2" s="1"/>
  <c r="S13" i="2" s="1"/>
  <c r="T13" i="2" s="1"/>
  <c r="O27" i="2"/>
  <c r="P27" i="2" s="1"/>
  <c r="P26" i="2"/>
  <c r="Q26" i="2" s="1"/>
  <c r="J11" i="2"/>
  <c r="L11" i="2" s="1"/>
  <c r="J12" i="2"/>
  <c r="L12" i="2" s="1"/>
  <c r="J13" i="2"/>
  <c r="L13" i="2" s="1"/>
  <c r="J14" i="2"/>
  <c r="L14" i="2" s="1"/>
  <c r="P14" i="2"/>
  <c r="Q14" i="2" s="1"/>
  <c r="R14" i="2" s="1"/>
  <c r="S14" i="2" s="1"/>
  <c r="T14" i="2" s="1"/>
  <c r="Q15" i="2"/>
  <c r="R15" i="2" s="1"/>
  <c r="S15" i="2" s="1"/>
  <c r="T15" i="2" s="1"/>
  <c r="I18" i="2"/>
  <c r="K18" i="2" s="1"/>
  <c r="M18" i="2"/>
  <c r="G20" i="2"/>
  <c r="G29" i="2" s="1"/>
  <c r="Q20" i="2"/>
  <c r="P21" i="2"/>
  <c r="Q21" i="2" s="1"/>
  <c r="I22" i="2"/>
  <c r="K22" i="2" s="1"/>
  <c r="O22" i="2"/>
  <c r="P22" i="2" s="1"/>
  <c r="Q22" i="2" s="1"/>
  <c r="Q24" i="2"/>
  <c r="P25" i="2"/>
  <c r="Q18" i="2"/>
  <c r="Q27" i="2"/>
  <c r="Q11" i="2"/>
  <c r="R11" i="2" s="1"/>
  <c r="S11" i="2" s="1"/>
  <c r="T11" i="2" s="1"/>
  <c r="Q16" i="2"/>
  <c r="J18" i="2"/>
  <c r="L18" i="2" s="1"/>
  <c r="J22" i="2"/>
  <c r="L22" i="2" s="1"/>
  <c r="O23" i="2"/>
  <c r="P23" i="2" s="1"/>
  <c r="Q23" i="2" s="1"/>
  <c r="Q25" i="2"/>
  <c r="J26" i="2"/>
  <c r="L26" i="2" s="1"/>
  <c r="I9" i="2"/>
  <c r="I16" i="2"/>
  <c r="K16" i="2" s="1"/>
  <c r="Q17" i="2"/>
  <c r="J19" i="2"/>
  <c r="L19" i="2" s="1"/>
  <c r="P19" i="2"/>
  <c r="Q19" i="2" s="1"/>
  <c r="R19" i="2" s="1"/>
  <c r="S19" i="2" s="1"/>
  <c r="T19" i="2" s="1"/>
  <c r="I21" i="2"/>
  <c r="K21" i="2" s="1"/>
  <c r="I25" i="2"/>
  <c r="K25" i="2" s="1"/>
  <c r="S10" i="1"/>
  <c r="T10" i="1" s="1"/>
  <c r="R31" i="1"/>
  <c r="S31" i="1" s="1"/>
  <c r="T31" i="1" s="1"/>
  <c r="R50" i="1"/>
  <c r="R39" i="1"/>
  <c r="G53" i="1"/>
  <c r="R58" i="1"/>
  <c r="Q35" i="1"/>
  <c r="J31" i="1"/>
  <c r="L31" i="1" s="1"/>
  <c r="I31" i="1"/>
  <c r="K31" i="1" s="1"/>
  <c r="G61" i="1"/>
  <c r="Q13" i="1"/>
  <c r="Q44" i="1"/>
  <c r="Q28" i="1"/>
  <c r="C53" i="1"/>
  <c r="O66" i="1"/>
  <c r="Q66" i="1" s="1"/>
  <c r="Q73" i="1"/>
  <c r="Q80" i="1"/>
  <c r="R80" i="1" s="1"/>
  <c r="Q89" i="1"/>
  <c r="R89" i="1" s="1"/>
  <c r="Q90" i="1"/>
  <c r="R90" i="1" s="1"/>
  <c r="Q94" i="1"/>
  <c r="R94" i="1" s="1"/>
  <c r="Q56" i="1"/>
  <c r="Q65" i="1"/>
  <c r="R65" i="1" s="1"/>
  <c r="Q79" i="1"/>
  <c r="R79" i="1" s="1"/>
  <c r="Q83" i="1"/>
  <c r="R83" i="1" s="1"/>
  <c r="Q93" i="1"/>
  <c r="R93" i="1" s="1"/>
  <c r="Q121" i="1"/>
  <c r="R121" i="1" s="1"/>
  <c r="Q134" i="1"/>
  <c r="Q130" i="1"/>
  <c r="Q128" i="1"/>
  <c r="Q126" i="1"/>
  <c r="Q124" i="1"/>
  <c r="R124" i="1" s="1"/>
  <c r="Q129" i="1"/>
  <c r="Q127" i="1"/>
  <c r="Q115" i="1"/>
  <c r="R115" i="1" s="1"/>
  <c r="Q113" i="1"/>
  <c r="R113" i="1" s="1"/>
  <c r="Q111" i="1"/>
  <c r="R111" i="1" s="1"/>
  <c r="Q109" i="1"/>
  <c r="R109" i="1" s="1"/>
  <c r="Q107" i="1"/>
  <c r="R107" i="1" s="1"/>
  <c r="Q105" i="1"/>
  <c r="R105" i="1" s="1"/>
  <c r="Q125" i="1"/>
  <c r="Q114" i="1"/>
  <c r="R114" i="1" s="1"/>
  <c r="Q112" i="1"/>
  <c r="R112" i="1" s="1"/>
  <c r="Q110" i="1"/>
  <c r="R110" i="1" s="1"/>
  <c r="Q108" i="1"/>
  <c r="R108" i="1" s="1"/>
  <c r="Q106" i="1"/>
  <c r="R106" i="1" s="1"/>
  <c r="Q123" i="1"/>
  <c r="R123" i="1" s="1"/>
  <c r="J10" i="1"/>
  <c r="L10" i="1" s="1"/>
  <c r="O70" i="1"/>
  <c r="Q74" i="1"/>
  <c r="Q76" i="1"/>
  <c r="R76" i="1" s="1"/>
  <c r="Q78" i="1"/>
  <c r="R78" i="1" s="1"/>
  <c r="Q82" i="1"/>
  <c r="R82" i="1" s="1"/>
  <c r="Q87" i="1"/>
  <c r="Q92" i="1"/>
  <c r="R92" i="1" s="1"/>
  <c r="G36" i="1"/>
  <c r="G41" i="1" s="1"/>
  <c r="O57" i="1"/>
  <c r="Q57" i="1" s="1"/>
  <c r="R57" i="1" s="1"/>
  <c r="Q64" i="1"/>
  <c r="Q67" i="1"/>
  <c r="R67" i="1" s="1"/>
  <c r="Q69" i="1"/>
  <c r="R69" i="1" s="1"/>
  <c r="Q75" i="1"/>
  <c r="R75" i="1" s="1"/>
  <c r="Q77" i="1"/>
  <c r="R77" i="1" s="1"/>
  <c r="Q81" i="1"/>
  <c r="R81" i="1" s="1"/>
  <c r="Q91" i="1"/>
  <c r="R91" i="1" s="1"/>
  <c r="G74" i="1"/>
  <c r="G84" i="1" s="1"/>
  <c r="G87" i="1"/>
  <c r="G98" i="1" s="1"/>
  <c r="O101" i="1"/>
  <c r="Q122" i="1"/>
  <c r="R122" i="1" s="1"/>
  <c r="Q137" i="1"/>
  <c r="R137" i="1" s="1"/>
  <c r="Q139" i="1"/>
  <c r="R139" i="1" s="1"/>
  <c r="Q141" i="1"/>
  <c r="R141" i="1" s="1"/>
  <c r="Q143" i="1"/>
  <c r="R143" i="1" s="1"/>
  <c r="Q147" i="1"/>
  <c r="N148" i="1"/>
  <c r="O148" i="1" s="1"/>
  <c r="Q148" i="1" s="1"/>
  <c r="R148" i="1" s="1"/>
  <c r="O119" i="1"/>
  <c r="O120" i="1"/>
  <c r="Q120" i="1" s="1"/>
  <c r="R120" i="1" s="1"/>
  <c r="Q136" i="1"/>
  <c r="R136" i="1" s="1"/>
  <c r="Q138" i="1"/>
  <c r="R138" i="1" s="1"/>
  <c r="Q140" i="1"/>
  <c r="R140" i="1" s="1"/>
  <c r="Q142" i="1"/>
  <c r="R142" i="1" s="1"/>
  <c r="Q95" i="1"/>
  <c r="R95" i="1" s="1"/>
  <c r="Q96" i="1"/>
  <c r="R96" i="1" s="1"/>
  <c r="Q97" i="1"/>
  <c r="R97" i="1" s="1"/>
  <c r="Q103" i="1"/>
  <c r="R103" i="1" s="1"/>
  <c r="Q104" i="1"/>
  <c r="R104" i="1" s="1"/>
  <c r="O135" i="1"/>
  <c r="Q135" i="1" s="1"/>
  <c r="R135" i="1" s="1"/>
  <c r="G144" i="1"/>
  <c r="J10" i="2" l="1"/>
  <c r="L10" i="2" s="1"/>
  <c r="H22" i="3"/>
  <c r="H32" i="3" s="1"/>
  <c r="Q155" i="1"/>
  <c r="R66" i="1"/>
  <c r="O41" i="1"/>
  <c r="F126" i="1"/>
  <c r="H125" i="1"/>
  <c r="I125" i="1" s="1"/>
  <c r="K125" i="1" s="1"/>
  <c r="G125" i="1"/>
  <c r="R125" i="1" s="1"/>
  <c r="K28" i="2"/>
  <c r="R22" i="2"/>
  <c r="S22" i="2" s="1"/>
  <c r="T22" i="2" s="1"/>
  <c r="R28" i="2"/>
  <c r="S28" i="2" s="1"/>
  <c r="T28" i="2" s="1"/>
  <c r="K29" i="3"/>
  <c r="B15" i="4"/>
  <c r="B17" i="4" s="1"/>
  <c r="B19" i="4" s="1"/>
  <c r="I13" i="3"/>
  <c r="I22" i="3" s="1"/>
  <c r="I32" i="3" s="1"/>
  <c r="R21" i="2"/>
  <c r="S21" i="2" s="1"/>
  <c r="T21" i="2" s="1"/>
  <c r="R16" i="2"/>
  <c r="S16" i="2" s="1"/>
  <c r="T16" i="2" s="1"/>
  <c r="R26" i="2"/>
  <c r="S26" i="2" s="1"/>
  <c r="T26" i="2" s="1"/>
  <c r="I20" i="2"/>
  <c r="K20" i="2" s="1"/>
  <c r="R18" i="2"/>
  <c r="S18" i="2" s="1"/>
  <c r="T18" i="2" s="1"/>
  <c r="R17" i="2"/>
  <c r="S17" i="2" s="1"/>
  <c r="T17" i="2" s="1"/>
  <c r="K9" i="2"/>
  <c r="R25" i="2"/>
  <c r="S25" i="2" s="1"/>
  <c r="T25" i="2" s="1"/>
  <c r="J27" i="2"/>
  <c r="L27" i="2" s="1"/>
  <c r="I27" i="2"/>
  <c r="K27" i="2" s="1"/>
  <c r="O10" i="2"/>
  <c r="P10" i="2" s="1"/>
  <c r="Q10" i="2" s="1"/>
  <c r="R10" i="2" s="1"/>
  <c r="S10" i="2" s="1"/>
  <c r="T10" i="2" s="1"/>
  <c r="P9" i="2"/>
  <c r="I24" i="2"/>
  <c r="K24" i="2" s="1"/>
  <c r="J24" i="2"/>
  <c r="L24" i="2" s="1"/>
  <c r="J23" i="2"/>
  <c r="L23" i="2" s="1"/>
  <c r="I23" i="2"/>
  <c r="K23" i="2" s="1"/>
  <c r="Q101" i="1"/>
  <c r="O116" i="1"/>
  <c r="J74" i="1"/>
  <c r="L74" i="1" s="1"/>
  <c r="I74" i="1"/>
  <c r="K74" i="1" s="1"/>
  <c r="Q98" i="1"/>
  <c r="R98" i="1" s="1"/>
  <c r="R87" i="1"/>
  <c r="S45" i="1"/>
  <c r="T45" i="1" s="1"/>
  <c r="I45" i="1"/>
  <c r="K45" i="1" s="1"/>
  <c r="J45" i="1"/>
  <c r="L45" i="1" s="1"/>
  <c r="J23" i="1"/>
  <c r="L23" i="1" s="1"/>
  <c r="S23" i="1"/>
  <c r="T23" i="1" s="1"/>
  <c r="I23" i="1"/>
  <c r="K23" i="1" s="1"/>
  <c r="J19" i="1"/>
  <c r="L19" i="1" s="1"/>
  <c r="S19" i="1"/>
  <c r="T19" i="1" s="1"/>
  <c r="I19" i="1"/>
  <c r="K19" i="1" s="1"/>
  <c r="J15" i="1"/>
  <c r="L15" i="1" s="1"/>
  <c r="S15" i="1"/>
  <c r="T15" i="1" s="1"/>
  <c r="I15" i="1"/>
  <c r="K15" i="1" s="1"/>
  <c r="J29" i="1"/>
  <c r="L29" i="1" s="1"/>
  <c r="S29" i="1"/>
  <c r="T29" i="1" s="1"/>
  <c r="I29" i="1"/>
  <c r="K29" i="1" s="1"/>
  <c r="J51" i="1"/>
  <c r="L51" i="1" s="1"/>
  <c r="S51" i="1"/>
  <c r="T51" i="1" s="1"/>
  <c r="I51" i="1"/>
  <c r="K51" i="1" s="1"/>
  <c r="J73" i="1"/>
  <c r="L73" i="1" s="1"/>
  <c r="I73" i="1"/>
  <c r="J57" i="1"/>
  <c r="L57" i="1" s="1"/>
  <c r="S57" i="1"/>
  <c r="T57" i="1" s="1"/>
  <c r="I57" i="1"/>
  <c r="K57" i="1" s="1"/>
  <c r="J66" i="1"/>
  <c r="L66" i="1" s="1"/>
  <c r="S66" i="1"/>
  <c r="T66" i="1" s="1"/>
  <c r="I66" i="1"/>
  <c r="K66" i="1" s="1"/>
  <c r="S88" i="1"/>
  <c r="T88" i="1" s="1"/>
  <c r="I88" i="1"/>
  <c r="K88" i="1" s="1"/>
  <c r="J88" i="1"/>
  <c r="L88" i="1" s="1"/>
  <c r="S77" i="1"/>
  <c r="T77" i="1" s="1"/>
  <c r="I77" i="1"/>
  <c r="K77" i="1" s="1"/>
  <c r="J77" i="1"/>
  <c r="L77" i="1" s="1"/>
  <c r="J81" i="1"/>
  <c r="L81" i="1" s="1"/>
  <c r="S81" i="1"/>
  <c r="T81" i="1" s="1"/>
  <c r="I81" i="1"/>
  <c r="K81" i="1" s="1"/>
  <c r="J91" i="1"/>
  <c r="L91" i="1" s="1"/>
  <c r="S91" i="1"/>
  <c r="T91" i="1" s="1"/>
  <c r="I91" i="1"/>
  <c r="K91" i="1" s="1"/>
  <c r="S95" i="1"/>
  <c r="T95" i="1" s="1"/>
  <c r="I95" i="1"/>
  <c r="K95" i="1" s="1"/>
  <c r="J95" i="1"/>
  <c r="L95" i="1" s="1"/>
  <c r="S104" i="1"/>
  <c r="T104" i="1" s="1"/>
  <c r="I104" i="1"/>
  <c r="K104" i="1" s="1"/>
  <c r="J104" i="1"/>
  <c r="L104" i="1" s="1"/>
  <c r="J108" i="1"/>
  <c r="L108" i="1" s="1"/>
  <c r="S108" i="1"/>
  <c r="T108" i="1" s="1"/>
  <c r="I108" i="1"/>
  <c r="K108" i="1" s="1"/>
  <c r="J112" i="1"/>
  <c r="L112" i="1" s="1"/>
  <c r="S112" i="1"/>
  <c r="T112" i="1" s="1"/>
  <c r="I112" i="1"/>
  <c r="K112" i="1" s="1"/>
  <c r="J121" i="1"/>
  <c r="L121" i="1" s="1"/>
  <c r="S121" i="1"/>
  <c r="T121" i="1" s="1"/>
  <c r="I121" i="1"/>
  <c r="K121" i="1" s="1"/>
  <c r="S135" i="1"/>
  <c r="T135" i="1" s="1"/>
  <c r="I135" i="1"/>
  <c r="K135" i="1" s="1"/>
  <c r="J135" i="1"/>
  <c r="L135" i="1" s="1"/>
  <c r="J123" i="1"/>
  <c r="L123" i="1" s="1"/>
  <c r="S123" i="1"/>
  <c r="T123" i="1" s="1"/>
  <c r="I123" i="1"/>
  <c r="K123" i="1" s="1"/>
  <c r="J136" i="1"/>
  <c r="L136" i="1" s="1"/>
  <c r="S136" i="1"/>
  <c r="T136" i="1" s="1"/>
  <c r="I136" i="1"/>
  <c r="K136" i="1" s="1"/>
  <c r="S140" i="1"/>
  <c r="T140" i="1" s="1"/>
  <c r="J140" i="1"/>
  <c r="L140" i="1" s="1"/>
  <c r="I140" i="1"/>
  <c r="K140" i="1" s="1"/>
  <c r="Q61" i="1"/>
  <c r="R61" i="1" s="1"/>
  <c r="R56" i="1"/>
  <c r="S56" i="1" s="1"/>
  <c r="T56" i="1" s="1"/>
  <c r="J47" i="1"/>
  <c r="L47" i="1" s="1"/>
  <c r="S47" i="1"/>
  <c r="T47" i="1" s="1"/>
  <c r="I47" i="1"/>
  <c r="K47" i="1" s="1"/>
  <c r="J38" i="1"/>
  <c r="L38" i="1" s="1"/>
  <c r="S38" i="1"/>
  <c r="T38" i="1" s="1"/>
  <c r="I38" i="1"/>
  <c r="K38" i="1" s="1"/>
  <c r="O61" i="1"/>
  <c r="O149" i="1"/>
  <c r="R74" i="1"/>
  <c r="S74" i="1" s="1"/>
  <c r="T74" i="1" s="1"/>
  <c r="I44" i="1"/>
  <c r="J44" i="1"/>
  <c r="L44" i="1" s="1"/>
  <c r="I22" i="1"/>
  <c r="K22" i="1" s="1"/>
  <c r="J22" i="1"/>
  <c r="L22" i="1" s="1"/>
  <c r="S22" i="1"/>
  <c r="T22" i="1" s="1"/>
  <c r="S18" i="1"/>
  <c r="T18" i="1" s="1"/>
  <c r="I18" i="1"/>
  <c r="K18" i="1" s="1"/>
  <c r="J18" i="1"/>
  <c r="L18" i="1" s="1"/>
  <c r="S14" i="1"/>
  <c r="T14" i="1" s="1"/>
  <c r="I14" i="1"/>
  <c r="K14" i="1" s="1"/>
  <c r="J14" i="1"/>
  <c r="L14" i="1" s="1"/>
  <c r="J48" i="1"/>
  <c r="L48" i="1" s="1"/>
  <c r="S48" i="1"/>
  <c r="T48" i="1" s="1"/>
  <c r="I48" i="1"/>
  <c r="K48" i="1" s="1"/>
  <c r="J52" i="1"/>
  <c r="L52" i="1" s="1"/>
  <c r="S52" i="1"/>
  <c r="T52" i="1" s="1"/>
  <c r="I52" i="1"/>
  <c r="K52" i="1" s="1"/>
  <c r="I101" i="1"/>
  <c r="J101" i="1"/>
  <c r="L101" i="1" s="1"/>
  <c r="J58" i="1"/>
  <c r="L58" i="1" s="1"/>
  <c r="S58" i="1"/>
  <c r="T58" i="1" s="1"/>
  <c r="I58" i="1"/>
  <c r="K58" i="1" s="1"/>
  <c r="J67" i="1"/>
  <c r="L67" i="1" s="1"/>
  <c r="S67" i="1"/>
  <c r="T67" i="1" s="1"/>
  <c r="I67" i="1"/>
  <c r="K67" i="1" s="1"/>
  <c r="S89" i="1"/>
  <c r="T89" i="1" s="1"/>
  <c r="I89" i="1"/>
  <c r="K89" i="1" s="1"/>
  <c r="J89" i="1"/>
  <c r="L89" i="1" s="1"/>
  <c r="J78" i="1"/>
  <c r="L78" i="1" s="1"/>
  <c r="S78" i="1"/>
  <c r="T78" i="1" s="1"/>
  <c r="I78" i="1"/>
  <c r="K78" i="1" s="1"/>
  <c r="J82" i="1"/>
  <c r="L82" i="1" s="1"/>
  <c r="S82" i="1"/>
  <c r="T82" i="1" s="1"/>
  <c r="I82" i="1"/>
  <c r="K82" i="1" s="1"/>
  <c r="J92" i="1"/>
  <c r="L92" i="1" s="1"/>
  <c r="S92" i="1"/>
  <c r="T92" i="1" s="1"/>
  <c r="I92" i="1"/>
  <c r="K92" i="1" s="1"/>
  <c r="S96" i="1"/>
  <c r="T96" i="1" s="1"/>
  <c r="I96" i="1"/>
  <c r="K96" i="1" s="1"/>
  <c r="J96" i="1"/>
  <c r="L96" i="1" s="1"/>
  <c r="J105" i="1"/>
  <c r="L105" i="1" s="1"/>
  <c r="S105" i="1"/>
  <c r="T105" i="1" s="1"/>
  <c r="I105" i="1"/>
  <c r="K105" i="1" s="1"/>
  <c r="J109" i="1"/>
  <c r="L109" i="1" s="1"/>
  <c r="S109" i="1"/>
  <c r="T109" i="1" s="1"/>
  <c r="I109" i="1"/>
  <c r="K109" i="1" s="1"/>
  <c r="J113" i="1"/>
  <c r="L113" i="1" s="1"/>
  <c r="S113" i="1"/>
  <c r="T113" i="1" s="1"/>
  <c r="I113" i="1"/>
  <c r="K113" i="1" s="1"/>
  <c r="S122" i="1"/>
  <c r="T122" i="1" s="1"/>
  <c r="J122" i="1"/>
  <c r="L122" i="1" s="1"/>
  <c r="I122" i="1"/>
  <c r="K122" i="1" s="1"/>
  <c r="J134" i="1"/>
  <c r="L134" i="1" s="1"/>
  <c r="I134" i="1"/>
  <c r="J124" i="1"/>
  <c r="L124" i="1" s="1"/>
  <c r="S124" i="1"/>
  <c r="T124" i="1" s="1"/>
  <c r="I124" i="1"/>
  <c r="K124" i="1" s="1"/>
  <c r="J137" i="1"/>
  <c r="L137" i="1" s="1"/>
  <c r="S137" i="1"/>
  <c r="T137" i="1" s="1"/>
  <c r="I137" i="1"/>
  <c r="K137" i="1" s="1"/>
  <c r="S141" i="1"/>
  <c r="T141" i="1" s="1"/>
  <c r="I141" i="1"/>
  <c r="K141" i="1" s="1"/>
  <c r="J141" i="1"/>
  <c r="L141" i="1" s="1"/>
  <c r="J30" i="1"/>
  <c r="L30" i="1" s="1"/>
  <c r="S30" i="1"/>
  <c r="T30" i="1" s="1"/>
  <c r="I30" i="1"/>
  <c r="K30" i="1" s="1"/>
  <c r="Q84" i="1"/>
  <c r="R84" i="1" s="1"/>
  <c r="R73" i="1"/>
  <c r="S73" i="1" s="1"/>
  <c r="T73" i="1" s="1"/>
  <c r="J46" i="1"/>
  <c r="L46" i="1" s="1"/>
  <c r="S46" i="1"/>
  <c r="T46" i="1" s="1"/>
  <c r="I46" i="1"/>
  <c r="K46" i="1" s="1"/>
  <c r="J37" i="1"/>
  <c r="L37" i="1" s="1"/>
  <c r="S37" i="1"/>
  <c r="T37" i="1" s="1"/>
  <c r="I37" i="1"/>
  <c r="K37" i="1" s="1"/>
  <c r="Q53" i="1"/>
  <c r="R53" i="1" s="1"/>
  <c r="R44" i="1"/>
  <c r="S44" i="1" s="1"/>
  <c r="T44" i="1" s="1"/>
  <c r="O144" i="1"/>
  <c r="Q149" i="1"/>
  <c r="R147" i="1"/>
  <c r="S147" i="1" s="1"/>
  <c r="T147" i="1" s="1"/>
  <c r="I35" i="1"/>
  <c r="J35" i="1"/>
  <c r="L35" i="1" s="1"/>
  <c r="S21" i="1"/>
  <c r="T21" i="1" s="1"/>
  <c r="I21" i="1"/>
  <c r="K21" i="1" s="1"/>
  <c r="J21" i="1"/>
  <c r="L21" i="1" s="1"/>
  <c r="S17" i="1"/>
  <c r="T17" i="1" s="1"/>
  <c r="I17" i="1"/>
  <c r="K17" i="1" s="1"/>
  <c r="J17" i="1"/>
  <c r="L17" i="1" s="1"/>
  <c r="J13" i="1"/>
  <c r="L13" i="1" s="1"/>
  <c r="I13" i="1"/>
  <c r="J49" i="1"/>
  <c r="L49" i="1" s="1"/>
  <c r="S49" i="1"/>
  <c r="T49" i="1" s="1"/>
  <c r="I49" i="1"/>
  <c r="K49" i="1" s="1"/>
  <c r="J64" i="1"/>
  <c r="L64" i="1" s="1"/>
  <c r="I64" i="1"/>
  <c r="J87" i="1"/>
  <c r="L87" i="1" s="1"/>
  <c r="S87" i="1"/>
  <c r="T87" i="1" s="1"/>
  <c r="I87" i="1"/>
  <c r="J59" i="1"/>
  <c r="L59" i="1" s="1"/>
  <c r="S59" i="1"/>
  <c r="T59" i="1" s="1"/>
  <c r="I59" i="1"/>
  <c r="K59" i="1" s="1"/>
  <c r="J68" i="1"/>
  <c r="L68" i="1" s="1"/>
  <c r="S68" i="1"/>
  <c r="T68" i="1" s="1"/>
  <c r="I68" i="1"/>
  <c r="K68" i="1" s="1"/>
  <c r="S120" i="1"/>
  <c r="T120" i="1" s="1"/>
  <c r="I120" i="1"/>
  <c r="K120" i="1" s="1"/>
  <c r="J120" i="1"/>
  <c r="L120" i="1" s="1"/>
  <c r="J79" i="1"/>
  <c r="L79" i="1" s="1"/>
  <c r="S79" i="1"/>
  <c r="T79" i="1" s="1"/>
  <c r="I79" i="1"/>
  <c r="K79" i="1" s="1"/>
  <c r="J83" i="1"/>
  <c r="L83" i="1" s="1"/>
  <c r="S83" i="1"/>
  <c r="T83" i="1" s="1"/>
  <c r="I83" i="1"/>
  <c r="K83" i="1" s="1"/>
  <c r="J93" i="1"/>
  <c r="L93" i="1" s="1"/>
  <c r="S93" i="1"/>
  <c r="T93" i="1" s="1"/>
  <c r="I93" i="1"/>
  <c r="K93" i="1" s="1"/>
  <c r="S97" i="1"/>
  <c r="T97" i="1" s="1"/>
  <c r="I97" i="1"/>
  <c r="K97" i="1" s="1"/>
  <c r="J97" i="1"/>
  <c r="L97" i="1" s="1"/>
  <c r="J106" i="1"/>
  <c r="L106" i="1" s="1"/>
  <c r="S106" i="1"/>
  <c r="T106" i="1" s="1"/>
  <c r="I106" i="1"/>
  <c r="K106" i="1" s="1"/>
  <c r="J110" i="1"/>
  <c r="L110" i="1" s="1"/>
  <c r="S110" i="1"/>
  <c r="T110" i="1" s="1"/>
  <c r="I110" i="1"/>
  <c r="K110" i="1" s="1"/>
  <c r="J114" i="1"/>
  <c r="L114" i="1" s="1"/>
  <c r="S114" i="1"/>
  <c r="T114" i="1" s="1"/>
  <c r="I114" i="1"/>
  <c r="K114" i="1" s="1"/>
  <c r="J102" i="1"/>
  <c r="L102" i="1" s="1"/>
  <c r="S102" i="1"/>
  <c r="T102" i="1" s="1"/>
  <c r="I102" i="1"/>
  <c r="K102" i="1" s="1"/>
  <c r="J147" i="1"/>
  <c r="L147" i="1" s="1"/>
  <c r="I147" i="1"/>
  <c r="J138" i="1"/>
  <c r="L138" i="1" s="1"/>
  <c r="S138" i="1"/>
  <c r="T138" i="1" s="1"/>
  <c r="I138" i="1"/>
  <c r="K138" i="1" s="1"/>
  <c r="S142" i="1"/>
  <c r="T142" i="1" s="1"/>
  <c r="I142" i="1"/>
  <c r="K142" i="1" s="1"/>
  <c r="J142" i="1"/>
  <c r="L142" i="1" s="1"/>
  <c r="I28" i="1"/>
  <c r="J28" i="1"/>
  <c r="L28" i="1" s="1"/>
  <c r="J40" i="1"/>
  <c r="L40" i="1" s="1"/>
  <c r="S40" i="1"/>
  <c r="T40" i="1" s="1"/>
  <c r="I40" i="1"/>
  <c r="K40" i="1" s="1"/>
  <c r="J36" i="1"/>
  <c r="L36" i="1" s="1"/>
  <c r="I36" i="1"/>
  <c r="K36" i="1" s="1"/>
  <c r="R36" i="1"/>
  <c r="S36" i="1" s="1"/>
  <c r="T36" i="1" s="1"/>
  <c r="O131" i="1"/>
  <c r="Q119" i="1"/>
  <c r="Q70" i="1"/>
  <c r="R70" i="1" s="1"/>
  <c r="R64" i="1"/>
  <c r="S64" i="1" s="1"/>
  <c r="T64" i="1" s="1"/>
  <c r="S24" i="1"/>
  <c r="T24" i="1" s="1"/>
  <c r="J24" i="1"/>
  <c r="L24" i="1" s="1"/>
  <c r="I24" i="1"/>
  <c r="K24" i="1" s="1"/>
  <c r="S20" i="1"/>
  <c r="T20" i="1" s="1"/>
  <c r="I20" i="1"/>
  <c r="K20" i="1" s="1"/>
  <c r="J20" i="1"/>
  <c r="L20" i="1" s="1"/>
  <c r="J16" i="1"/>
  <c r="L16" i="1" s="1"/>
  <c r="S16" i="1"/>
  <c r="T16" i="1" s="1"/>
  <c r="I16" i="1"/>
  <c r="K16" i="1" s="1"/>
  <c r="Q144" i="1"/>
  <c r="R144" i="1" s="1"/>
  <c r="R134" i="1"/>
  <c r="S134" i="1" s="1"/>
  <c r="T134" i="1" s="1"/>
  <c r="J50" i="1"/>
  <c r="L50" i="1" s="1"/>
  <c r="S50" i="1"/>
  <c r="T50" i="1" s="1"/>
  <c r="I50" i="1"/>
  <c r="K50" i="1" s="1"/>
  <c r="J65" i="1"/>
  <c r="L65" i="1" s="1"/>
  <c r="S65" i="1"/>
  <c r="T65" i="1" s="1"/>
  <c r="I65" i="1"/>
  <c r="K65" i="1" s="1"/>
  <c r="J56" i="1"/>
  <c r="L56" i="1" s="1"/>
  <c r="I56" i="1"/>
  <c r="J60" i="1"/>
  <c r="L60" i="1" s="1"/>
  <c r="S60" i="1"/>
  <c r="T60" i="1" s="1"/>
  <c r="I60" i="1"/>
  <c r="K60" i="1" s="1"/>
  <c r="J69" i="1"/>
  <c r="L69" i="1" s="1"/>
  <c r="S69" i="1"/>
  <c r="T69" i="1" s="1"/>
  <c r="I69" i="1"/>
  <c r="K69" i="1" s="1"/>
  <c r="S76" i="1"/>
  <c r="T76" i="1" s="1"/>
  <c r="I76" i="1"/>
  <c r="K76" i="1" s="1"/>
  <c r="J76" i="1"/>
  <c r="L76" i="1" s="1"/>
  <c r="J80" i="1"/>
  <c r="L80" i="1" s="1"/>
  <c r="S80" i="1"/>
  <c r="T80" i="1" s="1"/>
  <c r="I80" i="1"/>
  <c r="K80" i="1" s="1"/>
  <c r="J90" i="1"/>
  <c r="L90" i="1" s="1"/>
  <c r="S90" i="1"/>
  <c r="T90" i="1" s="1"/>
  <c r="I90" i="1"/>
  <c r="K90" i="1" s="1"/>
  <c r="J94" i="1"/>
  <c r="L94" i="1" s="1"/>
  <c r="S94" i="1"/>
  <c r="T94" i="1" s="1"/>
  <c r="I94" i="1"/>
  <c r="K94" i="1" s="1"/>
  <c r="S103" i="1"/>
  <c r="T103" i="1" s="1"/>
  <c r="I103" i="1"/>
  <c r="K103" i="1" s="1"/>
  <c r="J103" i="1"/>
  <c r="L103" i="1" s="1"/>
  <c r="J107" i="1"/>
  <c r="L107" i="1" s="1"/>
  <c r="S107" i="1"/>
  <c r="T107" i="1" s="1"/>
  <c r="I107" i="1"/>
  <c r="K107" i="1" s="1"/>
  <c r="J111" i="1"/>
  <c r="L111" i="1" s="1"/>
  <c r="S111" i="1"/>
  <c r="T111" i="1" s="1"/>
  <c r="I111" i="1"/>
  <c r="K111" i="1" s="1"/>
  <c r="J115" i="1"/>
  <c r="L115" i="1" s="1"/>
  <c r="S115" i="1"/>
  <c r="T115" i="1" s="1"/>
  <c r="I115" i="1"/>
  <c r="K115" i="1" s="1"/>
  <c r="J119" i="1"/>
  <c r="L119" i="1" s="1"/>
  <c r="I119" i="1"/>
  <c r="J139" i="1"/>
  <c r="L139" i="1" s="1"/>
  <c r="S139" i="1"/>
  <c r="T139" i="1" s="1"/>
  <c r="I139" i="1"/>
  <c r="K139" i="1" s="1"/>
  <c r="S143" i="1"/>
  <c r="T143" i="1" s="1"/>
  <c r="I143" i="1"/>
  <c r="K143" i="1" s="1"/>
  <c r="J143" i="1"/>
  <c r="L143" i="1" s="1"/>
  <c r="J148" i="1"/>
  <c r="L148" i="1" s="1"/>
  <c r="S148" i="1"/>
  <c r="T148" i="1" s="1"/>
  <c r="I148" i="1"/>
  <c r="K148" i="1" s="1"/>
  <c r="J75" i="1"/>
  <c r="L75" i="1" s="1"/>
  <c r="S75" i="1"/>
  <c r="T75" i="1" s="1"/>
  <c r="I75" i="1"/>
  <c r="K75" i="1" s="1"/>
  <c r="J39" i="1"/>
  <c r="L39" i="1" s="1"/>
  <c r="S39" i="1"/>
  <c r="T39" i="1" s="1"/>
  <c r="I39" i="1"/>
  <c r="K39" i="1" s="1"/>
  <c r="Q32" i="1"/>
  <c r="R32" i="1" s="1"/>
  <c r="R28" i="1"/>
  <c r="S28" i="1" s="1"/>
  <c r="T28" i="1" s="1"/>
  <c r="R13" i="1"/>
  <c r="S13" i="1" s="1"/>
  <c r="T13" i="1" s="1"/>
  <c r="Q25" i="1"/>
  <c r="R25" i="1" s="1"/>
  <c r="Q41" i="1"/>
  <c r="R41" i="1" s="1"/>
  <c r="R35" i="1"/>
  <c r="S35" i="1" s="1"/>
  <c r="T35" i="1" s="1"/>
  <c r="J125" i="1" l="1"/>
  <c r="L125" i="1" s="1"/>
  <c r="S125" i="1"/>
  <c r="T125" i="1" s="1"/>
  <c r="F127" i="1"/>
  <c r="H126" i="1"/>
  <c r="G126" i="1"/>
  <c r="R126" i="1" s="1"/>
  <c r="R27" i="2"/>
  <c r="S27" i="2" s="1"/>
  <c r="T27" i="2" s="1"/>
  <c r="R20" i="2"/>
  <c r="S20" i="2" s="1"/>
  <c r="T20" i="2" s="1"/>
  <c r="R23" i="2"/>
  <c r="S23" i="2" s="1"/>
  <c r="T23" i="2" s="1"/>
  <c r="K29" i="2"/>
  <c r="I29" i="2"/>
  <c r="R24" i="2"/>
  <c r="S24" i="2" s="1"/>
  <c r="T24" i="2" s="1"/>
  <c r="P29" i="2"/>
  <c r="Q9" i="2"/>
  <c r="I41" i="1"/>
  <c r="K35" i="1"/>
  <c r="K41" i="1" s="1"/>
  <c r="L41" i="1" s="1"/>
  <c r="I116" i="1"/>
  <c r="K101" i="1"/>
  <c r="K116" i="1" s="1"/>
  <c r="L116" i="1" s="1"/>
  <c r="I53" i="1"/>
  <c r="K44" i="1"/>
  <c r="K53" i="1" s="1"/>
  <c r="L53" i="1" s="1"/>
  <c r="K73" i="1"/>
  <c r="K84" i="1" s="1"/>
  <c r="L84" i="1" s="1"/>
  <c r="I84" i="1"/>
  <c r="I149" i="1"/>
  <c r="K147" i="1"/>
  <c r="K149" i="1" s="1"/>
  <c r="I98" i="1"/>
  <c r="K87" i="1"/>
  <c r="K98" i="1" s="1"/>
  <c r="L98" i="1" s="1"/>
  <c r="I70" i="1"/>
  <c r="K64" i="1"/>
  <c r="K70" i="1" s="1"/>
  <c r="L70" i="1" s="1"/>
  <c r="I25" i="1"/>
  <c r="K13" i="1"/>
  <c r="K25" i="1" s="1"/>
  <c r="L25" i="1" s="1"/>
  <c r="I144" i="1"/>
  <c r="K134" i="1"/>
  <c r="K144" i="1" s="1"/>
  <c r="L144" i="1" s="1"/>
  <c r="K119" i="1"/>
  <c r="I61" i="1"/>
  <c r="K56" i="1"/>
  <c r="K61" i="1" s="1"/>
  <c r="L61" i="1" s="1"/>
  <c r="Q131" i="1"/>
  <c r="R119" i="1"/>
  <c r="S119" i="1" s="1"/>
  <c r="T119" i="1" s="1"/>
  <c r="I32" i="1"/>
  <c r="K28" i="1"/>
  <c r="K32" i="1" s="1"/>
  <c r="L32" i="1" s="1"/>
  <c r="R149" i="1"/>
  <c r="Q116" i="1"/>
  <c r="R116" i="1" s="1"/>
  <c r="R101" i="1"/>
  <c r="S101" i="1" s="1"/>
  <c r="T101" i="1" s="1"/>
  <c r="L29" i="2" l="1"/>
  <c r="C28" i="4"/>
  <c r="C30" i="4" s="1"/>
  <c r="Q153" i="1"/>
  <c r="L149" i="1"/>
  <c r="F128" i="1"/>
  <c r="H127" i="1"/>
  <c r="G127" i="1"/>
  <c r="R127" i="1" s="1"/>
  <c r="J126" i="1"/>
  <c r="L126" i="1" s="1"/>
  <c r="S126" i="1"/>
  <c r="T126" i="1" s="1"/>
  <c r="I126" i="1"/>
  <c r="R9" i="2"/>
  <c r="S9" i="2" s="1"/>
  <c r="T9" i="2" s="1"/>
  <c r="Q29" i="2"/>
  <c r="R29" i="2" s="1"/>
  <c r="K126" i="1" l="1"/>
  <c r="J127" i="1"/>
  <c r="L127" i="1" s="1"/>
  <c r="S127" i="1"/>
  <c r="T127" i="1" s="1"/>
  <c r="I127" i="1"/>
  <c r="K127" i="1" s="1"/>
  <c r="F129" i="1"/>
  <c r="H128" i="1"/>
  <c r="G128" i="1"/>
  <c r="R128" i="1" l="1"/>
  <c r="S128" i="1" s="1"/>
  <c r="T128" i="1" s="1"/>
  <c r="J128" i="1"/>
  <c r="L128" i="1" s="1"/>
  <c r="I128" i="1"/>
  <c r="K128" i="1" s="1"/>
  <c r="F130" i="1"/>
  <c r="H129" i="1"/>
  <c r="G129" i="1"/>
  <c r="R129" i="1" s="1"/>
  <c r="H130" i="1" l="1"/>
  <c r="G130" i="1"/>
  <c r="J129" i="1"/>
  <c r="L129" i="1" s="1"/>
  <c r="S129" i="1"/>
  <c r="T129" i="1" s="1"/>
  <c r="I129" i="1"/>
  <c r="K129" i="1" l="1"/>
  <c r="R130" i="1"/>
  <c r="S130" i="1" s="1"/>
  <c r="T130" i="1" s="1"/>
  <c r="G131" i="1"/>
  <c r="J130" i="1"/>
  <c r="L130" i="1" s="1"/>
  <c r="I130" i="1"/>
  <c r="K130" i="1" s="1"/>
  <c r="K131" i="1" l="1"/>
  <c r="K153" i="1" s="1"/>
  <c r="R153" i="1"/>
  <c r="R131" i="1"/>
  <c r="I131" i="1"/>
  <c r="I153" i="1" s="1"/>
  <c r="L131" i="1" l="1"/>
  <c r="L153" i="1"/>
  <c r="H2" i="1"/>
  <c r="G10" i="4"/>
  <c r="C11" i="4"/>
  <c r="G11" i="4"/>
  <c r="C13" i="4"/>
  <c r="G15" i="4"/>
  <c r="B20" i="4"/>
  <c r="C24" i="4"/>
  <c r="H2" i="2"/>
  <c r="J12" i="3"/>
  <c r="K12" i="3"/>
  <c r="K13" i="3"/>
  <c r="J19" i="3"/>
  <c r="K19" i="3"/>
  <c r="K20" i="3"/>
  <c r="K22" i="3"/>
  <c r="K32" i="3"/>
</calcChain>
</file>

<file path=xl/sharedStrings.xml><?xml version="1.0" encoding="utf-8"?>
<sst xmlns="http://schemas.openxmlformats.org/spreadsheetml/2006/main" count="263" uniqueCount="197">
  <si>
    <t>Waste Management - Seattle/South Sound</t>
  </si>
  <si>
    <t>Commercial Services Priceout</t>
  </si>
  <si>
    <t>Pro Forma</t>
  </si>
  <si>
    <t>%</t>
  </si>
  <si>
    <t>PF</t>
  </si>
  <si>
    <t xml:space="preserve">Tariff </t>
  </si>
  <si>
    <t xml:space="preserve">Total # of </t>
  </si>
  <si>
    <t>Current</t>
  </si>
  <si>
    <t>Annual</t>
  </si>
  <si>
    <t>Proposed</t>
  </si>
  <si>
    <t>Price</t>
  </si>
  <si>
    <t>Revenue</t>
  </si>
  <si>
    <t>INC.</t>
  </si>
  <si>
    <t>lbs./</t>
  </si>
  <si>
    <t>Calculated</t>
  </si>
  <si>
    <t>Disposal</t>
  </si>
  <si>
    <t>Service</t>
  </si>
  <si>
    <t>Item #</t>
  </si>
  <si>
    <t>Containers</t>
  </si>
  <si>
    <t>Customers</t>
  </si>
  <si>
    <t>Freq.</t>
  </si>
  <si>
    <t>Rate</t>
  </si>
  <si>
    <t>Diff.</t>
  </si>
  <si>
    <t>(DEC.)</t>
  </si>
  <si>
    <t>Container</t>
  </si>
  <si>
    <t>Tons</t>
  </si>
  <si>
    <t>fee</t>
  </si>
  <si>
    <t>Garbage Service:</t>
  </si>
  <si>
    <t>Row Labels</t>
  </si>
  <si>
    <t>20N 1-20 GAL CAN</t>
  </si>
  <si>
    <t>New service</t>
  </si>
  <si>
    <t>1AM 1-32 GAL CAN MSW</t>
  </si>
  <si>
    <t>2BM 2-35 GAL CANS MSW</t>
  </si>
  <si>
    <t>2AM 2-32 GAL CANS MSW</t>
  </si>
  <si>
    <t>3AM 3-32 GAL CANS MSW</t>
  </si>
  <si>
    <t>4AM 4-32 GAL CANS MSW</t>
  </si>
  <si>
    <t>6AM 6-32 GAL CANS MSW</t>
  </si>
  <si>
    <t>7AM 7-32 GAL CANS MSW</t>
  </si>
  <si>
    <t>8AM 8-32 GAL CANS MSW</t>
  </si>
  <si>
    <t>AA0 11-32 GAL CANS MSW</t>
  </si>
  <si>
    <t>AI0 19-32 GAL CANS MSW</t>
  </si>
  <si>
    <t>CZ0 30-32 GAL CANS MSW</t>
  </si>
  <si>
    <t>EZ0 50-32 GAL CANS MSW</t>
  </si>
  <si>
    <t>CM1 35 GAL CART MSW 1X WK</t>
  </si>
  <si>
    <t>CME 35 GAL CART MSW EOW</t>
  </si>
  <si>
    <t>CT2 2-35 GAL CARTS MSW</t>
  </si>
  <si>
    <t>CT3 3-35 GAL CARTS MSW</t>
  </si>
  <si>
    <t>DME 64 GAL CART MSW EOW</t>
  </si>
  <si>
    <t>1DM 1-64 GAL CART MSW</t>
  </si>
  <si>
    <t>2DM 2-64 GAL CARTS MSW</t>
  </si>
  <si>
    <t>3DM 3-64 GAL CARTS MSW</t>
  </si>
  <si>
    <t>5DM 5-64 GAL CARTS MSW</t>
  </si>
  <si>
    <t>6DM 6-64 GAL CARTS MSW</t>
  </si>
  <si>
    <t>EMM 96 GAL CART MSW 1X MO</t>
  </si>
  <si>
    <t>EME 96 GAL CART MSW EOW</t>
  </si>
  <si>
    <t>1EM 1-96 GAL CART MSW</t>
  </si>
  <si>
    <t>2EM 2-96 GAL CARTS MSW</t>
  </si>
  <si>
    <t>3EM 3-96 GAL CARTS MSW</t>
  </si>
  <si>
    <t>4EM 4-96 GAL CARTS MSW</t>
  </si>
  <si>
    <t>5EM 5-96 GAL CARTS MSW</t>
  </si>
  <si>
    <t>6EM 6-96 GAL CARTS MSW</t>
  </si>
  <si>
    <t>7EM 7-96 GAL CARTS MSW</t>
  </si>
  <si>
    <t>1FM 1 YD MSW 1X MO</t>
  </si>
  <si>
    <t>1FQ 1 YD FEL ON CALL</t>
  </si>
  <si>
    <t>1FE 1 YD MSW EOW</t>
  </si>
  <si>
    <t>111 1-1 YD 1X PER WEEK</t>
  </si>
  <si>
    <t>112 1-1 YD 2X PER WEEK</t>
  </si>
  <si>
    <t>5FX 1.5 YD MSW EXTRA SVC</t>
  </si>
  <si>
    <t>5FE 1.5 YD MSW EOW</t>
  </si>
  <si>
    <t>151 1-1.5 YD 1X PER WEEK</t>
  </si>
  <si>
    <t>251 2-1.5 YD 1X PER WEEK</t>
  </si>
  <si>
    <t>152 1-1.5 YD 2X PER WEEK</t>
  </si>
  <si>
    <t>153 1-1.5 YD 3X PER WEEK</t>
  </si>
  <si>
    <t>2FX 2 YD MSW EXTRA SVC</t>
  </si>
  <si>
    <t>2FM 2 YD MSW 1X MO</t>
  </si>
  <si>
    <t>2FE 2 YD MSW EOW</t>
  </si>
  <si>
    <t>121 1-2 YD 1X PER WEEK</t>
  </si>
  <si>
    <t>221 2-2 YD 1X PER WEEK</t>
  </si>
  <si>
    <t>421 4-2 YD 1X PER WEEK</t>
  </si>
  <si>
    <t>122 1-2 YD 2X PER WEEK</t>
  </si>
  <si>
    <t>222 2-2 YD 2X PER WEEK</t>
  </si>
  <si>
    <t>622 6-2 YD 2X PER WEEK</t>
  </si>
  <si>
    <t>123 1-2 YD 3X PER WEEK</t>
  </si>
  <si>
    <t>124 1-2 YD 4X PER WEEK</t>
  </si>
  <si>
    <t>3PT 3 YD MSW TEMP PER UNIT</t>
  </si>
  <si>
    <t>3FQ 3YD FEL ON CALL</t>
  </si>
  <si>
    <t>3FE 3 YD MSW EOW</t>
  </si>
  <si>
    <t>131 1-3 YD 1X PER WEEK</t>
  </si>
  <si>
    <t>231 2-3 YD 1X PER WEEK</t>
  </si>
  <si>
    <t>431 4-3 YD 1X PER WEEK</t>
  </si>
  <si>
    <t>931 9-3 YD 1X PER WEEK</t>
  </si>
  <si>
    <t>132 1-3 YD 2X PER WEEK</t>
  </si>
  <si>
    <t>232 2-3 YD 2X PER WEEK</t>
  </si>
  <si>
    <t>133 1-3 YD 3X PER WEEK</t>
  </si>
  <si>
    <t>233 2-3 YD 3X PER WEEK</t>
  </si>
  <si>
    <t>4PT 4 YD MSW TEMP PER UNIT</t>
  </si>
  <si>
    <t>4FQ 4YD FEL ON CALL</t>
  </si>
  <si>
    <t>4FM 4 YD MSW 1X MO</t>
  </si>
  <si>
    <t>4FE 4 YD MSW EOW</t>
  </si>
  <si>
    <t>141 1-4 YD 1X PER WEEK</t>
  </si>
  <si>
    <t>241 2-4 YD 1X PER WEEK</t>
  </si>
  <si>
    <t>341 3-4 YD 1X PER WEEK</t>
  </si>
  <si>
    <t>441 4-4 YD 1X PER WEEK</t>
  </si>
  <si>
    <t>142 1-4 YD 2X PER WEEK</t>
  </si>
  <si>
    <t>242 2-4 YD 2X PER WEEK</t>
  </si>
  <si>
    <t>342 3-4 YD 2X PER WEEK</t>
  </si>
  <si>
    <t>442 4-4 YD 2X PER WEEK</t>
  </si>
  <si>
    <t>742 7-4 YD 2X PER WEEK</t>
  </si>
  <si>
    <t>143 1-4 YD 3X PER WEEK</t>
  </si>
  <si>
    <t>343 3-4 YD 3X PER WEEK</t>
  </si>
  <si>
    <t>6PT 6 YD MSW TEMP PER UNIT</t>
  </si>
  <si>
    <t>6FX 6 YD MSW EXTRA SVC</t>
  </si>
  <si>
    <t>6FM 6 YD MSW 1X MO</t>
  </si>
  <si>
    <t>6FE 6 YD MSW EOW</t>
  </si>
  <si>
    <t>161 1-6 YD 1X PER WEEK</t>
  </si>
  <si>
    <t>261 2-6 YD 1X PER WEEK</t>
  </si>
  <si>
    <t>361 3-6 YD 1X PER WEEK</t>
  </si>
  <si>
    <t>661 6-6 YD 1X PER WEEK</t>
  </si>
  <si>
    <t>162 1-6 YD 2X PER WEEK</t>
  </si>
  <si>
    <t>262 2-6 YD 2X PER WEEK</t>
  </si>
  <si>
    <t>362 3-6 YD 2X PER WEEK</t>
  </si>
  <si>
    <t>462 4-6 YD 2X PER WEEK</t>
  </si>
  <si>
    <t>8FX 8 YD MSW EXTRA SVC</t>
  </si>
  <si>
    <t>8FM 8 YD MSW 1X MO</t>
  </si>
  <si>
    <t>181 1-8 YD 1X PER WEEK</t>
  </si>
  <si>
    <t>281 2-8 YD 1X PER WEEK</t>
  </si>
  <si>
    <t>381 3-8 YD 1X PER WEEK</t>
  </si>
  <si>
    <t>182 1-8 YD 2X PER WEEK</t>
  </si>
  <si>
    <t>282 2-8 YD 2X PER WEEK</t>
  </si>
  <si>
    <t>482 4-8 YD 2X PER WEEK</t>
  </si>
  <si>
    <t>183 1-8 YD 3X PER WEEK</t>
  </si>
  <si>
    <t>283 2-8 YD 3X PER WEEK</t>
  </si>
  <si>
    <t>3C1 3 YD COMPACTOR 1X WK</t>
  </si>
  <si>
    <t>6C1 6 YD COMPACTOR 1X WK</t>
  </si>
  <si>
    <t xml:space="preserve"># of </t>
  </si>
  <si>
    <t>Rates</t>
  </si>
  <si>
    <t>Spread</t>
  </si>
  <si>
    <t>Can/YD</t>
  </si>
  <si>
    <t>Garbage:</t>
  </si>
  <si>
    <t>20M 20 GAL MSW 1X MO</t>
  </si>
  <si>
    <t>C2M 2-20 GAL MINI CAN 1XMO</t>
  </si>
  <si>
    <t>C3M 32 GAL CAN MSW 1X MO</t>
  </si>
  <si>
    <t>C11 1-10 GAL MINI CAN MSW</t>
  </si>
  <si>
    <t>C21 1-20 GAL MINI CAN MSW</t>
  </si>
  <si>
    <t>C2T 20 GAL CART MSW</t>
  </si>
  <si>
    <t>C31 1-32 GAL CAN MSW</t>
  </si>
  <si>
    <t>C32 2-32 GAL CANS MSW</t>
  </si>
  <si>
    <t>C33 3-32 GAL CANS MSW</t>
  </si>
  <si>
    <t>C34 4-32 GAL CANS MSW</t>
  </si>
  <si>
    <t>T51 1-35 GAL CART MSW</t>
  </si>
  <si>
    <t>T52 2-35 GAL CARTS MSW</t>
  </si>
  <si>
    <t>T61 1-64 GAL CART MSW</t>
  </si>
  <si>
    <t>T62 2-64 GAL CARTS MSW</t>
  </si>
  <si>
    <t>T63 3-64 GAL CARTS MSW</t>
  </si>
  <si>
    <t>T64 4-64 GAL CARTS MSW</t>
  </si>
  <si>
    <t>T91 1-96 GAL CART MSW</t>
  </si>
  <si>
    <t>T92 2-96 GAL CARTS MSW</t>
  </si>
  <si>
    <t>T93 3-96 GAL CARTS MSW</t>
  </si>
  <si>
    <t>Extras</t>
  </si>
  <si>
    <t>TG-140471</t>
  </si>
  <si>
    <t>Residential Services Priceout</t>
  </si>
  <si>
    <t>Regulated</t>
  </si>
  <si>
    <t>Expense</t>
  </si>
  <si>
    <t>Gross up</t>
  </si>
  <si>
    <t>Cost</t>
  </si>
  <si>
    <t>Adj.</t>
  </si>
  <si>
    <t>Factor</t>
  </si>
  <si>
    <t>Commercial</t>
  </si>
  <si>
    <t>King County</t>
  </si>
  <si>
    <t>North Sound</t>
  </si>
  <si>
    <t>Residential</t>
  </si>
  <si>
    <t>Roll Off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</si>
  <si>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</si>
  <si>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</si>
  <si>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</si>
  <si>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</si>
  <si>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</si>
  <si>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</si>
  <si>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</si>
  <si>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</si>
  <si>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</si>
  <si>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</si>
  <si>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</si>
  <si>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Grossed Up Increase per ton</t>
  </si>
  <si>
    <t>Total</t>
  </si>
  <si>
    <t>Tons Collected</t>
  </si>
  <si>
    <t>Disposal Fee Revenue Increase</t>
  </si>
  <si>
    <t>before RO</t>
  </si>
  <si>
    <t>after RO</t>
  </si>
  <si>
    <t>Revenue Sensitive costs</t>
  </si>
  <si>
    <t>Regulated Revenue and Expense Adjustment</t>
  </si>
  <si>
    <t>Revenue Sensitive Costs distributed to Res'l and Com'l (a)</t>
  </si>
  <si>
    <r>
      <rPr>
        <b/>
        <sz val="11"/>
        <color indexed="8"/>
        <rFont val="Calibri"/>
        <family val="2"/>
      </rPr>
      <t>(a)</t>
    </r>
    <r>
      <rPr>
        <sz val="11"/>
        <color theme="1"/>
        <rFont val="Calibri"/>
        <family val="2"/>
        <scheme val="minor"/>
      </rPr>
      <t xml:space="preserve">  As Roll off disposal is a pass through, the revenue sensitive associated costs due to the increase in roll off disposal fees must be borne by the commercial and residential customers.</t>
    </r>
  </si>
  <si>
    <t>Commercial Priceout</t>
  </si>
  <si>
    <t>Residential Priceout</t>
  </si>
  <si>
    <t>Roll Off disposal Pass Through</t>
  </si>
  <si>
    <t>Revenue Sensitive Costs associated with Dispsosal Pass Thru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</si>
</sst>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General_)"/>
    <numFmt numFmtId="168" formatCode="0.0%"/>
    <numFmt numFmtId="169" formatCode="_(* #,##0.0000_);_(* \(#,##0.0000\);_(* &quot;-&quot;??_);_(@_)"/>
    <numFmt numFmtId="170" formatCode="_(&quot;$&quot;* #,##0.000_);_(&quot;$&quot;* \(#,##0.000\);_(&quot;$&quot;* &quot;-&quot;??_);_(@_)"/>
    <numFmt numFmtId="171" formatCode="0.0000%"/>
    <numFmt numFmtId="172" formatCode="_(&quot;$&quot;* #,##0.000000_);_(&quot;$&quot;* \(#,##0.000000\);_(&quot;$&quot;* &quot;-&quot;??_);_(@_)"/>
    <numFmt numFmtId="173" formatCode="0.000000"/>
    <numFmt numFmtId="174" formatCode="0.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 val="singleAccounting"/>
      <sz val="12"/>
      <name val="Arial"/>
      <family val="2"/>
    </font>
    <font>
      <u/>
      <sz val="12"/>
      <color theme="1"/>
      <name val="Arial"/>
      <family val="2"/>
    </font>
    <font>
      <sz val="12"/>
      <color theme="3"/>
      <name val="Arial"/>
      <family val="2"/>
    </font>
    <font>
      <b/>
      <sz val="12"/>
      <color rgb="FFFF0000"/>
      <name val="Arial"/>
      <family val="2"/>
    </font>
    <font>
      <b/>
      <u/>
      <sz val="12"/>
      <color theme="3"/>
      <name val="Arial"/>
      <family val="2"/>
    </font>
    <font>
      <sz val="12"/>
      <color rgb="FFFF0000"/>
      <name val="Arial"/>
      <family val="2"/>
    </font>
    <font>
      <u val="singleAccounting"/>
      <sz val="12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b/>
      <u val="double"/>
      <sz val="12"/>
      <color theme="1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singleAccounting"/>
      <sz val="10"/>
      <name val="Arial"/>
      <family val="2"/>
    </font>
    <font>
      <b/>
      <u val="double"/>
      <sz val="10"/>
      <name val="Arial"/>
      <family val="2"/>
    </font>
    <font>
      <u/>
      <sz val="10"/>
      <name val="Arial"/>
      <family val="2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 val="doubleAccounting"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209">
    <xf numFmtId="0" fontId="0" fillId="0" borderId="0" xfId="0"/>
    <xf numFmtId="0" fontId="3" fillId="0" borderId="0" xfId="0" applyFont="1"/>
    <xf numFmtId="164" fontId="3" fillId="0" borderId="0" xfId="1" applyNumberFormat="1" applyFont="1"/>
    <xf numFmtId="165" fontId="3" fillId="0" borderId="0" xfId="1" applyNumberFormat="1" applyFont="1"/>
    <xf numFmtId="44" fontId="3" fillId="0" borderId="0" xfId="2" applyFont="1"/>
    <xf numFmtId="166" fontId="3" fillId="0" borderId="0" xfId="2" applyNumberFormat="1" applyFont="1"/>
    <xf numFmtId="43" fontId="3" fillId="0" borderId="0" xfId="1" applyFont="1"/>
    <xf numFmtId="0" fontId="5" fillId="0" borderId="0" xfId="0" applyFont="1" applyBorder="1"/>
    <xf numFmtId="0" fontId="6" fillId="0" borderId="0" xfId="0" applyFont="1"/>
    <xf numFmtId="0" fontId="3" fillId="0" borderId="0" xfId="4" applyFont="1"/>
    <xf numFmtId="165" fontId="6" fillId="0" borderId="0" xfId="1" applyNumberFormat="1" applyFont="1" applyAlignment="1">
      <alignment horizontal="center"/>
    </xf>
    <xf numFmtId="44" fontId="6" fillId="0" borderId="0" xfId="2" applyFont="1"/>
    <xf numFmtId="37" fontId="7" fillId="0" borderId="0" xfId="4" applyNumberFormat="1" applyFont="1" applyAlignment="1" applyProtection="1">
      <alignment horizontal="center"/>
    </xf>
    <xf numFmtId="0" fontId="7" fillId="0" borderId="0" xfId="4" applyFont="1" applyAlignment="1">
      <alignment horizontal="center"/>
    </xf>
    <xf numFmtId="0" fontId="8" fillId="0" borderId="0" xfId="4" applyFont="1"/>
    <xf numFmtId="43" fontId="8" fillId="0" borderId="0" xfId="1" applyFont="1"/>
    <xf numFmtId="164" fontId="7" fillId="0" borderId="0" xfId="5" applyNumberFormat="1" applyFont="1" applyAlignment="1">
      <alignment horizontal="center"/>
    </xf>
    <xf numFmtId="10" fontId="8" fillId="0" borderId="0" xfId="6" applyNumberFormat="1" applyFont="1"/>
    <xf numFmtId="44" fontId="8" fillId="0" borderId="0" xfId="7" applyFont="1"/>
    <xf numFmtId="0" fontId="6" fillId="0" borderId="0" xfId="0" applyFont="1" applyAlignment="1">
      <alignment horizontal="center"/>
    </xf>
    <xf numFmtId="164" fontId="6" fillId="0" borderId="0" xfId="5" applyNumberFormat="1" applyFont="1" applyAlignment="1">
      <alignment horizontal="center"/>
    </xf>
    <xf numFmtId="44" fontId="6" fillId="0" borderId="0" xfId="2" applyFont="1" applyAlignment="1">
      <alignment horizontal="center"/>
    </xf>
    <xf numFmtId="166" fontId="6" fillId="0" borderId="0" xfId="2" applyNumberFormat="1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10" fontId="7" fillId="0" borderId="0" xfId="6" applyNumberFormat="1" applyFont="1" applyAlignment="1">
      <alignment horizontal="center"/>
    </xf>
    <xf numFmtId="44" fontId="7" fillId="0" borderId="0" xfId="7" applyFont="1" applyAlignment="1">
      <alignment horizontal="center"/>
    </xf>
    <xf numFmtId="0" fontId="9" fillId="0" borderId="0" xfId="8" applyFont="1" applyAlignment="1">
      <alignment horizontal="center"/>
    </xf>
    <xf numFmtId="164" fontId="10" fillId="0" borderId="0" xfId="5" applyNumberFormat="1" applyFont="1" applyAlignment="1">
      <alignment horizontal="center"/>
    </xf>
    <xf numFmtId="165" fontId="10" fillId="0" borderId="0" xfId="1" applyNumberFormat="1" applyFont="1" applyAlignment="1">
      <alignment horizontal="center"/>
    </xf>
    <xf numFmtId="44" fontId="9" fillId="0" borderId="0" xfId="2" applyFont="1" applyAlignment="1">
      <alignment horizontal="center"/>
    </xf>
    <xf numFmtId="166" fontId="10" fillId="0" borderId="0" xfId="2" applyNumberFormat="1" applyFont="1" applyAlignment="1">
      <alignment horizontal="center"/>
    </xf>
    <xf numFmtId="0" fontId="11" fillId="0" borderId="0" xfId="4" applyFont="1" applyBorder="1" applyAlignment="1">
      <alignment horizontal="center"/>
    </xf>
    <xf numFmtId="0" fontId="12" fillId="0" borderId="0" xfId="4" applyFont="1" applyBorder="1"/>
    <xf numFmtId="43" fontId="13" fillId="0" borderId="1" xfId="1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164" fontId="11" fillId="0" borderId="0" xfId="5" applyNumberFormat="1" applyFont="1" applyBorder="1" applyAlignment="1">
      <alignment horizontal="center"/>
    </xf>
    <xf numFmtId="0" fontId="11" fillId="0" borderId="1" xfId="4" applyFont="1" applyBorder="1" applyAlignment="1">
      <alignment horizontal="right"/>
    </xf>
    <xf numFmtId="0" fontId="11" fillId="0" borderId="1" xfId="4" applyFont="1" applyBorder="1" applyAlignment="1">
      <alignment horizontal="center"/>
    </xf>
    <xf numFmtId="44" fontId="11" fillId="0" borderId="1" xfId="7" applyFont="1" applyBorder="1" applyAlignment="1">
      <alignment horizontal="center"/>
    </xf>
    <xf numFmtId="0" fontId="14" fillId="0" borderId="0" xfId="0" applyFont="1"/>
    <xf numFmtId="0" fontId="9" fillId="0" borderId="0" xfId="0" applyFont="1"/>
    <xf numFmtId="44" fontId="15" fillId="0" borderId="0" xfId="2" applyFont="1" applyFill="1"/>
    <xf numFmtId="44" fontId="16" fillId="0" borderId="2" xfId="0" applyNumberFormat="1" applyFont="1" applyBorder="1"/>
    <xf numFmtId="0" fontId="9" fillId="0" borderId="0" xfId="8" applyFont="1"/>
    <xf numFmtId="164" fontId="9" fillId="0" borderId="0" xfId="1" applyNumberFormat="1" applyFont="1"/>
    <xf numFmtId="165" fontId="9" fillId="0" borderId="0" xfId="1" applyNumberFormat="1" applyFont="1"/>
    <xf numFmtId="44" fontId="17" fillId="0" borderId="0" xfId="2" applyFont="1" applyFill="1"/>
    <xf numFmtId="166" fontId="9" fillId="0" borderId="0" xfId="2" applyNumberFormat="1" applyFont="1"/>
    <xf numFmtId="43" fontId="9" fillId="0" borderId="0" xfId="1" applyFont="1"/>
    <xf numFmtId="0" fontId="3" fillId="0" borderId="0" xfId="8" applyFont="1" applyAlignment="1">
      <alignment horizontal="left"/>
    </xf>
    <xf numFmtId="0" fontId="3" fillId="0" borderId="0" xfId="8" applyFont="1" applyAlignment="1">
      <alignment horizontal="left" indent="2"/>
    </xf>
    <xf numFmtId="0" fontId="3" fillId="0" borderId="0" xfId="8" applyFont="1" applyAlignment="1">
      <alignment horizontal="center"/>
    </xf>
    <xf numFmtId="164" fontId="10" fillId="0" borderId="0" xfId="1" applyNumberFormat="1" applyFont="1"/>
    <xf numFmtId="44" fontId="18" fillId="0" borderId="0" xfId="2" applyFont="1" applyFill="1"/>
    <xf numFmtId="166" fontId="10" fillId="0" borderId="0" xfId="2" applyNumberFormat="1" applyFont="1"/>
    <xf numFmtId="44" fontId="19" fillId="0" borderId="0" xfId="2" applyFont="1" applyProtection="1"/>
    <xf numFmtId="166" fontId="10" fillId="0" borderId="0" xfId="7" applyNumberFormat="1" applyFont="1"/>
    <xf numFmtId="44" fontId="8" fillId="0" borderId="0" xfId="4" applyNumberFormat="1" applyFont="1"/>
    <xf numFmtId="166" fontId="13" fillId="0" borderId="0" xfId="4" applyNumberFormat="1" applyFont="1"/>
    <xf numFmtId="10" fontId="11" fillId="0" borderId="0" xfId="4" applyNumberFormat="1" applyFont="1" applyProtection="1"/>
    <xf numFmtId="43" fontId="10" fillId="0" borderId="0" xfId="1" applyFont="1"/>
    <xf numFmtId="0" fontId="10" fillId="0" borderId="0" xfId="0" applyFont="1"/>
    <xf numFmtId="166" fontId="10" fillId="0" borderId="0" xfId="0" applyNumberFormat="1" applyFont="1"/>
    <xf numFmtId="10" fontId="10" fillId="0" borderId="0" xfId="6" applyNumberFormat="1" applyFont="1"/>
    <xf numFmtId="44" fontId="10" fillId="0" borderId="0" xfId="2" applyFont="1"/>
    <xf numFmtId="44" fontId="10" fillId="0" borderId="0" xfId="0" applyNumberFormat="1" applyFont="1"/>
    <xf numFmtId="44" fontId="8" fillId="0" borderId="0" xfId="2" applyFont="1" applyProtection="1"/>
    <xf numFmtId="166" fontId="3" fillId="0" borderId="0" xfId="7" applyNumberFormat="1" applyFont="1"/>
    <xf numFmtId="166" fontId="8" fillId="0" borderId="0" xfId="4" applyNumberFormat="1" applyFont="1"/>
    <xf numFmtId="10" fontId="8" fillId="0" borderId="0" xfId="4" applyNumberFormat="1" applyFont="1" applyProtection="1"/>
    <xf numFmtId="166" fontId="3" fillId="0" borderId="0" xfId="0" applyNumberFormat="1" applyFont="1"/>
    <xf numFmtId="10" fontId="3" fillId="0" borderId="0" xfId="6" applyNumberFormat="1" applyFont="1"/>
    <xf numFmtId="44" fontId="3" fillId="0" borderId="0" xfId="0" applyNumberFormat="1" applyFont="1"/>
    <xf numFmtId="164" fontId="20" fillId="0" borderId="0" xfId="1" applyNumberFormat="1" applyFont="1"/>
    <xf numFmtId="166" fontId="20" fillId="0" borderId="0" xfId="2" applyNumberFormat="1" applyFont="1"/>
    <xf numFmtId="166" fontId="20" fillId="0" borderId="0" xfId="7" applyNumberFormat="1" applyFont="1"/>
    <xf numFmtId="166" fontId="19" fillId="0" borderId="0" xfId="4" applyNumberFormat="1" applyFont="1"/>
    <xf numFmtId="10" fontId="12" fillId="0" borderId="0" xfId="4" applyNumberFormat="1" applyFont="1" applyProtection="1"/>
    <xf numFmtId="43" fontId="20" fillId="0" borderId="0" xfId="1" applyFont="1"/>
    <xf numFmtId="0" fontId="20" fillId="0" borderId="0" xfId="0" applyFont="1"/>
    <xf numFmtId="166" fontId="20" fillId="0" borderId="0" xfId="0" applyNumberFormat="1" applyFont="1"/>
    <xf numFmtId="10" fontId="20" fillId="0" borderId="0" xfId="6" applyNumberFormat="1" applyFont="1"/>
    <xf numFmtId="164" fontId="3" fillId="0" borderId="0" xfId="1" applyNumberFormat="1" applyFont="1" applyAlignment="1">
      <alignment horizontal="left" indent="2"/>
    </xf>
    <xf numFmtId="10" fontId="9" fillId="0" borderId="0" xfId="6" applyNumberFormat="1" applyFont="1"/>
    <xf numFmtId="10" fontId="19" fillId="0" borderId="0" xfId="4" applyNumberFormat="1" applyFont="1" applyProtection="1"/>
    <xf numFmtId="43" fontId="18" fillId="0" borderId="0" xfId="1" applyFont="1"/>
    <xf numFmtId="44" fontId="20" fillId="0" borderId="0" xfId="2" applyFont="1"/>
    <xf numFmtId="44" fontId="20" fillId="0" borderId="0" xfId="0" applyNumberFormat="1" applyFont="1"/>
    <xf numFmtId="10" fontId="3" fillId="0" borderId="0" xfId="0" applyNumberFormat="1" applyFont="1"/>
    <xf numFmtId="10" fontId="14" fillId="0" borderId="0" xfId="6" applyNumberFormat="1" applyFont="1"/>
    <xf numFmtId="164" fontId="21" fillId="0" borderId="0" xfId="1" applyNumberFormat="1" applyFont="1"/>
    <xf numFmtId="166" fontId="21" fillId="0" borderId="0" xfId="2" applyNumberFormat="1" applyFont="1"/>
    <xf numFmtId="10" fontId="22" fillId="0" borderId="0" xfId="6" applyNumberFormat="1" applyFont="1"/>
    <xf numFmtId="43" fontId="21" fillId="0" borderId="0" xfId="1" applyFont="1"/>
    <xf numFmtId="43" fontId="3" fillId="0" borderId="0" xfId="0" applyNumberFormat="1" applyFont="1"/>
    <xf numFmtId="164" fontId="3" fillId="0" borderId="0" xfId="5" applyNumberFormat="1" applyFont="1"/>
    <xf numFmtId="44" fontId="3" fillId="0" borderId="0" xfId="7" applyFont="1"/>
    <xf numFmtId="43" fontId="3" fillId="0" borderId="0" xfId="5" applyFont="1"/>
    <xf numFmtId="0" fontId="4" fillId="0" borderId="0" xfId="4"/>
    <xf numFmtId="164" fontId="2" fillId="0" borderId="0" xfId="5" applyNumberFormat="1" applyFont="1" applyAlignment="1">
      <alignment horizontal="center"/>
    </xf>
    <xf numFmtId="44" fontId="2" fillId="0" borderId="0" xfId="7" applyFont="1" applyAlignment="1">
      <alignment horizontal="center"/>
    </xf>
    <xf numFmtId="166" fontId="8" fillId="0" borderId="0" xfId="7" applyNumberFormat="1" applyFont="1"/>
    <xf numFmtId="167" fontId="7" fillId="0" borderId="0" xfId="4" applyNumberFormat="1" applyFont="1" applyProtection="1"/>
    <xf numFmtId="164" fontId="14" fillId="0" borderId="0" xfId="5" applyNumberFormat="1" applyFont="1" applyAlignment="1"/>
    <xf numFmtId="43" fontId="7" fillId="0" borderId="0" xfId="5" applyFont="1" applyAlignment="1">
      <alignment horizontal="center"/>
    </xf>
    <xf numFmtId="44" fontId="6" fillId="0" borderId="0" xfId="7" applyFont="1" applyAlignment="1">
      <alignment horizontal="center"/>
    </xf>
    <xf numFmtId="166" fontId="6" fillId="0" borderId="0" xfId="7" applyNumberFormat="1" applyFont="1" applyAlignment="1">
      <alignment horizontal="center"/>
    </xf>
    <xf numFmtId="167" fontId="7" fillId="0" borderId="0" xfId="4" applyNumberFormat="1" applyFont="1" applyAlignment="1" applyProtection="1">
      <alignment horizontal="center"/>
    </xf>
    <xf numFmtId="43" fontId="3" fillId="0" borderId="0" xfId="5" applyNumberFormat="1" applyFont="1" applyAlignment="1"/>
    <xf numFmtId="0" fontId="7" fillId="0" borderId="0" xfId="4" applyFont="1" applyBorder="1"/>
    <xf numFmtId="0" fontId="7" fillId="0" borderId="0" xfId="4" applyFont="1"/>
    <xf numFmtId="44" fontId="7" fillId="0" borderId="0" xfId="7" applyFont="1"/>
    <xf numFmtId="164" fontId="9" fillId="0" borderId="0" xfId="5" applyNumberFormat="1" applyFont="1" applyAlignment="1">
      <alignment horizontal="center"/>
    </xf>
    <xf numFmtId="44" fontId="9" fillId="0" borderId="0" xfId="7" applyFont="1" applyAlignment="1">
      <alignment horizontal="center"/>
    </xf>
    <xf numFmtId="166" fontId="9" fillId="0" borderId="0" xfId="7" applyNumberFormat="1" applyFont="1" applyAlignment="1">
      <alignment horizontal="center"/>
    </xf>
    <xf numFmtId="167" fontId="11" fillId="0" borderId="0" xfId="4" applyNumberFormat="1" applyFont="1" applyBorder="1" applyAlignment="1" applyProtection="1">
      <alignment horizontal="center"/>
    </xf>
    <xf numFmtId="43" fontId="8" fillId="0" borderId="0" xfId="5" applyFont="1" applyAlignment="1"/>
    <xf numFmtId="43" fontId="11" fillId="0" borderId="0" xfId="5" applyFont="1" applyBorder="1" applyAlignment="1">
      <alignment horizontal="center"/>
    </xf>
    <xf numFmtId="0" fontId="11" fillId="0" borderId="0" xfId="4" applyFont="1" applyBorder="1" applyAlignment="1">
      <alignment horizontal="right"/>
    </xf>
    <xf numFmtId="44" fontId="11" fillId="0" borderId="0" xfId="7" applyFont="1" applyBorder="1" applyAlignment="1">
      <alignment horizontal="right"/>
    </xf>
    <xf numFmtId="0" fontId="9" fillId="0" borderId="0" xfId="8" applyFont="1" applyAlignment="1">
      <alignment horizontal="left"/>
    </xf>
    <xf numFmtId="44" fontId="15" fillId="0" borderId="0" xfId="7" applyFont="1"/>
    <xf numFmtId="166" fontId="8" fillId="0" borderId="0" xfId="7" applyNumberFormat="1" applyFont="1" applyBorder="1" applyProtection="1"/>
    <xf numFmtId="44" fontId="8" fillId="0" borderId="0" xfId="7" applyFont="1" applyProtection="1"/>
    <xf numFmtId="168" fontId="3" fillId="0" borderId="0" xfId="6" applyNumberFormat="1" applyFont="1"/>
    <xf numFmtId="43" fontId="18" fillId="0" borderId="0" xfId="5" applyFont="1"/>
    <xf numFmtId="164" fontId="20" fillId="0" borderId="0" xfId="5" applyNumberFormat="1" applyFont="1"/>
    <xf numFmtId="166" fontId="19" fillId="0" borderId="0" xfId="7" applyNumberFormat="1" applyFont="1" applyBorder="1" applyProtection="1"/>
    <xf numFmtId="43" fontId="20" fillId="0" borderId="0" xfId="0" applyNumberFormat="1" applyFont="1"/>
    <xf numFmtId="168" fontId="14" fillId="0" borderId="0" xfId="6" applyNumberFormat="1" applyFont="1"/>
    <xf numFmtId="164" fontId="10" fillId="0" borderId="0" xfId="5" applyNumberFormat="1" applyFont="1"/>
    <xf numFmtId="43" fontId="10" fillId="0" borderId="0" xfId="0" applyNumberFormat="1" applyFont="1"/>
    <xf numFmtId="168" fontId="9" fillId="0" borderId="0" xfId="6" applyNumberFormat="1" applyFont="1"/>
    <xf numFmtId="169" fontId="3" fillId="0" borderId="0" xfId="0" applyNumberFormat="1" applyFont="1"/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" fillId="0" borderId="0" xfId="0" applyFont="1"/>
    <xf numFmtId="0" fontId="25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/>
    <xf numFmtId="0" fontId="0" fillId="0" borderId="0" xfId="0" applyBorder="1"/>
    <xf numFmtId="0" fontId="23" fillId="0" borderId="0" xfId="0" applyFont="1" applyAlignment="1">
      <alignment horizontal="left"/>
    </xf>
    <xf numFmtId="0" fontId="4" fillId="0" borderId="0" xfId="0" applyFont="1"/>
    <xf numFmtId="43" fontId="26" fillId="0" borderId="0" xfId="5" applyFont="1" applyBorder="1"/>
    <xf numFmtId="44" fontId="4" fillId="0" borderId="0" xfId="7" applyFont="1" applyBorder="1"/>
    <xf numFmtId="166" fontId="26" fillId="0" borderId="0" xfId="7" applyNumberFormat="1" applyFont="1" applyBorder="1"/>
    <xf numFmtId="166" fontId="26" fillId="0" borderId="0" xfId="2" applyNumberFormat="1" applyFont="1" applyBorder="1"/>
    <xf numFmtId="166" fontId="27" fillId="0" borderId="0" xfId="0" applyNumberFormat="1" applyFont="1"/>
    <xf numFmtId="166" fontId="27" fillId="0" borderId="0" xfId="2" applyNumberFormat="1" applyFont="1"/>
    <xf numFmtId="43" fontId="25" fillId="0" borderId="0" xfId="0" applyNumberFormat="1" applyFont="1" applyBorder="1"/>
    <xf numFmtId="44" fontId="24" fillId="0" borderId="0" xfId="7" applyFont="1" applyBorder="1"/>
    <xf numFmtId="166" fontId="25" fillId="0" borderId="0" xfId="7" applyNumberFormat="1" applyFont="1" applyBorder="1"/>
    <xf numFmtId="44" fontId="25" fillId="0" borderId="0" xfId="7" applyFont="1" applyBorder="1"/>
    <xf numFmtId="0" fontId="1" fillId="0" borderId="0" xfId="0" applyFont="1" applyBorder="1"/>
    <xf numFmtId="166" fontId="0" fillId="0" borderId="0" xfId="0" applyNumberFormat="1" applyBorder="1"/>
    <xf numFmtId="166" fontId="26" fillId="0" borderId="0" xfId="5" applyNumberFormat="1" applyFont="1" applyBorder="1"/>
    <xf numFmtId="43" fontId="28" fillId="0" borderId="0" xfId="0" applyNumberFormat="1" applyFont="1" applyBorder="1"/>
    <xf numFmtId="166" fontId="28" fillId="0" borderId="0" xfId="2" applyNumberFormat="1" applyFont="1" applyBorder="1"/>
    <xf numFmtId="2" fontId="0" fillId="0" borderId="0" xfId="0" applyNumberFormat="1"/>
    <xf numFmtId="43" fontId="29" fillId="0" borderId="0" xfId="0" applyNumberFormat="1" applyFont="1" applyBorder="1"/>
    <xf numFmtId="44" fontId="29" fillId="0" borderId="0" xfId="7" applyFont="1" applyBorder="1"/>
    <xf numFmtId="166" fontId="29" fillId="0" borderId="0" xfId="0" applyNumberFormat="1" applyFont="1" applyBorder="1"/>
    <xf numFmtId="166" fontId="29" fillId="0" borderId="0" xfId="7" applyNumberFormat="1" applyFont="1" applyBorder="1"/>
    <xf numFmtId="0" fontId="29" fillId="0" borderId="0" xfId="0" applyFont="1"/>
    <xf numFmtId="0" fontId="30" fillId="0" borderId="0" xfId="0" applyFont="1"/>
    <xf numFmtId="43" fontId="30" fillId="0" borderId="0" xfId="0" applyNumberFormat="1" applyFont="1"/>
    <xf numFmtId="166" fontId="30" fillId="0" borderId="0" xfId="2" applyNumberFormat="1" applyFont="1"/>
    <xf numFmtId="0" fontId="0" fillId="0" borderId="0" xfId="0" applyFont="1"/>
    <xf numFmtId="0" fontId="2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4" fontId="1" fillId="0" borderId="0" xfId="2" applyFont="1" applyFill="1"/>
    <xf numFmtId="170" fontId="1" fillId="0" borderId="0" xfId="2" applyNumberFormat="1" applyFont="1" applyFill="1"/>
    <xf numFmtId="171" fontId="1" fillId="0" borderId="0" xfId="3" applyNumberFormat="1" applyFont="1"/>
    <xf numFmtId="170" fontId="1" fillId="0" borderId="1" xfId="2" applyNumberFormat="1" applyFont="1" applyFill="1" applyBorder="1"/>
    <xf numFmtId="171" fontId="1" fillId="0" borderId="0" xfId="3" applyNumberFormat="1" applyFont="1" applyBorder="1"/>
    <xf numFmtId="0" fontId="0" fillId="0" borderId="0" xfId="0" applyFont="1" applyAlignment="1">
      <alignment horizontal="left" indent="1"/>
    </xf>
    <xf numFmtId="172" fontId="1" fillId="0" borderId="0" xfId="2" applyNumberFormat="1" applyFont="1" applyFill="1"/>
    <xf numFmtId="10" fontId="0" fillId="0" borderId="0" xfId="3" applyNumberFormat="1" applyFont="1"/>
    <xf numFmtId="171" fontId="31" fillId="0" borderId="0" xfId="6" applyNumberFormat="1" applyFont="1" applyAlignment="1">
      <alignment horizontal="right"/>
    </xf>
    <xf numFmtId="171" fontId="0" fillId="0" borderId="0" xfId="0" applyNumberFormat="1"/>
    <xf numFmtId="0" fontId="0" fillId="2" borderId="1" xfId="0" applyFont="1" applyFill="1" applyBorder="1"/>
    <xf numFmtId="44" fontId="0" fillId="0" borderId="0" xfId="0" applyNumberFormat="1" applyFont="1"/>
    <xf numFmtId="171" fontId="32" fillId="0" borderId="0" xfId="3" applyNumberFormat="1" applyFont="1"/>
    <xf numFmtId="171" fontId="33" fillId="0" borderId="0" xfId="3" applyNumberFormat="1" applyFont="1"/>
    <xf numFmtId="164" fontId="1" fillId="0" borderId="1" xfId="1" applyNumberFormat="1" applyFont="1" applyBorder="1"/>
    <xf numFmtId="166" fontId="28" fillId="0" borderId="0" xfId="0" applyNumberFormat="1" applyFont="1"/>
    <xf numFmtId="173" fontId="0" fillId="0" borderId="0" xfId="0" applyNumberFormat="1" applyFont="1"/>
    <xf numFmtId="166" fontId="1" fillId="0" borderId="0" xfId="2" applyNumberFormat="1" applyFont="1"/>
    <xf numFmtId="171" fontId="32" fillId="0" borderId="0" xfId="0" applyNumberFormat="1" applyFont="1"/>
    <xf numFmtId="44" fontId="1" fillId="0" borderId="0" xfId="2" applyFont="1"/>
    <xf numFmtId="44" fontId="27" fillId="0" borderId="0" xfId="2" applyFont="1"/>
    <xf numFmtId="174" fontId="0" fillId="0" borderId="0" xfId="0" applyNumberFormat="1"/>
    <xf numFmtId="0" fontId="35" fillId="0" borderId="0" xfId="0" applyFont="1"/>
    <xf numFmtId="10" fontId="21" fillId="0" borderId="0" xfId="6" applyNumberFormat="1" applyFont="1"/>
    <xf numFmtId="43" fontId="35" fillId="0" borderId="0" xfId="1" applyFont="1"/>
    <xf numFmtId="10" fontId="16" fillId="3" borderId="2" xfId="0" applyNumberFormat="1" applyFont="1" applyFill="1" applyBorder="1"/>
    <xf numFmtId="44" fontId="16" fillId="3" borderId="2" xfId="7" applyFont="1" applyFill="1" applyBorder="1"/>
    <xf numFmtId="0" fontId="36" fillId="0" borderId="0" xfId="0" applyFont="1"/>
    <xf numFmtId="0" fontId="37" fillId="0" borderId="0" xfId="0" applyFont="1" applyBorder="1"/>
    <xf numFmtId="44" fontId="38" fillId="0" borderId="1" xfId="2" applyFont="1" applyFill="1" applyBorder="1"/>
    <xf numFmtId="166" fontId="0" fillId="0" borderId="0" xfId="2" applyNumberFormat="1" applyFont="1"/>
    <xf numFmtId="0" fontId="21" fillId="0" borderId="0" xfId="0" applyFont="1"/>
    <xf numFmtId="166" fontId="21" fillId="0" borderId="0" xfId="0" applyNumberFormat="1" applyFont="1"/>
    <xf numFmtId="168" fontId="6" fillId="0" borderId="0" xfId="3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vertical="top" wrapText="1"/>
    </xf>
  </cellXfs>
  <cellStyles count="9">
    <cellStyle name="Comma" xfId="1" builtinId="3"/>
    <cellStyle name="Comma 2 6 2 2" xfId="5"/>
    <cellStyle name="Currency" xfId="2" builtinId="4"/>
    <cellStyle name="Currency 2 6 2 2" xfId="7"/>
    <cellStyle name="Normal" xfId="0" builtinId="0"/>
    <cellStyle name="Normal 10 2" xfId="4"/>
    <cellStyle name="Normal 2" xfId="8"/>
    <cellStyle name="Percent" xfId="3" builtinId="5"/>
    <cellStyle name="Percent 2 6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2"/>
  <sheetViews>
    <sheetView topLeftCell="A118" zoomScale="80" zoomScaleNormal="80" workbookViewId="0">
      <selection activeCell="L158" sqref="L158"/>
    </sheetView>
  </sheetViews>
  <sheetFormatPr defaultColWidth="9.140625" defaultRowHeight="15" x14ac:dyDescent="0.2"/>
  <cols>
    <col min="1" max="1" width="50.7109375" style="1" bestFit="1" customWidth="1"/>
    <col min="2" max="2" width="13.5703125" style="1" bestFit="1" customWidth="1"/>
    <col min="3" max="3" width="15" style="2" bestFit="1" customWidth="1"/>
    <col min="4" max="4" width="14.85546875" style="2" bestFit="1" customWidth="1"/>
    <col min="5" max="5" width="8.5703125" style="3" bestFit="1" customWidth="1"/>
    <col min="6" max="6" width="11" style="4" bestFit="1" customWidth="1"/>
    <col min="7" max="7" width="14.28515625" style="5" bestFit="1" customWidth="1"/>
    <col min="8" max="8" width="12" style="1" bestFit="1" customWidth="1"/>
    <col min="9" max="9" width="14.28515625" style="1" bestFit="1" customWidth="1"/>
    <col min="10" max="10" width="9.7109375" style="1" bestFit="1" customWidth="1"/>
    <col min="11" max="11" width="12.28515625" style="1" bestFit="1" customWidth="1"/>
    <col min="12" max="12" width="8.28515625" style="1" bestFit="1" customWidth="1"/>
    <col min="13" max="13" width="2.140625" style="1" customWidth="1"/>
    <col min="14" max="14" width="13.7109375" style="6" bestFit="1" customWidth="1"/>
    <col min="15" max="15" width="15" style="6" bestFit="1" customWidth="1"/>
    <col min="16" max="16" width="2.5703125" style="1" customWidth="1"/>
    <col min="17" max="17" width="14.28515625" style="1" bestFit="1" customWidth="1"/>
    <col min="18" max="18" width="10.85546875" style="1" bestFit="1" customWidth="1"/>
    <col min="19" max="19" width="11" style="1" bestFit="1" customWidth="1"/>
    <col min="20" max="20" width="11.28515625" style="1" bestFit="1" customWidth="1"/>
    <col min="21" max="21" width="9.140625" style="1"/>
    <col min="22" max="22" width="12.85546875" style="1" bestFit="1" customWidth="1"/>
    <col min="23" max="23" width="17.5703125" style="1" bestFit="1" customWidth="1"/>
    <col min="24" max="16384" width="9.140625" style="1"/>
  </cols>
  <sheetData>
    <row r="1" spans="1:21" ht="20.25" x14ac:dyDescent="0.3">
      <c r="A1" s="7" t="s">
        <v>0</v>
      </c>
    </row>
    <row r="2" spans="1:21" ht="15.75" x14ac:dyDescent="0.25">
      <c r="A2" s="8" t="s">
        <v>1</v>
      </c>
      <c r="H2" s="72">
        <f ca="1">+'Revenue &amp; Expense Adj.'!K13-K153</f>
        <v>-59.174125154851936</v>
      </c>
    </row>
    <row r="4" spans="1:21" ht="15.75" x14ac:dyDescent="0.25">
      <c r="C4" s="9"/>
      <c r="D4" s="9"/>
      <c r="E4" s="10"/>
      <c r="F4" s="11"/>
      <c r="H4" s="12"/>
      <c r="I4" s="13" t="s">
        <v>2</v>
      </c>
      <c r="J4" s="13"/>
      <c r="K4" s="13"/>
      <c r="L4" s="13" t="s">
        <v>3</v>
      </c>
      <c r="M4" s="14"/>
      <c r="N4" s="15"/>
      <c r="O4" s="15"/>
      <c r="P4" s="14"/>
      <c r="Q4" s="16" t="s">
        <v>4</v>
      </c>
      <c r="R4" s="17"/>
      <c r="S4" s="14"/>
      <c r="T4" s="18"/>
    </row>
    <row r="5" spans="1:21" ht="15.75" x14ac:dyDescent="0.25">
      <c r="B5" s="19" t="s">
        <v>5</v>
      </c>
      <c r="C5" s="20" t="s">
        <v>6</v>
      </c>
      <c r="D5" s="20" t="s">
        <v>6</v>
      </c>
      <c r="E5" s="10"/>
      <c r="F5" s="21" t="s">
        <v>7</v>
      </c>
      <c r="G5" s="22" t="s">
        <v>8</v>
      </c>
      <c r="H5" s="13" t="s">
        <v>9</v>
      </c>
      <c r="I5" s="13" t="s">
        <v>8</v>
      </c>
      <c r="J5" s="13" t="s">
        <v>10</v>
      </c>
      <c r="K5" s="13" t="s">
        <v>11</v>
      </c>
      <c r="L5" s="13" t="s">
        <v>12</v>
      </c>
      <c r="M5" s="14"/>
      <c r="N5" s="23" t="s">
        <v>13</v>
      </c>
      <c r="O5" s="24" t="s">
        <v>14</v>
      </c>
      <c r="P5" s="25"/>
      <c r="Q5" s="13" t="s">
        <v>15</v>
      </c>
      <c r="R5" s="26" t="s">
        <v>3</v>
      </c>
      <c r="S5" s="13" t="s">
        <v>15</v>
      </c>
      <c r="T5" s="27" t="s">
        <v>16</v>
      </c>
    </row>
    <row r="6" spans="1:21" ht="21" thickBot="1" x14ac:dyDescent="0.6">
      <c r="B6" s="28" t="s">
        <v>17</v>
      </c>
      <c r="C6" s="29" t="s">
        <v>18</v>
      </c>
      <c r="D6" s="29" t="s">
        <v>19</v>
      </c>
      <c r="E6" s="30" t="s">
        <v>20</v>
      </c>
      <c r="F6" s="31" t="s">
        <v>21</v>
      </c>
      <c r="G6" s="32" t="s">
        <v>11</v>
      </c>
      <c r="H6" s="33" t="s">
        <v>21</v>
      </c>
      <c r="I6" s="33" t="s">
        <v>11</v>
      </c>
      <c r="J6" s="33" t="s">
        <v>22</v>
      </c>
      <c r="K6" s="33" t="s">
        <v>22</v>
      </c>
      <c r="L6" s="33" t="s">
        <v>23</v>
      </c>
      <c r="M6" s="34"/>
      <c r="N6" s="35" t="s">
        <v>24</v>
      </c>
      <c r="O6" s="36" t="s">
        <v>25</v>
      </c>
      <c r="P6" s="33"/>
      <c r="Q6" s="37" t="s">
        <v>26</v>
      </c>
      <c r="R6" s="38" t="s">
        <v>15</v>
      </c>
      <c r="S6" s="39" t="s">
        <v>21</v>
      </c>
      <c r="T6" s="40" t="s">
        <v>21</v>
      </c>
      <c r="U6" s="41"/>
    </row>
    <row r="7" spans="1:21" ht="16.5" thickBot="1" x14ac:dyDescent="0.3">
      <c r="A7" s="42" t="s">
        <v>27</v>
      </c>
      <c r="F7" s="43"/>
      <c r="H7" s="198">
        <v>6.6600000000000006E-2</v>
      </c>
      <c r="Q7" s="44">
        <f>+'Gross up Factor'!B6</f>
        <v>134.59</v>
      </c>
    </row>
    <row r="8" spans="1:21" s="42" customFormat="1" ht="15.75" x14ac:dyDescent="0.25">
      <c r="A8" s="45" t="s">
        <v>28</v>
      </c>
      <c r="B8" s="45"/>
      <c r="C8" s="46"/>
      <c r="D8" s="46"/>
      <c r="E8" s="47"/>
      <c r="F8" s="48"/>
      <c r="G8" s="49"/>
      <c r="N8" s="50"/>
      <c r="O8" s="50"/>
    </row>
    <row r="9" spans="1:21" x14ac:dyDescent="0.2">
      <c r="A9" s="51"/>
      <c r="B9" s="51"/>
      <c r="F9" s="43"/>
    </row>
    <row r="10" spans="1:21" ht="20.25" x14ac:dyDescent="0.55000000000000004">
      <c r="A10" s="52" t="s">
        <v>29</v>
      </c>
      <c r="B10" s="53" t="s">
        <v>30</v>
      </c>
      <c r="C10" s="54">
        <v>217</v>
      </c>
      <c r="D10" s="54">
        <v>1</v>
      </c>
      <c r="E10" s="3">
        <v>1</v>
      </c>
      <c r="F10" s="55">
        <v>3.9</v>
      </c>
      <c r="G10" s="56">
        <f>+F10*C10*52*E10</f>
        <v>44007.6</v>
      </c>
      <c r="H10" s="57">
        <f>ROUND(+F10*(1+$H$7),2)</f>
        <v>4.16</v>
      </c>
      <c r="I10" s="58">
        <f>+H10*C10*E10*52</f>
        <v>46941.440000000002</v>
      </c>
      <c r="J10" s="59">
        <f>+H10-F10</f>
        <v>0.26000000000000023</v>
      </c>
      <c r="K10" s="60">
        <f>+I10-G10</f>
        <v>2933.8400000000038</v>
      </c>
      <c r="L10" s="61">
        <f>J10/F10</f>
        <v>6.6666666666666721E-2</v>
      </c>
      <c r="M10" s="14"/>
      <c r="N10" s="62">
        <f>(20/202)*$N$56</f>
        <v>13.185930693069308</v>
      </c>
      <c r="O10" s="62">
        <f>+N10*C10*E10*52/2000</f>
        <v>74.395020970297026</v>
      </c>
      <c r="P10" s="63"/>
      <c r="Q10" s="64">
        <f>+O10*$Q$7</f>
        <v>10012.825872392277</v>
      </c>
      <c r="R10" s="65">
        <f>+Q10/G10</f>
        <v>0.2275249246128459</v>
      </c>
      <c r="S10" s="66">
        <f>ROUND(+H10*R10,2)</f>
        <v>0.95</v>
      </c>
      <c r="T10" s="67">
        <f>+H10-S10</f>
        <v>3.21</v>
      </c>
    </row>
    <row r="11" spans="1:21" x14ac:dyDescent="0.2">
      <c r="F11" s="43"/>
      <c r="H11" s="68"/>
      <c r="I11" s="69"/>
      <c r="J11" s="59"/>
      <c r="K11" s="70"/>
      <c r="L11" s="71"/>
      <c r="Q11" s="72"/>
      <c r="R11" s="73"/>
      <c r="S11" s="4"/>
      <c r="T11" s="74"/>
    </row>
    <row r="12" spans="1:21" x14ac:dyDescent="0.2">
      <c r="F12" s="43"/>
      <c r="H12" s="68"/>
      <c r="I12" s="69"/>
      <c r="J12" s="59"/>
      <c r="K12" s="70"/>
      <c r="L12" s="71"/>
      <c r="Q12" s="72"/>
      <c r="R12" s="73"/>
      <c r="S12" s="4"/>
      <c r="T12" s="74"/>
    </row>
    <row r="13" spans="1:21" x14ac:dyDescent="0.2">
      <c r="A13" s="52" t="s">
        <v>31</v>
      </c>
      <c r="B13" s="52">
        <v>245</v>
      </c>
      <c r="C13" s="2">
        <f>11</f>
        <v>11</v>
      </c>
      <c r="D13" s="2">
        <f>11</f>
        <v>11</v>
      </c>
      <c r="E13" s="3">
        <v>1</v>
      </c>
      <c r="F13" s="43">
        <v>4.5999999999999996</v>
      </c>
      <c r="G13" s="5">
        <f t="shared" ref="G13:G24" si="0">+F13*C13*52*E13</f>
        <v>2631.2</v>
      </c>
      <c r="H13" s="68">
        <f>ROUND(+F13*(1+$H$7),2)</f>
        <v>4.91</v>
      </c>
      <c r="I13" s="69">
        <f t="shared" ref="I13:I24" si="1">+H13*C13*E13*52</f>
        <v>2808.5200000000004</v>
      </c>
      <c r="J13" s="59">
        <f t="shared" ref="J13:K24" si="2">+H13-F13</f>
        <v>0.3100000000000005</v>
      </c>
      <c r="K13" s="70">
        <f t="shared" si="2"/>
        <v>177.32000000000062</v>
      </c>
      <c r="L13" s="71">
        <f t="shared" ref="L13:L24" si="3">J13/F13</f>
        <v>6.7391304347826197E-2</v>
      </c>
      <c r="N13" s="6">
        <f>(32/202)*$N$56</f>
        <v>21.097489108910889</v>
      </c>
      <c r="O13" s="6">
        <f t="shared" ref="O13:O76" si="4">+N13*C13*E13*52/2000</f>
        <v>6.0338818851485136</v>
      </c>
      <c r="Q13" s="72">
        <f t="shared" ref="Q13:Q24" si="5">+O13*$Q$7</f>
        <v>812.10016292213845</v>
      </c>
      <c r="R13" s="73">
        <f t="shared" ref="R13:R24" si="6">+Q13/G13</f>
        <v>0.30864250643133873</v>
      </c>
      <c r="S13" s="4">
        <f t="shared" ref="S13:S76" si="7">ROUND(+H13*R13,2)</f>
        <v>1.52</v>
      </c>
      <c r="T13" s="74">
        <f t="shared" ref="T13:T76" si="8">+H13-S13</f>
        <v>3.39</v>
      </c>
    </row>
    <row r="14" spans="1:21" x14ac:dyDescent="0.2">
      <c r="A14" s="52" t="s">
        <v>32</v>
      </c>
      <c r="B14" s="52">
        <v>245</v>
      </c>
      <c r="C14" s="2">
        <v>2</v>
      </c>
      <c r="D14" s="2">
        <v>1</v>
      </c>
      <c r="E14" s="3">
        <v>1</v>
      </c>
      <c r="F14" s="43">
        <v>4.5999999999999996</v>
      </c>
      <c r="G14" s="5">
        <f t="shared" si="0"/>
        <v>478.4</v>
      </c>
      <c r="H14" s="68">
        <f t="shared" ref="H14:H77" si="9">ROUND(+F14*(1+$H$7),2)</f>
        <v>4.91</v>
      </c>
      <c r="I14" s="69">
        <f t="shared" si="1"/>
        <v>510.64</v>
      </c>
      <c r="J14" s="59">
        <f t="shared" si="2"/>
        <v>0.3100000000000005</v>
      </c>
      <c r="K14" s="70">
        <f t="shared" si="2"/>
        <v>32.240000000000009</v>
      </c>
      <c r="L14" s="71">
        <f t="shared" si="3"/>
        <v>6.7391304347826197E-2</v>
      </c>
      <c r="N14" s="6">
        <f t="shared" ref="N14:N24" si="10">(32/202)*$N$56</f>
        <v>21.097489108910889</v>
      </c>
      <c r="O14" s="6">
        <f t="shared" si="4"/>
        <v>1.0970694336633662</v>
      </c>
      <c r="Q14" s="72">
        <f t="shared" si="5"/>
        <v>147.65457507675245</v>
      </c>
      <c r="R14" s="73">
        <f t="shared" si="6"/>
        <v>0.30864250643133873</v>
      </c>
      <c r="S14" s="4">
        <f t="shared" si="7"/>
        <v>1.52</v>
      </c>
      <c r="T14" s="74">
        <f t="shared" si="8"/>
        <v>3.39</v>
      </c>
    </row>
    <row r="15" spans="1:21" x14ac:dyDescent="0.2">
      <c r="A15" s="52" t="s">
        <v>33</v>
      </c>
      <c r="B15" s="52">
        <v>245</v>
      </c>
      <c r="C15" s="2">
        <v>6</v>
      </c>
      <c r="D15" s="2">
        <v>3</v>
      </c>
      <c r="E15" s="3">
        <v>1</v>
      </c>
      <c r="F15" s="43">
        <v>4.5999999999999996</v>
      </c>
      <c r="G15" s="5">
        <f t="shared" si="0"/>
        <v>1435.1999999999998</v>
      </c>
      <c r="H15" s="68">
        <f t="shared" si="9"/>
        <v>4.91</v>
      </c>
      <c r="I15" s="69">
        <f t="shared" si="1"/>
        <v>1531.92</v>
      </c>
      <c r="J15" s="59">
        <f t="shared" si="2"/>
        <v>0.3100000000000005</v>
      </c>
      <c r="K15" s="70">
        <f t="shared" si="2"/>
        <v>96.720000000000255</v>
      </c>
      <c r="L15" s="71">
        <f t="shared" si="3"/>
        <v>6.7391304347826197E-2</v>
      </c>
      <c r="N15" s="6">
        <f t="shared" si="10"/>
        <v>21.097489108910889</v>
      </c>
      <c r="O15" s="6">
        <f t="shared" si="4"/>
        <v>3.2912083009900983</v>
      </c>
      <c r="Q15" s="72">
        <f t="shared" si="5"/>
        <v>442.96372523025735</v>
      </c>
      <c r="R15" s="73">
        <f t="shared" si="6"/>
        <v>0.30864250643133878</v>
      </c>
      <c r="S15" s="4">
        <f t="shared" si="7"/>
        <v>1.52</v>
      </c>
      <c r="T15" s="74">
        <f t="shared" si="8"/>
        <v>3.39</v>
      </c>
    </row>
    <row r="16" spans="1:21" x14ac:dyDescent="0.2">
      <c r="A16" s="52" t="s">
        <v>34</v>
      </c>
      <c r="B16" s="52">
        <v>245</v>
      </c>
      <c r="C16" s="2">
        <v>3</v>
      </c>
      <c r="D16" s="2">
        <v>1</v>
      </c>
      <c r="E16" s="3">
        <v>1</v>
      </c>
      <c r="F16" s="43">
        <v>4.5999999999999996</v>
      </c>
      <c r="G16" s="5">
        <f t="shared" si="0"/>
        <v>717.59999999999991</v>
      </c>
      <c r="H16" s="68">
        <f t="shared" si="9"/>
        <v>4.91</v>
      </c>
      <c r="I16" s="69">
        <f t="shared" si="1"/>
        <v>765.96</v>
      </c>
      <c r="J16" s="59">
        <f t="shared" si="2"/>
        <v>0.3100000000000005</v>
      </c>
      <c r="K16" s="70">
        <f t="shared" si="2"/>
        <v>48.360000000000127</v>
      </c>
      <c r="L16" s="71">
        <f t="shared" si="3"/>
        <v>6.7391304347826197E-2</v>
      </c>
      <c r="N16" s="6">
        <f t="shared" si="10"/>
        <v>21.097489108910889</v>
      </c>
      <c r="O16" s="6">
        <f t="shared" si="4"/>
        <v>1.6456041504950492</v>
      </c>
      <c r="Q16" s="72">
        <f t="shared" si="5"/>
        <v>221.48186261512868</v>
      </c>
      <c r="R16" s="73">
        <f t="shared" si="6"/>
        <v>0.30864250643133878</v>
      </c>
      <c r="S16" s="4">
        <f t="shared" si="7"/>
        <v>1.52</v>
      </c>
      <c r="T16" s="74">
        <f t="shared" si="8"/>
        <v>3.39</v>
      </c>
    </row>
    <row r="17" spans="1:20" x14ac:dyDescent="0.2">
      <c r="A17" s="52" t="s">
        <v>35</v>
      </c>
      <c r="B17" s="52">
        <v>245</v>
      </c>
      <c r="C17" s="2">
        <v>4</v>
      </c>
      <c r="D17" s="2">
        <v>1</v>
      </c>
      <c r="E17" s="3">
        <v>1</v>
      </c>
      <c r="F17" s="43">
        <v>4.5999999999999996</v>
      </c>
      <c r="G17" s="5">
        <f t="shared" si="0"/>
        <v>956.8</v>
      </c>
      <c r="H17" s="68">
        <f t="shared" si="9"/>
        <v>4.91</v>
      </c>
      <c r="I17" s="69">
        <f t="shared" si="1"/>
        <v>1021.28</v>
      </c>
      <c r="J17" s="59">
        <f t="shared" si="2"/>
        <v>0.3100000000000005</v>
      </c>
      <c r="K17" s="70">
        <f t="shared" si="2"/>
        <v>64.480000000000018</v>
      </c>
      <c r="L17" s="71">
        <f t="shared" si="3"/>
        <v>6.7391304347826197E-2</v>
      </c>
      <c r="N17" s="6">
        <f t="shared" si="10"/>
        <v>21.097489108910889</v>
      </c>
      <c r="O17" s="6">
        <f t="shared" si="4"/>
        <v>2.1941388673267324</v>
      </c>
      <c r="Q17" s="72">
        <f t="shared" si="5"/>
        <v>295.3091501535049</v>
      </c>
      <c r="R17" s="73">
        <f t="shared" si="6"/>
        <v>0.30864250643133873</v>
      </c>
      <c r="S17" s="4">
        <f t="shared" si="7"/>
        <v>1.52</v>
      </c>
      <c r="T17" s="74">
        <f t="shared" si="8"/>
        <v>3.39</v>
      </c>
    </row>
    <row r="18" spans="1:20" x14ac:dyDescent="0.2">
      <c r="A18" s="52" t="s">
        <v>36</v>
      </c>
      <c r="B18" s="52">
        <v>245</v>
      </c>
      <c r="C18" s="2">
        <v>6</v>
      </c>
      <c r="D18" s="2">
        <v>1</v>
      </c>
      <c r="E18" s="3">
        <v>1</v>
      </c>
      <c r="F18" s="43">
        <v>4.5999999999999996</v>
      </c>
      <c r="G18" s="5">
        <f t="shared" si="0"/>
        <v>1435.1999999999998</v>
      </c>
      <c r="H18" s="68">
        <f t="shared" si="9"/>
        <v>4.91</v>
      </c>
      <c r="I18" s="69">
        <f t="shared" si="1"/>
        <v>1531.92</v>
      </c>
      <c r="J18" s="59">
        <f t="shared" si="2"/>
        <v>0.3100000000000005</v>
      </c>
      <c r="K18" s="70">
        <f t="shared" si="2"/>
        <v>96.720000000000255</v>
      </c>
      <c r="L18" s="71">
        <f t="shared" si="3"/>
        <v>6.7391304347826197E-2</v>
      </c>
      <c r="N18" s="6">
        <f t="shared" si="10"/>
        <v>21.097489108910889</v>
      </c>
      <c r="O18" s="6">
        <f t="shared" si="4"/>
        <v>3.2912083009900983</v>
      </c>
      <c r="Q18" s="72">
        <f t="shared" si="5"/>
        <v>442.96372523025735</v>
      </c>
      <c r="R18" s="73">
        <f t="shared" si="6"/>
        <v>0.30864250643133878</v>
      </c>
      <c r="S18" s="4">
        <f t="shared" si="7"/>
        <v>1.52</v>
      </c>
      <c r="T18" s="74">
        <f t="shared" si="8"/>
        <v>3.39</v>
      </c>
    </row>
    <row r="19" spans="1:20" x14ac:dyDescent="0.2">
      <c r="A19" s="52" t="s">
        <v>37</v>
      </c>
      <c r="B19" s="52">
        <v>245</v>
      </c>
      <c r="C19" s="2">
        <v>28</v>
      </c>
      <c r="D19" s="2">
        <v>4</v>
      </c>
      <c r="E19" s="3">
        <v>1</v>
      </c>
      <c r="F19" s="43">
        <v>4.5999999999999996</v>
      </c>
      <c r="G19" s="5">
        <f t="shared" si="0"/>
        <v>6697.5999999999995</v>
      </c>
      <c r="H19" s="68">
        <f t="shared" si="9"/>
        <v>4.91</v>
      </c>
      <c r="I19" s="69">
        <f t="shared" si="1"/>
        <v>7148.9600000000009</v>
      </c>
      <c r="J19" s="59">
        <f t="shared" si="2"/>
        <v>0.3100000000000005</v>
      </c>
      <c r="K19" s="70">
        <f t="shared" si="2"/>
        <v>451.36000000000149</v>
      </c>
      <c r="L19" s="71">
        <f t="shared" si="3"/>
        <v>6.7391304347826197E-2</v>
      </c>
      <c r="N19" s="6">
        <f t="shared" si="10"/>
        <v>21.097489108910889</v>
      </c>
      <c r="O19" s="6">
        <f t="shared" si="4"/>
        <v>15.358972071287127</v>
      </c>
      <c r="Q19" s="72">
        <f t="shared" si="5"/>
        <v>2067.1640510745347</v>
      </c>
      <c r="R19" s="73">
        <f t="shared" si="6"/>
        <v>0.30864250643133884</v>
      </c>
      <c r="S19" s="4">
        <f t="shared" si="7"/>
        <v>1.52</v>
      </c>
      <c r="T19" s="74">
        <f t="shared" si="8"/>
        <v>3.39</v>
      </c>
    </row>
    <row r="20" spans="1:20" x14ac:dyDescent="0.2">
      <c r="A20" s="52" t="s">
        <v>38</v>
      </c>
      <c r="B20" s="52">
        <v>245</v>
      </c>
      <c r="C20" s="2">
        <v>8</v>
      </c>
      <c r="D20" s="2">
        <v>1</v>
      </c>
      <c r="E20" s="3">
        <v>1</v>
      </c>
      <c r="F20" s="43">
        <v>4.5999999999999996</v>
      </c>
      <c r="G20" s="5">
        <f t="shared" si="0"/>
        <v>1913.6</v>
      </c>
      <c r="H20" s="68">
        <f t="shared" si="9"/>
        <v>4.91</v>
      </c>
      <c r="I20" s="69">
        <f t="shared" si="1"/>
        <v>2042.56</v>
      </c>
      <c r="J20" s="59">
        <f t="shared" si="2"/>
        <v>0.3100000000000005</v>
      </c>
      <c r="K20" s="70">
        <f t="shared" si="2"/>
        <v>128.96000000000004</v>
      </c>
      <c r="L20" s="71">
        <f t="shared" si="3"/>
        <v>6.7391304347826197E-2</v>
      </c>
      <c r="N20" s="6">
        <f t="shared" si="10"/>
        <v>21.097489108910889</v>
      </c>
      <c r="O20" s="6">
        <f t="shared" si="4"/>
        <v>4.3882777346534647</v>
      </c>
      <c r="Q20" s="72">
        <f t="shared" si="5"/>
        <v>590.6183003070098</v>
      </c>
      <c r="R20" s="73">
        <f t="shared" si="6"/>
        <v>0.30864250643133873</v>
      </c>
      <c r="S20" s="4">
        <f t="shared" si="7"/>
        <v>1.52</v>
      </c>
      <c r="T20" s="74">
        <f t="shared" si="8"/>
        <v>3.39</v>
      </c>
    </row>
    <row r="21" spans="1:20" x14ac:dyDescent="0.2">
      <c r="A21" s="52" t="s">
        <v>39</v>
      </c>
      <c r="B21" s="52">
        <v>245</v>
      </c>
      <c r="C21" s="2">
        <v>11</v>
      </c>
      <c r="D21" s="2">
        <v>1</v>
      </c>
      <c r="E21" s="3">
        <v>1</v>
      </c>
      <c r="F21" s="43">
        <v>4.5999999999999996</v>
      </c>
      <c r="G21" s="5">
        <f t="shared" si="0"/>
        <v>2631.2</v>
      </c>
      <c r="H21" s="68">
        <f t="shared" si="9"/>
        <v>4.91</v>
      </c>
      <c r="I21" s="69">
        <f t="shared" si="1"/>
        <v>2808.5200000000004</v>
      </c>
      <c r="J21" s="59">
        <f t="shared" si="2"/>
        <v>0.3100000000000005</v>
      </c>
      <c r="K21" s="70">
        <f t="shared" si="2"/>
        <v>177.32000000000062</v>
      </c>
      <c r="L21" s="71">
        <f t="shared" si="3"/>
        <v>6.7391304347826197E-2</v>
      </c>
      <c r="N21" s="6">
        <f t="shared" si="10"/>
        <v>21.097489108910889</v>
      </c>
      <c r="O21" s="6">
        <f t="shared" si="4"/>
        <v>6.0338818851485136</v>
      </c>
      <c r="Q21" s="72">
        <f t="shared" si="5"/>
        <v>812.10016292213845</v>
      </c>
      <c r="R21" s="73">
        <f t="shared" si="6"/>
        <v>0.30864250643133873</v>
      </c>
      <c r="S21" s="4">
        <f t="shared" si="7"/>
        <v>1.52</v>
      </c>
      <c r="T21" s="74">
        <f t="shared" si="8"/>
        <v>3.39</v>
      </c>
    </row>
    <row r="22" spans="1:20" x14ac:dyDescent="0.2">
      <c r="A22" s="52" t="s">
        <v>40</v>
      </c>
      <c r="B22" s="52">
        <v>245</v>
      </c>
      <c r="C22" s="2">
        <v>38</v>
      </c>
      <c r="D22" s="2">
        <v>2</v>
      </c>
      <c r="E22" s="3">
        <v>1</v>
      </c>
      <c r="F22" s="43">
        <v>4.5999999999999996</v>
      </c>
      <c r="G22" s="5">
        <f t="shared" si="0"/>
        <v>9089.5999999999985</v>
      </c>
      <c r="H22" s="68">
        <f t="shared" si="9"/>
        <v>4.91</v>
      </c>
      <c r="I22" s="69">
        <f t="shared" si="1"/>
        <v>9702.16</v>
      </c>
      <c r="J22" s="59">
        <f t="shared" si="2"/>
        <v>0.3100000000000005</v>
      </c>
      <c r="K22" s="70">
        <f t="shared" si="2"/>
        <v>612.56000000000131</v>
      </c>
      <c r="L22" s="71">
        <f t="shared" si="3"/>
        <v>6.7391304347826197E-2</v>
      </c>
      <c r="N22" s="6">
        <f t="shared" si="10"/>
        <v>21.097489108910889</v>
      </c>
      <c r="O22" s="6">
        <f t="shared" si="4"/>
        <v>20.844319239603958</v>
      </c>
      <c r="Q22" s="72">
        <f t="shared" si="5"/>
        <v>2805.436926458297</v>
      </c>
      <c r="R22" s="73">
        <f t="shared" si="6"/>
        <v>0.30864250643133884</v>
      </c>
      <c r="S22" s="4">
        <f t="shared" si="7"/>
        <v>1.52</v>
      </c>
      <c r="T22" s="74">
        <f t="shared" si="8"/>
        <v>3.39</v>
      </c>
    </row>
    <row r="23" spans="1:20" x14ac:dyDescent="0.2">
      <c r="A23" s="52" t="s">
        <v>41</v>
      </c>
      <c r="B23" s="52">
        <v>245</v>
      </c>
      <c r="C23" s="2">
        <v>30</v>
      </c>
      <c r="D23" s="2">
        <v>1</v>
      </c>
      <c r="E23" s="3">
        <v>1</v>
      </c>
      <c r="F23" s="43">
        <v>4.5999999999999996</v>
      </c>
      <c r="G23" s="5">
        <f t="shared" si="0"/>
        <v>7176</v>
      </c>
      <c r="H23" s="68">
        <f t="shared" si="9"/>
        <v>4.91</v>
      </c>
      <c r="I23" s="69">
        <f t="shared" si="1"/>
        <v>7659.6</v>
      </c>
      <c r="J23" s="59">
        <f t="shared" si="2"/>
        <v>0.3100000000000005</v>
      </c>
      <c r="K23" s="70">
        <f t="shared" si="2"/>
        <v>483.60000000000036</v>
      </c>
      <c r="L23" s="71">
        <f t="shared" si="3"/>
        <v>6.7391304347826197E-2</v>
      </c>
      <c r="N23" s="6">
        <f t="shared" si="10"/>
        <v>21.097489108910889</v>
      </c>
      <c r="O23" s="6">
        <f t="shared" si="4"/>
        <v>16.456041504950491</v>
      </c>
      <c r="Q23" s="72">
        <f t="shared" si="5"/>
        <v>2214.8186261512865</v>
      </c>
      <c r="R23" s="73">
        <f t="shared" si="6"/>
        <v>0.30864250643133867</v>
      </c>
      <c r="S23" s="4">
        <f t="shared" si="7"/>
        <v>1.52</v>
      </c>
      <c r="T23" s="74">
        <f t="shared" si="8"/>
        <v>3.39</v>
      </c>
    </row>
    <row r="24" spans="1:20" ht="17.25" x14ac:dyDescent="0.35">
      <c r="A24" s="52" t="s">
        <v>42</v>
      </c>
      <c r="B24" s="52">
        <v>245</v>
      </c>
      <c r="C24" s="75">
        <v>150</v>
      </c>
      <c r="D24" s="75">
        <v>3</v>
      </c>
      <c r="E24" s="3">
        <v>1</v>
      </c>
      <c r="F24" s="43">
        <v>4.5999999999999996</v>
      </c>
      <c r="G24" s="76">
        <f t="shared" si="0"/>
        <v>35880</v>
      </c>
      <c r="H24" s="68">
        <f t="shared" si="9"/>
        <v>4.91</v>
      </c>
      <c r="I24" s="77">
        <f t="shared" si="1"/>
        <v>38298</v>
      </c>
      <c r="J24" s="59">
        <f t="shared" si="2"/>
        <v>0.3100000000000005</v>
      </c>
      <c r="K24" s="78">
        <f t="shared" si="2"/>
        <v>2418</v>
      </c>
      <c r="L24" s="79">
        <f t="shared" si="3"/>
        <v>6.7391304347826197E-2</v>
      </c>
      <c r="N24" s="6">
        <f t="shared" si="10"/>
        <v>21.097489108910889</v>
      </c>
      <c r="O24" s="80">
        <f t="shared" si="4"/>
        <v>82.280207524752456</v>
      </c>
      <c r="P24" s="81"/>
      <c r="Q24" s="82">
        <f t="shared" si="5"/>
        <v>11074.093130756433</v>
      </c>
      <c r="R24" s="83">
        <f t="shared" si="6"/>
        <v>0.30864250643133873</v>
      </c>
      <c r="S24" s="4">
        <f t="shared" si="7"/>
        <v>1.52</v>
      </c>
      <c r="T24" s="74">
        <f t="shared" si="8"/>
        <v>3.39</v>
      </c>
    </row>
    <row r="25" spans="1:20" ht="20.25" x14ac:dyDescent="0.55000000000000004">
      <c r="A25" s="52"/>
      <c r="B25" s="84"/>
      <c r="C25" s="54">
        <f>SUM(C13:C24)</f>
        <v>297</v>
      </c>
      <c r="D25" s="54">
        <f>SUM(D13:D24)</f>
        <v>30</v>
      </c>
      <c r="F25" s="43"/>
      <c r="G25" s="56">
        <f>SUM(G13:G24)</f>
        <v>71042.399999999994</v>
      </c>
      <c r="H25" s="68"/>
      <c r="I25" s="56">
        <f>SUM(I13:I24)</f>
        <v>75830.040000000008</v>
      </c>
      <c r="K25" s="56">
        <f>SUM(K13:K24)</f>
        <v>4787.6400000000049</v>
      </c>
      <c r="L25" s="85">
        <f>+K25/G25</f>
        <v>6.7391304347826156E-2</v>
      </c>
      <c r="O25" s="62">
        <f>SUM(O13:O24)</f>
        <v>162.91481089900986</v>
      </c>
      <c r="P25" s="56"/>
      <c r="Q25" s="56">
        <f>SUM(Q13:Q24)</f>
        <v>21926.704398897738</v>
      </c>
      <c r="R25" s="65">
        <f>+Q25/G25</f>
        <v>0.30864250643133873</v>
      </c>
      <c r="S25" s="4"/>
      <c r="T25" s="74"/>
    </row>
    <row r="26" spans="1:20" x14ac:dyDescent="0.2">
      <c r="A26" s="52"/>
      <c r="B26" s="52"/>
      <c r="F26" s="43"/>
      <c r="H26" s="68"/>
      <c r="Q26" s="72"/>
      <c r="R26" s="73"/>
      <c r="S26" s="4"/>
      <c r="T26" s="74"/>
    </row>
    <row r="27" spans="1:20" x14ac:dyDescent="0.2">
      <c r="A27" s="52"/>
      <c r="B27" s="52"/>
      <c r="F27" s="43"/>
      <c r="H27" s="68"/>
      <c r="Q27" s="72"/>
      <c r="R27" s="73"/>
      <c r="S27" s="4"/>
      <c r="T27" s="74"/>
    </row>
    <row r="28" spans="1:20" x14ac:dyDescent="0.2">
      <c r="A28" s="52" t="s">
        <v>43</v>
      </c>
      <c r="B28" s="52">
        <v>240</v>
      </c>
      <c r="C28" s="2">
        <f>42</f>
        <v>42</v>
      </c>
      <c r="D28" s="2">
        <f>8</f>
        <v>8</v>
      </c>
      <c r="E28" s="3">
        <v>1</v>
      </c>
      <c r="F28" s="43">
        <v>4.7</v>
      </c>
      <c r="G28" s="5">
        <f>+F28*C28*52*E28</f>
        <v>10264.800000000001</v>
      </c>
      <c r="H28" s="68">
        <f t="shared" si="9"/>
        <v>5.01</v>
      </c>
      <c r="I28" s="69">
        <f>+H28*C28*E28*52</f>
        <v>10941.84</v>
      </c>
      <c r="J28" s="59">
        <f t="shared" ref="J28:K31" si="11">+H28-F28</f>
        <v>0.30999999999999961</v>
      </c>
      <c r="K28" s="70">
        <f t="shared" si="11"/>
        <v>677.03999999999905</v>
      </c>
      <c r="L28" s="71">
        <f>J28/F28</f>
        <v>6.5957446808510553E-2</v>
      </c>
      <c r="N28" s="6">
        <f>(35/202)*$N$56</f>
        <v>23.075378712871284</v>
      </c>
      <c r="O28" s="6">
        <f t="shared" si="4"/>
        <v>25.198313554455442</v>
      </c>
      <c r="Q28" s="72">
        <f t="shared" ref="Q28:Q91" si="12">+O28*$Q$7</f>
        <v>3391.441021294158</v>
      </c>
      <c r="R28" s="73">
        <f t="shared" ref="R28:R91" si="13">+Q28/G28</f>
        <v>0.33039523627290912</v>
      </c>
      <c r="S28" s="4">
        <f t="shared" si="7"/>
        <v>1.66</v>
      </c>
      <c r="T28" s="74">
        <f t="shared" si="8"/>
        <v>3.3499999999999996</v>
      </c>
    </row>
    <row r="29" spans="1:20" x14ac:dyDescent="0.2">
      <c r="A29" s="52" t="s">
        <v>44</v>
      </c>
      <c r="B29" s="52">
        <v>240</v>
      </c>
      <c r="C29" s="2">
        <v>2</v>
      </c>
      <c r="D29" s="2">
        <v>2</v>
      </c>
      <c r="E29" s="3">
        <v>0.5</v>
      </c>
      <c r="F29" s="43">
        <v>4.7</v>
      </c>
      <c r="G29" s="5">
        <f>+F29*C29*52*E29</f>
        <v>244.4</v>
      </c>
      <c r="H29" s="68">
        <f t="shared" si="9"/>
        <v>5.01</v>
      </c>
      <c r="I29" s="69">
        <f>+H29*C29*E29*52</f>
        <v>260.52</v>
      </c>
      <c r="J29" s="59">
        <f t="shared" si="11"/>
        <v>0.30999999999999961</v>
      </c>
      <c r="K29" s="70">
        <f t="shared" si="11"/>
        <v>16.119999999999976</v>
      </c>
      <c r="L29" s="71">
        <f>J29/F29</f>
        <v>6.5957446808510553E-2</v>
      </c>
      <c r="N29" s="6">
        <f>(35/202)*$N$56</f>
        <v>23.075378712871284</v>
      </c>
      <c r="O29" s="6">
        <f t="shared" si="4"/>
        <v>0.5999598465346534</v>
      </c>
      <c r="Q29" s="72">
        <f t="shared" si="12"/>
        <v>80.748595745098996</v>
      </c>
      <c r="R29" s="73">
        <f t="shared" si="13"/>
        <v>0.33039523627290912</v>
      </c>
      <c r="S29" s="4">
        <f t="shared" si="7"/>
        <v>1.66</v>
      </c>
      <c r="T29" s="74">
        <f t="shared" si="8"/>
        <v>3.3499999999999996</v>
      </c>
    </row>
    <row r="30" spans="1:20" x14ac:dyDescent="0.2">
      <c r="A30" s="52" t="s">
        <v>45</v>
      </c>
      <c r="B30" s="52">
        <v>240</v>
      </c>
      <c r="C30" s="2">
        <v>4</v>
      </c>
      <c r="D30" s="2">
        <v>2</v>
      </c>
      <c r="E30" s="3">
        <v>1</v>
      </c>
      <c r="F30" s="43">
        <v>4.7</v>
      </c>
      <c r="G30" s="5">
        <f>+F30*C30*52*E30</f>
        <v>977.6</v>
      </c>
      <c r="H30" s="68">
        <f t="shared" si="9"/>
        <v>5.01</v>
      </c>
      <c r="I30" s="69">
        <f>+H30*C30*E30*52</f>
        <v>1042.08</v>
      </c>
      <c r="J30" s="59">
        <f t="shared" si="11"/>
        <v>0.30999999999999961</v>
      </c>
      <c r="K30" s="70">
        <f t="shared" si="11"/>
        <v>64.479999999999905</v>
      </c>
      <c r="L30" s="71">
        <f>J30/F30</f>
        <v>6.5957446808510553E-2</v>
      </c>
      <c r="N30" s="6">
        <f>(35/202)*$N$56</f>
        <v>23.075378712871284</v>
      </c>
      <c r="O30" s="6">
        <f t="shared" si="4"/>
        <v>2.3998393861386136</v>
      </c>
      <c r="Q30" s="72">
        <f t="shared" si="12"/>
        <v>322.99438298039598</v>
      </c>
      <c r="R30" s="73">
        <f t="shared" si="13"/>
        <v>0.33039523627290912</v>
      </c>
      <c r="S30" s="4">
        <f t="shared" si="7"/>
        <v>1.66</v>
      </c>
      <c r="T30" s="74">
        <f t="shared" si="8"/>
        <v>3.3499999999999996</v>
      </c>
    </row>
    <row r="31" spans="1:20" ht="17.25" x14ac:dyDescent="0.35">
      <c r="A31" s="52" t="s">
        <v>46</v>
      </c>
      <c r="B31" s="52">
        <v>240</v>
      </c>
      <c r="C31" s="75">
        <v>6</v>
      </c>
      <c r="D31" s="75">
        <v>2</v>
      </c>
      <c r="E31" s="3">
        <v>1</v>
      </c>
      <c r="F31" s="43">
        <v>4.7</v>
      </c>
      <c r="G31" s="76">
        <f>+F31*C31*52*E31</f>
        <v>1466.4</v>
      </c>
      <c r="H31" s="68">
        <f t="shared" si="9"/>
        <v>5.01</v>
      </c>
      <c r="I31" s="77">
        <f>+H31*C31*E31*52</f>
        <v>1563.12</v>
      </c>
      <c r="J31" s="59">
        <f t="shared" si="11"/>
        <v>0.30999999999999961</v>
      </c>
      <c r="K31" s="78">
        <f t="shared" si="11"/>
        <v>96.7199999999998</v>
      </c>
      <c r="L31" s="79">
        <f>J31/F31</f>
        <v>6.5957446808510553E-2</v>
      </c>
      <c r="N31" s="80">
        <f>(35/202)*$N$56</f>
        <v>23.075378712871284</v>
      </c>
      <c r="O31" s="80">
        <f t="shared" si="4"/>
        <v>3.5997590792079204</v>
      </c>
      <c r="P31" s="81"/>
      <c r="Q31" s="82">
        <f t="shared" si="12"/>
        <v>484.491574470594</v>
      </c>
      <c r="R31" s="83">
        <f t="shared" si="13"/>
        <v>0.33039523627290912</v>
      </c>
      <c r="S31" s="4">
        <f t="shared" si="7"/>
        <v>1.66</v>
      </c>
      <c r="T31" s="74">
        <f t="shared" si="8"/>
        <v>3.3499999999999996</v>
      </c>
    </row>
    <row r="32" spans="1:20" ht="20.25" x14ac:dyDescent="0.55000000000000004">
      <c r="B32" s="52"/>
      <c r="C32" s="54">
        <f>SUM(C28:C31)</f>
        <v>54</v>
      </c>
      <c r="D32" s="54">
        <f>SUM(D28:D31)</f>
        <v>14</v>
      </c>
      <c r="F32" s="43"/>
      <c r="G32" s="56">
        <f>SUM(G28:G31)</f>
        <v>12953.2</v>
      </c>
      <c r="H32" s="68"/>
      <c r="I32" s="56">
        <f>SUM(I28:I31)</f>
        <v>13807.560000000001</v>
      </c>
      <c r="J32" s="56"/>
      <c r="K32" s="56">
        <f>SUM(K28:K31)</f>
        <v>854.35999999999876</v>
      </c>
      <c r="L32" s="85">
        <f>+K32/G32</f>
        <v>6.5957446808510539E-2</v>
      </c>
      <c r="O32" s="62">
        <f>SUM(O28:O31)</f>
        <v>31.797871866336628</v>
      </c>
      <c r="P32" s="56"/>
      <c r="Q32" s="56">
        <f>SUM(Q28:Q31)</f>
        <v>4279.6755744902466</v>
      </c>
      <c r="R32" s="85">
        <f t="shared" si="13"/>
        <v>0.33039523627290912</v>
      </c>
      <c r="S32" s="4"/>
      <c r="T32" s="74"/>
    </row>
    <row r="33" spans="1:20" x14ac:dyDescent="0.2">
      <c r="B33" s="52"/>
      <c r="F33" s="43"/>
      <c r="H33" s="68"/>
      <c r="Q33" s="72"/>
      <c r="R33" s="73"/>
      <c r="S33" s="4"/>
      <c r="T33" s="74"/>
    </row>
    <row r="34" spans="1:20" x14ac:dyDescent="0.2">
      <c r="B34" s="52"/>
      <c r="F34" s="43"/>
      <c r="H34" s="68"/>
      <c r="Q34" s="72"/>
      <c r="R34" s="73"/>
      <c r="S34" s="4"/>
      <c r="T34" s="74"/>
    </row>
    <row r="35" spans="1:20" x14ac:dyDescent="0.2">
      <c r="A35" s="52" t="s">
        <v>47</v>
      </c>
      <c r="B35" s="52">
        <v>240</v>
      </c>
      <c r="C35" s="2">
        <v>1</v>
      </c>
      <c r="D35" s="2">
        <v>1</v>
      </c>
      <c r="E35" s="3">
        <v>0.5</v>
      </c>
      <c r="F35" s="43">
        <v>7.7</v>
      </c>
      <c r="G35" s="5">
        <f t="shared" ref="G35:G40" si="14">+F35*C35*52*E35</f>
        <v>200.20000000000002</v>
      </c>
      <c r="H35" s="68">
        <f t="shared" si="9"/>
        <v>8.2100000000000009</v>
      </c>
      <c r="I35" s="69">
        <f t="shared" ref="I35:I40" si="15">+H35*C35*E35*52</f>
        <v>213.46000000000004</v>
      </c>
      <c r="J35" s="59">
        <f t="shared" ref="J35:K40" si="16">+H35-F35</f>
        <v>0.51000000000000068</v>
      </c>
      <c r="K35" s="70">
        <f t="shared" si="16"/>
        <v>13.260000000000019</v>
      </c>
      <c r="L35" s="71">
        <f t="shared" ref="L35:L40" si="17">J35/F35</f>
        <v>6.6233766233766325E-2</v>
      </c>
      <c r="N35" s="6">
        <f t="shared" ref="N35:N40" si="18">(64/202)*$N$56</f>
        <v>42.194978217821777</v>
      </c>
      <c r="O35" s="6">
        <f t="shared" si="4"/>
        <v>0.54853471683168309</v>
      </c>
      <c r="Q35" s="72">
        <f t="shared" si="12"/>
        <v>73.827287538376225</v>
      </c>
      <c r="R35" s="73">
        <f t="shared" si="13"/>
        <v>0.36876767002185923</v>
      </c>
      <c r="S35" s="4">
        <f t="shared" si="7"/>
        <v>3.03</v>
      </c>
      <c r="T35" s="74">
        <f t="shared" si="8"/>
        <v>5.1800000000000015</v>
      </c>
    </row>
    <row r="36" spans="1:20" x14ac:dyDescent="0.2">
      <c r="A36" s="52" t="s">
        <v>48</v>
      </c>
      <c r="B36" s="52">
        <v>240</v>
      </c>
      <c r="C36" s="2">
        <f>19</f>
        <v>19</v>
      </c>
      <c r="D36" s="2">
        <f>19</f>
        <v>19</v>
      </c>
      <c r="E36" s="3">
        <v>1</v>
      </c>
      <c r="F36" s="43">
        <v>7.7</v>
      </c>
      <c r="G36" s="5">
        <f t="shared" si="14"/>
        <v>7607.6</v>
      </c>
      <c r="H36" s="68">
        <f t="shared" si="9"/>
        <v>8.2100000000000009</v>
      </c>
      <c r="I36" s="69">
        <f t="shared" si="15"/>
        <v>8111.4800000000005</v>
      </c>
      <c r="J36" s="59">
        <f t="shared" si="16"/>
        <v>0.51000000000000068</v>
      </c>
      <c r="K36" s="70">
        <f t="shared" si="16"/>
        <v>503.88000000000011</v>
      </c>
      <c r="L36" s="71">
        <f t="shared" si="17"/>
        <v>6.6233766233766325E-2</v>
      </c>
      <c r="N36" s="6">
        <f t="shared" si="18"/>
        <v>42.194978217821777</v>
      </c>
      <c r="O36" s="6">
        <f t="shared" si="4"/>
        <v>20.844319239603958</v>
      </c>
      <c r="Q36" s="72">
        <f t="shared" si="12"/>
        <v>2805.436926458297</v>
      </c>
      <c r="R36" s="73">
        <f t="shared" si="13"/>
        <v>0.36876767002185928</v>
      </c>
      <c r="S36" s="4">
        <f t="shared" si="7"/>
        <v>3.03</v>
      </c>
      <c r="T36" s="74">
        <f t="shared" si="8"/>
        <v>5.1800000000000015</v>
      </c>
    </row>
    <row r="37" spans="1:20" x14ac:dyDescent="0.2">
      <c r="A37" s="52" t="s">
        <v>49</v>
      </c>
      <c r="B37" s="52">
        <v>240</v>
      </c>
      <c r="C37" s="2">
        <v>4</v>
      </c>
      <c r="D37" s="2">
        <v>2</v>
      </c>
      <c r="E37" s="3">
        <v>1</v>
      </c>
      <c r="F37" s="43">
        <v>7.7</v>
      </c>
      <c r="G37" s="5">
        <f t="shared" si="14"/>
        <v>1601.6000000000001</v>
      </c>
      <c r="H37" s="68">
        <f t="shared" si="9"/>
        <v>8.2100000000000009</v>
      </c>
      <c r="I37" s="69">
        <f t="shared" si="15"/>
        <v>1707.6800000000003</v>
      </c>
      <c r="J37" s="59">
        <f t="shared" si="16"/>
        <v>0.51000000000000068</v>
      </c>
      <c r="K37" s="70">
        <f t="shared" si="16"/>
        <v>106.08000000000015</v>
      </c>
      <c r="L37" s="71">
        <f t="shared" si="17"/>
        <v>6.6233766233766325E-2</v>
      </c>
      <c r="N37" s="6">
        <f t="shared" si="18"/>
        <v>42.194978217821777</v>
      </c>
      <c r="O37" s="6">
        <f t="shared" si="4"/>
        <v>4.3882777346534647</v>
      </c>
      <c r="Q37" s="72">
        <f t="shared" si="12"/>
        <v>590.6183003070098</v>
      </c>
      <c r="R37" s="73">
        <f t="shared" si="13"/>
        <v>0.36876767002185923</v>
      </c>
      <c r="S37" s="4">
        <f t="shared" si="7"/>
        <v>3.03</v>
      </c>
      <c r="T37" s="74">
        <f t="shared" si="8"/>
        <v>5.1800000000000015</v>
      </c>
    </row>
    <row r="38" spans="1:20" x14ac:dyDescent="0.2">
      <c r="A38" s="52" t="s">
        <v>50</v>
      </c>
      <c r="B38" s="52">
        <v>240</v>
      </c>
      <c r="C38" s="2">
        <v>3</v>
      </c>
      <c r="D38" s="2">
        <v>1</v>
      </c>
      <c r="E38" s="3">
        <v>1</v>
      </c>
      <c r="F38" s="43">
        <v>7.7</v>
      </c>
      <c r="G38" s="5">
        <f t="shared" si="14"/>
        <v>1201.2</v>
      </c>
      <c r="H38" s="68">
        <f t="shared" si="9"/>
        <v>8.2100000000000009</v>
      </c>
      <c r="I38" s="69">
        <f t="shared" si="15"/>
        <v>1280.7600000000002</v>
      </c>
      <c r="J38" s="59">
        <f t="shared" si="16"/>
        <v>0.51000000000000068</v>
      </c>
      <c r="K38" s="70">
        <f t="shared" si="16"/>
        <v>79.560000000000173</v>
      </c>
      <c r="L38" s="71">
        <f t="shared" si="17"/>
        <v>6.6233766233766325E-2</v>
      </c>
      <c r="N38" s="6">
        <f t="shared" si="18"/>
        <v>42.194978217821777</v>
      </c>
      <c r="O38" s="6">
        <f t="shared" si="4"/>
        <v>3.2912083009900983</v>
      </c>
      <c r="Q38" s="72">
        <f t="shared" si="12"/>
        <v>442.96372523025735</v>
      </c>
      <c r="R38" s="73">
        <f t="shared" si="13"/>
        <v>0.36876767002185923</v>
      </c>
      <c r="S38" s="4">
        <f t="shared" si="7"/>
        <v>3.03</v>
      </c>
      <c r="T38" s="74">
        <f t="shared" si="8"/>
        <v>5.1800000000000015</v>
      </c>
    </row>
    <row r="39" spans="1:20" x14ac:dyDescent="0.2">
      <c r="A39" s="52" t="s">
        <v>51</v>
      </c>
      <c r="B39" s="52">
        <v>240</v>
      </c>
      <c r="C39" s="2">
        <v>5</v>
      </c>
      <c r="D39" s="2">
        <v>1</v>
      </c>
      <c r="E39" s="3">
        <v>1</v>
      </c>
      <c r="F39" s="43">
        <v>7.7</v>
      </c>
      <c r="G39" s="5">
        <f t="shared" si="14"/>
        <v>2002</v>
      </c>
      <c r="H39" s="68">
        <f t="shared" si="9"/>
        <v>8.2100000000000009</v>
      </c>
      <c r="I39" s="69">
        <f t="shared" si="15"/>
        <v>2134.6000000000004</v>
      </c>
      <c r="J39" s="59">
        <f t="shared" si="16"/>
        <v>0.51000000000000068</v>
      </c>
      <c r="K39" s="70">
        <f t="shared" si="16"/>
        <v>132.60000000000036</v>
      </c>
      <c r="L39" s="71">
        <f t="shared" si="17"/>
        <v>6.6233766233766325E-2</v>
      </c>
      <c r="N39" s="6">
        <f t="shared" si="18"/>
        <v>42.194978217821777</v>
      </c>
      <c r="O39" s="6">
        <f t="shared" si="4"/>
        <v>5.4853471683168307</v>
      </c>
      <c r="Q39" s="72">
        <f t="shared" si="12"/>
        <v>738.27287538376231</v>
      </c>
      <c r="R39" s="73">
        <f t="shared" si="13"/>
        <v>0.36876767002185928</v>
      </c>
      <c r="S39" s="4">
        <f t="shared" si="7"/>
        <v>3.03</v>
      </c>
      <c r="T39" s="74">
        <f t="shared" si="8"/>
        <v>5.1800000000000015</v>
      </c>
    </row>
    <row r="40" spans="1:20" ht="17.25" x14ac:dyDescent="0.35">
      <c r="A40" s="52" t="s">
        <v>52</v>
      </c>
      <c r="B40" s="52">
        <v>240</v>
      </c>
      <c r="C40" s="75">
        <v>12</v>
      </c>
      <c r="D40" s="75">
        <v>2</v>
      </c>
      <c r="E40" s="3">
        <v>1</v>
      </c>
      <c r="F40" s="43">
        <v>7.7</v>
      </c>
      <c r="G40" s="76">
        <f t="shared" si="14"/>
        <v>4804.8</v>
      </c>
      <c r="H40" s="68">
        <f t="shared" si="9"/>
        <v>8.2100000000000009</v>
      </c>
      <c r="I40" s="77">
        <f t="shared" si="15"/>
        <v>5123.0400000000009</v>
      </c>
      <c r="J40" s="59">
        <f t="shared" si="16"/>
        <v>0.51000000000000068</v>
      </c>
      <c r="K40" s="78">
        <f t="shared" si="16"/>
        <v>318.24000000000069</v>
      </c>
      <c r="L40" s="79">
        <f t="shared" si="17"/>
        <v>6.6233766233766325E-2</v>
      </c>
      <c r="N40" s="6">
        <f t="shared" si="18"/>
        <v>42.194978217821777</v>
      </c>
      <c r="O40" s="80">
        <f t="shared" si="4"/>
        <v>13.164833203960393</v>
      </c>
      <c r="P40" s="81"/>
      <c r="Q40" s="82">
        <f t="shared" si="12"/>
        <v>1771.8549009210294</v>
      </c>
      <c r="R40" s="83">
        <f t="shared" si="13"/>
        <v>0.36876767002185923</v>
      </c>
      <c r="S40" s="4">
        <f t="shared" si="7"/>
        <v>3.03</v>
      </c>
      <c r="T40" s="74">
        <f t="shared" si="8"/>
        <v>5.1800000000000015</v>
      </c>
    </row>
    <row r="41" spans="1:20" ht="20.25" x14ac:dyDescent="0.55000000000000004">
      <c r="B41" s="52"/>
      <c r="C41" s="54">
        <f>SUM(C35:C40)</f>
        <v>44</v>
      </c>
      <c r="D41" s="54">
        <f>SUM(D35:D40)</f>
        <v>26</v>
      </c>
      <c r="F41" s="43"/>
      <c r="G41" s="56">
        <f>SUM(G35:G40)</f>
        <v>17417.400000000001</v>
      </c>
      <c r="H41" s="68"/>
      <c r="I41" s="56">
        <f>SUM(I35:I40)</f>
        <v>18571.020000000004</v>
      </c>
      <c r="J41" s="56"/>
      <c r="K41" s="56">
        <f>SUM(K35:K40)</f>
        <v>1153.6200000000015</v>
      </c>
      <c r="L41" s="85">
        <f>+K41/G41</f>
        <v>6.6233766233766311E-2</v>
      </c>
      <c r="O41" s="62">
        <f>SUM(O35:O40)</f>
        <v>47.722520364356427</v>
      </c>
      <c r="P41" s="56"/>
      <c r="Q41" s="56">
        <f>SUM(Q35:Q40)</f>
        <v>6422.9740158387322</v>
      </c>
      <c r="R41" s="85">
        <f t="shared" si="13"/>
        <v>0.36876767002185928</v>
      </c>
      <c r="S41" s="4"/>
      <c r="T41" s="74"/>
    </row>
    <row r="42" spans="1:20" x14ac:dyDescent="0.2">
      <c r="B42" s="52"/>
      <c r="F42" s="43"/>
      <c r="H42" s="68"/>
      <c r="Q42" s="72"/>
      <c r="R42" s="73"/>
      <c r="S42" s="4"/>
      <c r="T42" s="74"/>
    </row>
    <row r="43" spans="1:20" x14ac:dyDescent="0.2">
      <c r="B43" s="52"/>
      <c r="F43" s="43"/>
      <c r="H43" s="68"/>
      <c r="Q43" s="72"/>
      <c r="R43" s="73"/>
      <c r="S43" s="4"/>
      <c r="T43" s="74"/>
    </row>
    <row r="44" spans="1:20" x14ac:dyDescent="0.2">
      <c r="A44" s="52" t="s">
        <v>53</v>
      </c>
      <c r="B44" s="52">
        <v>240</v>
      </c>
      <c r="C44" s="2">
        <v>2</v>
      </c>
      <c r="D44" s="2">
        <v>2</v>
      </c>
      <c r="E44" s="3">
        <f>1/4.333</f>
        <v>0.23078698361412414</v>
      </c>
      <c r="F44" s="43">
        <v>9.9</v>
      </c>
      <c r="G44" s="5">
        <f t="shared" ref="G44:G52" si="19">+F44*C44*52*E44</f>
        <v>237.61827832910225</v>
      </c>
      <c r="H44" s="68">
        <f t="shared" si="9"/>
        <v>10.56</v>
      </c>
      <c r="I44" s="69">
        <f>+H44*C44*E44*52</f>
        <v>253.45949688437571</v>
      </c>
      <c r="J44" s="59">
        <f>+H44-F44</f>
        <v>0.66000000000000014</v>
      </c>
      <c r="K44" s="70">
        <f>+I44-G44</f>
        <v>15.841218555273457</v>
      </c>
      <c r="L44" s="71">
        <f>J44/F44</f>
        <v>6.666666666666668E-2</v>
      </c>
      <c r="N44" s="6">
        <f>(96/202)*$N$56</f>
        <v>63.29246732673267</v>
      </c>
      <c r="O44" s="6">
        <f t="shared" si="4"/>
        <v>0.75956803623127123</v>
      </c>
      <c r="Q44" s="72">
        <f t="shared" si="12"/>
        <v>102.23026199636679</v>
      </c>
      <c r="R44" s="73">
        <f t="shared" si="13"/>
        <v>0.43022894835883574</v>
      </c>
      <c r="S44" s="4">
        <f t="shared" si="7"/>
        <v>4.54</v>
      </c>
      <c r="T44" s="74">
        <f t="shared" si="8"/>
        <v>6.0200000000000005</v>
      </c>
    </row>
    <row r="45" spans="1:20" x14ac:dyDescent="0.2">
      <c r="A45" s="52" t="s">
        <v>54</v>
      </c>
      <c r="B45" s="52">
        <v>240</v>
      </c>
      <c r="C45" s="2">
        <v>11</v>
      </c>
      <c r="D45" s="2">
        <v>11</v>
      </c>
      <c r="E45" s="3">
        <v>0.5</v>
      </c>
      <c r="F45" s="43">
        <v>9.9</v>
      </c>
      <c r="G45" s="5">
        <f t="shared" si="19"/>
        <v>2831.4</v>
      </c>
      <c r="H45" s="68">
        <f t="shared" si="9"/>
        <v>10.56</v>
      </c>
      <c r="I45" s="69">
        <f t="shared" ref="I45:I52" si="20">+H45*C45*E45*52</f>
        <v>3020.1600000000003</v>
      </c>
      <c r="J45" s="59">
        <f t="shared" ref="J45:K52" si="21">+H45-F45</f>
        <v>0.66000000000000014</v>
      </c>
      <c r="K45" s="70">
        <f t="shared" si="21"/>
        <v>188.76000000000022</v>
      </c>
      <c r="L45" s="71">
        <f t="shared" ref="L45:L52" si="22">J45/F45</f>
        <v>6.666666666666668E-2</v>
      </c>
      <c r="N45" s="6">
        <f t="shared" ref="N45:N52" si="23">(96/202)*$N$56</f>
        <v>63.29246732673267</v>
      </c>
      <c r="O45" s="6">
        <f t="shared" si="4"/>
        <v>9.0508228277227722</v>
      </c>
      <c r="Q45" s="72">
        <f t="shared" si="12"/>
        <v>1218.150244383208</v>
      </c>
      <c r="R45" s="73">
        <f t="shared" si="13"/>
        <v>0.43022894835883591</v>
      </c>
      <c r="S45" s="4">
        <f t="shared" si="7"/>
        <v>4.54</v>
      </c>
      <c r="T45" s="74">
        <f t="shared" si="8"/>
        <v>6.0200000000000005</v>
      </c>
    </row>
    <row r="46" spans="1:20" x14ac:dyDescent="0.2">
      <c r="A46" s="52" t="s">
        <v>55</v>
      </c>
      <c r="B46" s="52">
        <v>240</v>
      </c>
      <c r="C46" s="2">
        <f>52</f>
        <v>52</v>
      </c>
      <c r="D46" s="2">
        <f>52</f>
        <v>52</v>
      </c>
      <c r="E46" s="3">
        <v>1</v>
      </c>
      <c r="F46" s="43">
        <v>9.9</v>
      </c>
      <c r="G46" s="5">
        <f t="shared" si="19"/>
        <v>26769.600000000002</v>
      </c>
      <c r="H46" s="68">
        <f t="shared" si="9"/>
        <v>10.56</v>
      </c>
      <c r="I46" s="69">
        <f t="shared" si="20"/>
        <v>28554.240000000002</v>
      </c>
      <c r="J46" s="59">
        <f t="shared" si="21"/>
        <v>0.66000000000000014</v>
      </c>
      <c r="K46" s="70">
        <f t="shared" si="21"/>
        <v>1784.6399999999994</v>
      </c>
      <c r="L46" s="71">
        <f t="shared" si="22"/>
        <v>6.666666666666668E-2</v>
      </c>
      <c r="N46" s="6">
        <f t="shared" si="23"/>
        <v>63.29246732673267</v>
      </c>
      <c r="O46" s="6">
        <f t="shared" si="4"/>
        <v>85.571415825742577</v>
      </c>
      <c r="Q46" s="72">
        <f t="shared" si="12"/>
        <v>11517.056855986693</v>
      </c>
      <c r="R46" s="73">
        <f t="shared" si="13"/>
        <v>0.43022894835883585</v>
      </c>
      <c r="S46" s="4">
        <f t="shared" si="7"/>
        <v>4.54</v>
      </c>
      <c r="T46" s="74">
        <f t="shared" si="8"/>
        <v>6.0200000000000005</v>
      </c>
    </row>
    <row r="47" spans="1:20" x14ac:dyDescent="0.2">
      <c r="A47" s="52" t="s">
        <v>56</v>
      </c>
      <c r="B47" s="52">
        <v>240</v>
      </c>
      <c r="C47" s="2">
        <v>30</v>
      </c>
      <c r="D47" s="2">
        <v>15</v>
      </c>
      <c r="E47" s="3">
        <v>1</v>
      </c>
      <c r="F47" s="43">
        <v>9.9</v>
      </c>
      <c r="G47" s="5">
        <f t="shared" si="19"/>
        <v>15444</v>
      </c>
      <c r="H47" s="68">
        <f t="shared" si="9"/>
        <v>10.56</v>
      </c>
      <c r="I47" s="69">
        <f t="shared" si="20"/>
        <v>16473.600000000002</v>
      </c>
      <c r="J47" s="59">
        <f t="shared" si="21"/>
        <v>0.66000000000000014</v>
      </c>
      <c r="K47" s="70">
        <f t="shared" si="21"/>
        <v>1029.6000000000022</v>
      </c>
      <c r="L47" s="71">
        <f t="shared" si="22"/>
        <v>6.666666666666668E-2</v>
      </c>
      <c r="N47" s="6">
        <f t="shared" si="23"/>
        <v>63.29246732673267</v>
      </c>
      <c r="O47" s="6">
        <f t="shared" si="4"/>
        <v>49.368124514851488</v>
      </c>
      <c r="Q47" s="72">
        <f t="shared" si="12"/>
        <v>6644.4558784538622</v>
      </c>
      <c r="R47" s="73">
        <f t="shared" si="13"/>
        <v>0.43022894835883596</v>
      </c>
      <c r="S47" s="4">
        <f t="shared" si="7"/>
        <v>4.54</v>
      </c>
      <c r="T47" s="74">
        <f t="shared" si="8"/>
        <v>6.0200000000000005</v>
      </c>
    </row>
    <row r="48" spans="1:20" x14ac:dyDescent="0.2">
      <c r="A48" s="52" t="s">
        <v>57</v>
      </c>
      <c r="B48" s="52">
        <v>240</v>
      </c>
      <c r="C48" s="2">
        <v>21</v>
      </c>
      <c r="D48" s="2">
        <v>7</v>
      </c>
      <c r="E48" s="3">
        <v>1</v>
      </c>
      <c r="F48" s="43">
        <v>9.9</v>
      </c>
      <c r="G48" s="5">
        <f t="shared" si="19"/>
        <v>10810.800000000001</v>
      </c>
      <c r="H48" s="68">
        <f t="shared" si="9"/>
        <v>10.56</v>
      </c>
      <c r="I48" s="69">
        <f t="shared" si="20"/>
        <v>11531.52</v>
      </c>
      <c r="J48" s="59">
        <f t="shared" si="21"/>
        <v>0.66000000000000014</v>
      </c>
      <c r="K48" s="70">
        <f t="shared" si="21"/>
        <v>720.71999999999935</v>
      </c>
      <c r="L48" s="71">
        <f t="shared" si="22"/>
        <v>6.666666666666668E-2</v>
      </c>
      <c r="N48" s="6">
        <f t="shared" si="23"/>
        <v>63.29246732673267</v>
      </c>
      <c r="O48" s="6">
        <f t="shared" si="4"/>
        <v>34.557687160396036</v>
      </c>
      <c r="Q48" s="72">
        <f t="shared" si="12"/>
        <v>4651.119114917703</v>
      </c>
      <c r="R48" s="73">
        <f t="shared" si="13"/>
        <v>0.43022894835883585</v>
      </c>
      <c r="S48" s="4">
        <f t="shared" si="7"/>
        <v>4.54</v>
      </c>
      <c r="T48" s="74">
        <f t="shared" si="8"/>
        <v>6.0200000000000005</v>
      </c>
    </row>
    <row r="49" spans="1:20" x14ac:dyDescent="0.2">
      <c r="A49" s="52" t="s">
        <v>58</v>
      </c>
      <c r="B49" s="52">
        <v>240</v>
      </c>
      <c r="C49" s="2">
        <v>4</v>
      </c>
      <c r="D49" s="2">
        <v>1</v>
      </c>
      <c r="E49" s="3">
        <v>1</v>
      </c>
      <c r="F49" s="43">
        <v>9.9</v>
      </c>
      <c r="G49" s="5">
        <f t="shared" si="19"/>
        <v>2059.2000000000003</v>
      </c>
      <c r="H49" s="68">
        <f t="shared" si="9"/>
        <v>10.56</v>
      </c>
      <c r="I49" s="69">
        <f t="shared" si="20"/>
        <v>2196.48</v>
      </c>
      <c r="J49" s="59">
        <f t="shared" si="21"/>
        <v>0.66000000000000014</v>
      </c>
      <c r="K49" s="70">
        <f t="shared" si="21"/>
        <v>137.27999999999975</v>
      </c>
      <c r="L49" s="71">
        <f t="shared" si="22"/>
        <v>6.666666666666668E-2</v>
      </c>
      <c r="N49" s="6">
        <f t="shared" si="23"/>
        <v>63.29246732673267</v>
      </c>
      <c r="O49" s="6">
        <f t="shared" si="4"/>
        <v>6.5824166019801975</v>
      </c>
      <c r="Q49" s="72">
        <f t="shared" si="12"/>
        <v>885.92745046051482</v>
      </c>
      <c r="R49" s="73">
        <f t="shared" si="13"/>
        <v>0.43022894835883579</v>
      </c>
      <c r="S49" s="4">
        <f t="shared" si="7"/>
        <v>4.54</v>
      </c>
      <c r="T49" s="74">
        <f t="shared" si="8"/>
        <v>6.0200000000000005</v>
      </c>
    </row>
    <row r="50" spans="1:20" x14ac:dyDescent="0.2">
      <c r="A50" s="52" t="s">
        <v>59</v>
      </c>
      <c r="B50" s="52">
        <v>240</v>
      </c>
      <c r="C50" s="2">
        <v>5</v>
      </c>
      <c r="D50" s="2">
        <v>1</v>
      </c>
      <c r="E50" s="3">
        <v>1</v>
      </c>
      <c r="F50" s="43">
        <v>9.9</v>
      </c>
      <c r="G50" s="5">
        <f t="shared" si="19"/>
        <v>2574</v>
      </c>
      <c r="H50" s="68">
        <f t="shared" si="9"/>
        <v>10.56</v>
      </c>
      <c r="I50" s="69">
        <f t="shared" si="20"/>
        <v>2745.6000000000004</v>
      </c>
      <c r="J50" s="59">
        <f t="shared" si="21"/>
        <v>0.66000000000000014</v>
      </c>
      <c r="K50" s="70">
        <f t="shared" si="21"/>
        <v>171.60000000000036</v>
      </c>
      <c r="L50" s="71">
        <f t="shared" si="22"/>
        <v>6.666666666666668E-2</v>
      </c>
      <c r="N50" s="6">
        <f t="shared" si="23"/>
        <v>63.29246732673267</v>
      </c>
      <c r="O50" s="6">
        <f t="shared" si="4"/>
        <v>8.2280207524752473</v>
      </c>
      <c r="Q50" s="72">
        <f t="shared" si="12"/>
        <v>1107.4093130756435</v>
      </c>
      <c r="R50" s="73">
        <f t="shared" si="13"/>
        <v>0.43022894835883585</v>
      </c>
      <c r="S50" s="4">
        <f t="shared" si="7"/>
        <v>4.54</v>
      </c>
      <c r="T50" s="74">
        <f t="shared" si="8"/>
        <v>6.0200000000000005</v>
      </c>
    </row>
    <row r="51" spans="1:20" x14ac:dyDescent="0.2">
      <c r="A51" s="52" t="s">
        <v>60</v>
      </c>
      <c r="B51" s="52">
        <v>240</v>
      </c>
      <c r="C51" s="2">
        <v>6</v>
      </c>
      <c r="D51" s="2">
        <v>1</v>
      </c>
      <c r="E51" s="3">
        <v>1</v>
      </c>
      <c r="F51" s="43">
        <v>9.9</v>
      </c>
      <c r="G51" s="5">
        <f t="shared" si="19"/>
        <v>3088.8</v>
      </c>
      <c r="H51" s="68">
        <f t="shared" si="9"/>
        <v>10.56</v>
      </c>
      <c r="I51" s="69">
        <f t="shared" si="20"/>
        <v>3294.72</v>
      </c>
      <c r="J51" s="59">
        <f t="shared" si="21"/>
        <v>0.66000000000000014</v>
      </c>
      <c r="K51" s="70">
        <f t="shared" si="21"/>
        <v>205.91999999999962</v>
      </c>
      <c r="L51" s="71">
        <f t="shared" si="22"/>
        <v>6.666666666666668E-2</v>
      </c>
      <c r="N51" s="6">
        <f t="shared" si="23"/>
        <v>63.29246732673267</v>
      </c>
      <c r="O51" s="6">
        <f t="shared" si="4"/>
        <v>9.8736249029702972</v>
      </c>
      <c r="Q51" s="72">
        <f t="shared" si="12"/>
        <v>1328.8911756907723</v>
      </c>
      <c r="R51" s="73">
        <f t="shared" si="13"/>
        <v>0.43022894835883591</v>
      </c>
      <c r="S51" s="4">
        <f t="shared" si="7"/>
        <v>4.54</v>
      </c>
      <c r="T51" s="74">
        <f t="shared" si="8"/>
        <v>6.0200000000000005</v>
      </c>
    </row>
    <row r="52" spans="1:20" ht="17.25" x14ac:dyDescent="0.35">
      <c r="A52" s="52" t="s">
        <v>61</v>
      </c>
      <c r="B52" s="52">
        <v>240</v>
      </c>
      <c r="C52" s="75">
        <v>7</v>
      </c>
      <c r="D52" s="75">
        <v>1</v>
      </c>
      <c r="E52" s="3">
        <v>1</v>
      </c>
      <c r="F52" s="43">
        <v>9.9</v>
      </c>
      <c r="G52" s="76">
        <f t="shared" si="19"/>
        <v>3603.6</v>
      </c>
      <c r="H52" s="68">
        <f t="shared" si="9"/>
        <v>10.56</v>
      </c>
      <c r="I52" s="77">
        <f t="shared" si="20"/>
        <v>3843.84</v>
      </c>
      <c r="J52" s="59">
        <f t="shared" si="21"/>
        <v>0.66000000000000014</v>
      </c>
      <c r="K52" s="78">
        <f t="shared" si="21"/>
        <v>240.24000000000024</v>
      </c>
      <c r="L52" s="86">
        <f t="shared" si="22"/>
        <v>6.666666666666668E-2</v>
      </c>
      <c r="N52" s="6">
        <f t="shared" si="23"/>
        <v>63.29246732673267</v>
      </c>
      <c r="O52" s="80">
        <f t="shared" si="4"/>
        <v>11.519229053465345</v>
      </c>
      <c r="P52" s="81"/>
      <c r="Q52" s="82">
        <f t="shared" si="12"/>
        <v>1550.3730383059008</v>
      </c>
      <c r="R52" s="83">
        <f t="shared" si="13"/>
        <v>0.43022894835883585</v>
      </c>
      <c r="S52" s="4">
        <f t="shared" si="7"/>
        <v>4.54</v>
      </c>
      <c r="T52" s="74">
        <f t="shared" si="8"/>
        <v>6.0200000000000005</v>
      </c>
    </row>
    <row r="53" spans="1:20" ht="20.25" x14ac:dyDescent="0.55000000000000004">
      <c r="B53" s="52"/>
      <c r="C53" s="54">
        <f>SUM(C44:C52)</f>
        <v>138</v>
      </c>
      <c r="D53" s="54">
        <f>SUM(D44:D52)</f>
        <v>91</v>
      </c>
      <c r="F53" s="43"/>
      <c r="G53" s="56">
        <f>SUM(G44:G52)</f>
        <v>67419.018278329109</v>
      </c>
      <c r="H53" s="68"/>
      <c r="I53" s="56">
        <f>SUM(I44:I52)</f>
        <v>71913.619496884377</v>
      </c>
      <c r="J53" s="56"/>
      <c r="K53" s="56">
        <f>SUM(K44:K52)</f>
        <v>4494.6012185552736</v>
      </c>
      <c r="L53" s="85">
        <f>+K53/G53</f>
        <v>6.6666666666666666E-2</v>
      </c>
      <c r="O53" s="62">
        <f>SUM(O44:O52)</f>
        <v>215.51090967583522</v>
      </c>
      <c r="P53" s="56"/>
      <c r="Q53" s="56">
        <f>SUM(Q44:Q52)</f>
        <v>29005.613333270667</v>
      </c>
      <c r="R53" s="85">
        <f t="shared" si="13"/>
        <v>0.43022894835883591</v>
      </c>
      <c r="S53" s="4"/>
      <c r="T53" s="74"/>
    </row>
    <row r="54" spans="1:20" ht="20.25" x14ac:dyDescent="0.55000000000000004">
      <c r="B54" s="52"/>
      <c r="C54" s="54"/>
      <c r="D54" s="54"/>
      <c r="F54" s="43"/>
      <c r="H54" s="68"/>
      <c r="Q54" s="72"/>
      <c r="R54" s="73"/>
      <c r="S54" s="4"/>
      <c r="T54" s="74"/>
    </row>
    <row r="55" spans="1:20" ht="20.25" x14ac:dyDescent="0.55000000000000004">
      <c r="B55" s="52"/>
      <c r="C55" s="54"/>
      <c r="D55" s="54"/>
      <c r="F55" s="43"/>
      <c r="H55" s="68"/>
      <c r="Q55" s="72"/>
      <c r="R55" s="73"/>
      <c r="S55" s="4"/>
      <c r="T55" s="74"/>
    </row>
    <row r="56" spans="1:20" x14ac:dyDescent="0.2">
      <c r="A56" s="52" t="s">
        <v>62</v>
      </c>
      <c r="B56" s="52">
        <v>240</v>
      </c>
      <c r="C56" s="2">
        <v>3</v>
      </c>
      <c r="D56" s="2">
        <v>3</v>
      </c>
      <c r="E56" s="3">
        <f>1/4.333</f>
        <v>0.23078698361412414</v>
      </c>
      <c r="F56" s="43">
        <v>18.3</v>
      </c>
      <c r="G56" s="5">
        <f>+F56*C56*52*E56</f>
        <v>658.8506808216016</v>
      </c>
      <c r="H56" s="68">
        <f t="shared" si="9"/>
        <v>19.52</v>
      </c>
      <c r="I56" s="69">
        <f>+H56*C56*E56*52</f>
        <v>702.77405954304174</v>
      </c>
      <c r="J56" s="59">
        <f t="shared" ref="J56:K60" si="24">+H56-F56</f>
        <v>1.2199999999999989</v>
      </c>
      <c r="K56" s="70">
        <f t="shared" si="24"/>
        <v>43.923378721440145</v>
      </c>
      <c r="L56" s="71">
        <f>J56/F56</f>
        <v>6.6666666666666596E-2</v>
      </c>
      <c r="N56" s="87">
        <v>133.17789999999999</v>
      </c>
      <c r="O56" s="6">
        <f t="shared" si="4"/>
        <v>2.39738661435495</v>
      </c>
      <c r="Q56" s="72">
        <f t="shared" si="12"/>
        <v>322.66426442603273</v>
      </c>
      <c r="R56" s="73">
        <f t="shared" si="13"/>
        <v>0.48973807543715847</v>
      </c>
      <c r="S56" s="4">
        <f t="shared" si="7"/>
        <v>9.56</v>
      </c>
      <c r="T56" s="74">
        <f t="shared" si="8"/>
        <v>9.9599999999999991</v>
      </c>
    </row>
    <row r="57" spans="1:20" x14ac:dyDescent="0.2">
      <c r="A57" s="52" t="s">
        <v>63</v>
      </c>
      <c r="B57" s="52">
        <v>240</v>
      </c>
      <c r="C57" s="2">
        <v>1</v>
      </c>
      <c r="D57" s="2">
        <v>1</v>
      </c>
      <c r="E57" s="3">
        <f>+E56</f>
        <v>0.23078698361412414</v>
      </c>
      <c r="F57" s="43">
        <f>+F56</f>
        <v>18.3</v>
      </c>
      <c r="G57" s="5">
        <f>+F57*C57*52*E57</f>
        <v>219.61689360720055</v>
      </c>
      <c r="H57" s="68">
        <f t="shared" si="9"/>
        <v>19.52</v>
      </c>
      <c r="I57" s="69">
        <f>+H57*C57*E57*52</f>
        <v>234.2580198476806</v>
      </c>
      <c r="J57" s="59">
        <f t="shared" si="24"/>
        <v>1.2199999999999989</v>
      </c>
      <c r="K57" s="70">
        <f t="shared" si="24"/>
        <v>14.641126240480048</v>
      </c>
      <c r="L57" s="71">
        <f>J57/F57</f>
        <v>6.6666666666666596E-2</v>
      </c>
      <c r="N57" s="6">
        <f>+$N$56</f>
        <v>133.17789999999999</v>
      </c>
      <c r="O57" s="6">
        <f t="shared" si="4"/>
        <v>0.7991288714516499</v>
      </c>
      <c r="Q57" s="72">
        <f t="shared" si="12"/>
        <v>107.55475480867756</v>
      </c>
      <c r="R57" s="73">
        <f t="shared" si="13"/>
        <v>0.4897380754371583</v>
      </c>
      <c r="S57" s="4">
        <f t="shared" si="7"/>
        <v>9.56</v>
      </c>
      <c r="T57" s="74">
        <f t="shared" si="8"/>
        <v>9.9599999999999991</v>
      </c>
    </row>
    <row r="58" spans="1:20" x14ac:dyDescent="0.2">
      <c r="A58" s="52" t="s">
        <v>64</v>
      </c>
      <c r="B58" s="52">
        <v>240</v>
      </c>
      <c r="C58" s="2">
        <v>32</v>
      </c>
      <c r="D58" s="2">
        <v>32</v>
      </c>
      <c r="E58" s="3">
        <v>0.5</v>
      </c>
      <c r="F58" s="43">
        <f t="shared" ref="F58:F60" si="25">+F57</f>
        <v>18.3</v>
      </c>
      <c r="G58" s="5">
        <f>+F58*C58*52*E58</f>
        <v>15225.6</v>
      </c>
      <c r="H58" s="68">
        <f t="shared" si="9"/>
        <v>19.52</v>
      </c>
      <c r="I58" s="69">
        <f>+H58*C58*E58*52</f>
        <v>16240.64</v>
      </c>
      <c r="J58" s="59">
        <f t="shared" si="24"/>
        <v>1.2199999999999989</v>
      </c>
      <c r="K58" s="70">
        <f t="shared" si="24"/>
        <v>1015.0399999999991</v>
      </c>
      <c r="L58" s="71">
        <f>J58/F58</f>
        <v>6.6666666666666596E-2</v>
      </c>
      <c r="N58" s="6">
        <f>+$N$56</f>
        <v>133.17789999999999</v>
      </c>
      <c r="O58" s="6">
        <f t="shared" si="4"/>
        <v>55.402006399999998</v>
      </c>
      <c r="Q58" s="72">
        <f t="shared" si="12"/>
        <v>7456.5560413759995</v>
      </c>
      <c r="R58" s="73">
        <f t="shared" si="13"/>
        <v>0.48973807543715842</v>
      </c>
      <c r="S58" s="4">
        <f t="shared" si="7"/>
        <v>9.56</v>
      </c>
      <c r="T58" s="74">
        <f t="shared" si="8"/>
        <v>9.9599999999999991</v>
      </c>
    </row>
    <row r="59" spans="1:20" x14ac:dyDescent="0.2">
      <c r="A59" s="52" t="s">
        <v>65</v>
      </c>
      <c r="B59" s="52">
        <v>240</v>
      </c>
      <c r="C59" s="2">
        <v>160</v>
      </c>
      <c r="D59" s="2">
        <v>160</v>
      </c>
      <c r="E59" s="3">
        <v>1</v>
      </c>
      <c r="F59" s="43">
        <f t="shared" si="25"/>
        <v>18.3</v>
      </c>
      <c r="G59" s="5">
        <f>+F59*C59*52*E59</f>
        <v>152256</v>
      </c>
      <c r="H59" s="68">
        <f t="shared" si="9"/>
        <v>19.52</v>
      </c>
      <c r="I59" s="69">
        <f>+H59*C59*E59*52</f>
        <v>162406.39999999999</v>
      </c>
      <c r="J59" s="59">
        <f t="shared" si="24"/>
        <v>1.2199999999999989</v>
      </c>
      <c r="K59" s="70">
        <f t="shared" si="24"/>
        <v>10150.399999999994</v>
      </c>
      <c r="L59" s="71">
        <f>J59/F59</f>
        <v>6.6666666666666596E-2</v>
      </c>
      <c r="N59" s="6">
        <f>+$N$56</f>
        <v>133.17789999999999</v>
      </c>
      <c r="O59" s="6">
        <f t="shared" si="4"/>
        <v>554.02006400000005</v>
      </c>
      <c r="Q59" s="72">
        <f t="shared" si="12"/>
        <v>74565.560413760002</v>
      </c>
      <c r="R59" s="73">
        <f t="shared" si="13"/>
        <v>0.48973807543715847</v>
      </c>
      <c r="S59" s="4">
        <f t="shared" si="7"/>
        <v>9.56</v>
      </c>
      <c r="T59" s="74">
        <f t="shared" si="8"/>
        <v>9.9599999999999991</v>
      </c>
    </row>
    <row r="60" spans="1:20" ht="17.25" x14ac:dyDescent="0.35">
      <c r="A60" s="52" t="s">
        <v>66</v>
      </c>
      <c r="B60" s="52">
        <v>240</v>
      </c>
      <c r="C60" s="75">
        <v>1</v>
      </c>
      <c r="D60" s="75">
        <v>1</v>
      </c>
      <c r="E60" s="3">
        <v>2</v>
      </c>
      <c r="F60" s="43">
        <f t="shared" si="25"/>
        <v>18.3</v>
      </c>
      <c r="G60" s="76">
        <f>+F60*C60*52*E60</f>
        <v>1903.2</v>
      </c>
      <c r="H60" s="68">
        <f t="shared" si="9"/>
        <v>19.52</v>
      </c>
      <c r="I60" s="77">
        <f>+H60*C60*E60*52</f>
        <v>2030.08</v>
      </c>
      <c r="J60" s="59">
        <f t="shared" si="24"/>
        <v>1.2199999999999989</v>
      </c>
      <c r="K60" s="78">
        <f t="shared" si="24"/>
        <v>126.87999999999988</v>
      </c>
      <c r="L60" s="79">
        <f>J60/F60</f>
        <v>6.6666666666666596E-2</v>
      </c>
      <c r="N60" s="6">
        <f>+$N$56</f>
        <v>133.17789999999999</v>
      </c>
      <c r="O60" s="80">
        <f t="shared" si="4"/>
        <v>6.9252507999999997</v>
      </c>
      <c r="P60" s="81"/>
      <c r="Q60" s="82">
        <f t="shared" si="12"/>
        <v>932.06950517199994</v>
      </c>
      <c r="R60" s="83">
        <f t="shared" si="13"/>
        <v>0.48973807543715842</v>
      </c>
      <c r="S60" s="4">
        <f t="shared" si="7"/>
        <v>9.56</v>
      </c>
      <c r="T60" s="74">
        <f t="shared" si="8"/>
        <v>9.9599999999999991</v>
      </c>
    </row>
    <row r="61" spans="1:20" ht="20.25" x14ac:dyDescent="0.55000000000000004">
      <c r="A61" s="52"/>
      <c r="B61" s="52"/>
      <c r="C61" s="54">
        <f>SUM(C56:C60)</f>
        <v>197</v>
      </c>
      <c r="D61" s="54">
        <f>SUM(D56:D60)</f>
        <v>197</v>
      </c>
      <c r="F61" s="43"/>
      <c r="G61" s="56">
        <f>SUM(G56:G60)</f>
        <v>170263.26757442881</v>
      </c>
      <c r="H61" s="68"/>
      <c r="I61" s="56">
        <f>SUM(I56:I60)</f>
        <v>181614.15207939071</v>
      </c>
      <c r="J61" s="56"/>
      <c r="K61" s="56">
        <f>SUM(K56:K60)</f>
        <v>11350.884504961912</v>
      </c>
      <c r="L61" s="85">
        <f>+K61/G61</f>
        <v>6.666666666666661E-2</v>
      </c>
      <c r="O61" s="62">
        <f>SUM(O56:O60)</f>
        <v>619.54383668580658</v>
      </c>
      <c r="P61" s="56"/>
      <c r="Q61" s="56">
        <f>SUM(Q56:Q60)</f>
        <v>83384.404979542713</v>
      </c>
      <c r="R61" s="85">
        <f t="shared" si="13"/>
        <v>0.48973807543715847</v>
      </c>
      <c r="S61" s="4"/>
      <c r="T61" s="74"/>
    </row>
    <row r="62" spans="1:20" x14ac:dyDescent="0.2">
      <c r="A62" s="52"/>
      <c r="B62" s="52"/>
      <c r="F62" s="43"/>
      <c r="H62" s="68"/>
      <c r="Q62" s="72"/>
      <c r="R62" s="73"/>
      <c r="S62" s="4"/>
      <c r="T62" s="74"/>
    </row>
    <row r="63" spans="1:20" x14ac:dyDescent="0.2">
      <c r="A63" s="52"/>
      <c r="B63" s="52"/>
      <c r="F63" s="43"/>
      <c r="H63" s="68"/>
      <c r="Q63" s="72"/>
      <c r="R63" s="73"/>
      <c r="S63" s="4"/>
      <c r="T63" s="74"/>
    </row>
    <row r="64" spans="1:20" x14ac:dyDescent="0.2">
      <c r="A64" s="52" t="s">
        <v>67</v>
      </c>
      <c r="B64" s="52">
        <v>240</v>
      </c>
      <c r="C64" s="2">
        <v>1</v>
      </c>
      <c r="D64" s="2">
        <v>1</v>
      </c>
      <c r="E64" s="3">
        <f>1/4.333</f>
        <v>0.23078698361412414</v>
      </c>
      <c r="F64" s="43">
        <v>25.7</v>
      </c>
      <c r="G64" s="5">
        <f t="shared" ref="G64:G69" si="26">+F64*C64*52*E64</f>
        <v>308.42372490191548</v>
      </c>
      <c r="H64" s="68">
        <f t="shared" si="9"/>
        <v>27.41</v>
      </c>
      <c r="I64" s="69">
        <f t="shared" ref="I64:I69" si="27">+H64*C64*E64*52</f>
        <v>328.94530348488342</v>
      </c>
      <c r="J64" s="59">
        <f t="shared" ref="J64:K69" si="28">+H64-F64</f>
        <v>1.7100000000000009</v>
      </c>
      <c r="K64" s="70">
        <f t="shared" si="28"/>
        <v>20.521578582967948</v>
      </c>
      <c r="L64" s="71">
        <f t="shared" ref="L64:L69" si="29">J64/F64</f>
        <v>6.6536964980544788E-2</v>
      </c>
      <c r="N64" s="6">
        <f t="shared" ref="N64:N69" si="30">+$N$56*1.5</f>
        <v>199.76684999999998</v>
      </c>
      <c r="O64" s="6">
        <f t="shared" si="4"/>
        <v>1.198693307177475</v>
      </c>
      <c r="Q64" s="72">
        <f t="shared" si="12"/>
        <v>161.33213221301637</v>
      </c>
      <c r="R64" s="73">
        <f t="shared" si="13"/>
        <v>0.52308599886186768</v>
      </c>
      <c r="S64" s="4">
        <f t="shared" si="7"/>
        <v>14.34</v>
      </c>
      <c r="T64" s="74">
        <f t="shared" si="8"/>
        <v>13.07</v>
      </c>
    </row>
    <row r="65" spans="1:20" x14ac:dyDescent="0.2">
      <c r="A65" s="52" t="s">
        <v>68</v>
      </c>
      <c r="B65" s="52">
        <v>240</v>
      </c>
      <c r="C65" s="2">
        <v>9</v>
      </c>
      <c r="D65" s="2">
        <v>9</v>
      </c>
      <c r="E65" s="3">
        <v>0.5</v>
      </c>
      <c r="F65" s="43">
        <v>25.7</v>
      </c>
      <c r="G65" s="5">
        <f t="shared" si="26"/>
        <v>6013.7999999999993</v>
      </c>
      <c r="H65" s="68">
        <f t="shared" si="9"/>
        <v>27.41</v>
      </c>
      <c r="I65" s="69">
        <f t="shared" si="27"/>
        <v>6413.94</v>
      </c>
      <c r="J65" s="59">
        <f t="shared" si="28"/>
        <v>1.7100000000000009</v>
      </c>
      <c r="K65" s="70">
        <f t="shared" si="28"/>
        <v>400.14000000000033</v>
      </c>
      <c r="L65" s="71">
        <f t="shared" si="29"/>
        <v>6.6536964980544788E-2</v>
      </c>
      <c r="N65" s="6">
        <f t="shared" si="30"/>
        <v>199.76684999999998</v>
      </c>
      <c r="O65" s="6">
        <f t="shared" si="4"/>
        <v>23.372721449999997</v>
      </c>
      <c r="Q65" s="72">
        <f t="shared" si="12"/>
        <v>3145.7345799554996</v>
      </c>
      <c r="R65" s="73">
        <f t="shared" si="13"/>
        <v>0.52308599886186768</v>
      </c>
      <c r="S65" s="4">
        <f t="shared" si="7"/>
        <v>14.34</v>
      </c>
      <c r="T65" s="74">
        <f t="shared" si="8"/>
        <v>13.07</v>
      </c>
    </row>
    <row r="66" spans="1:20" x14ac:dyDescent="0.2">
      <c r="A66" s="52" t="s">
        <v>69</v>
      </c>
      <c r="B66" s="52">
        <v>240</v>
      </c>
      <c r="C66" s="2">
        <f>62</f>
        <v>62</v>
      </c>
      <c r="D66" s="2">
        <f>62</f>
        <v>62</v>
      </c>
      <c r="E66" s="3">
        <v>1</v>
      </c>
      <c r="F66" s="43">
        <v>25.7</v>
      </c>
      <c r="G66" s="5">
        <f t="shared" si="26"/>
        <v>82856.799999999988</v>
      </c>
      <c r="H66" s="68">
        <f t="shared" si="9"/>
        <v>27.41</v>
      </c>
      <c r="I66" s="69">
        <f t="shared" si="27"/>
        <v>88369.84</v>
      </c>
      <c r="J66" s="59">
        <f t="shared" si="28"/>
        <v>1.7100000000000009</v>
      </c>
      <c r="K66" s="70">
        <f t="shared" si="28"/>
        <v>5513.0400000000081</v>
      </c>
      <c r="L66" s="71">
        <f t="shared" si="29"/>
        <v>6.6536964980544788E-2</v>
      </c>
      <c r="N66" s="6">
        <f t="shared" si="30"/>
        <v>199.76684999999998</v>
      </c>
      <c r="O66" s="6">
        <f t="shared" si="4"/>
        <v>322.02416219999998</v>
      </c>
      <c r="Q66" s="72">
        <f t="shared" si="12"/>
        <v>43341.231990497996</v>
      </c>
      <c r="R66" s="73">
        <f t="shared" si="13"/>
        <v>0.52308599886186768</v>
      </c>
      <c r="S66" s="4">
        <f t="shared" si="7"/>
        <v>14.34</v>
      </c>
      <c r="T66" s="74">
        <f t="shared" si="8"/>
        <v>13.07</v>
      </c>
    </row>
    <row r="67" spans="1:20" x14ac:dyDescent="0.2">
      <c r="A67" s="52" t="s">
        <v>70</v>
      </c>
      <c r="B67" s="52">
        <v>240</v>
      </c>
      <c r="C67" s="2">
        <v>6</v>
      </c>
      <c r="D67" s="2">
        <v>3</v>
      </c>
      <c r="E67" s="3">
        <v>1</v>
      </c>
      <c r="F67" s="43">
        <v>25.7</v>
      </c>
      <c r="G67" s="5">
        <f t="shared" si="26"/>
        <v>8018.4</v>
      </c>
      <c r="H67" s="68">
        <f t="shared" si="9"/>
        <v>27.41</v>
      </c>
      <c r="I67" s="69">
        <f t="shared" si="27"/>
        <v>8551.92</v>
      </c>
      <c r="J67" s="59">
        <f t="shared" si="28"/>
        <v>1.7100000000000009</v>
      </c>
      <c r="K67" s="70">
        <f t="shared" si="28"/>
        <v>533.52000000000044</v>
      </c>
      <c r="L67" s="71">
        <f t="shared" si="29"/>
        <v>6.6536964980544788E-2</v>
      </c>
      <c r="N67" s="6">
        <f t="shared" si="30"/>
        <v>199.76684999999998</v>
      </c>
      <c r="O67" s="6">
        <f t="shared" si="4"/>
        <v>31.163628599999996</v>
      </c>
      <c r="Q67" s="72">
        <f t="shared" si="12"/>
        <v>4194.3127732739995</v>
      </c>
      <c r="R67" s="73">
        <f t="shared" si="13"/>
        <v>0.52308599886186768</v>
      </c>
      <c r="S67" s="4">
        <f t="shared" si="7"/>
        <v>14.34</v>
      </c>
      <c r="T67" s="74">
        <f t="shared" si="8"/>
        <v>13.07</v>
      </c>
    </row>
    <row r="68" spans="1:20" x14ac:dyDescent="0.2">
      <c r="A68" s="52" t="s">
        <v>71</v>
      </c>
      <c r="B68" s="52">
        <v>240</v>
      </c>
      <c r="C68" s="2">
        <v>2</v>
      </c>
      <c r="D68" s="2">
        <v>2</v>
      </c>
      <c r="E68" s="3">
        <v>2</v>
      </c>
      <c r="F68" s="43">
        <v>25.7</v>
      </c>
      <c r="G68" s="5">
        <f t="shared" si="26"/>
        <v>5345.5999999999995</v>
      </c>
      <c r="H68" s="68">
        <f t="shared" si="9"/>
        <v>27.41</v>
      </c>
      <c r="I68" s="69">
        <f t="shared" si="27"/>
        <v>5701.28</v>
      </c>
      <c r="J68" s="59">
        <f t="shared" si="28"/>
        <v>1.7100000000000009</v>
      </c>
      <c r="K68" s="70">
        <f t="shared" si="28"/>
        <v>355.68000000000029</v>
      </c>
      <c r="L68" s="71">
        <f t="shared" si="29"/>
        <v>6.6536964980544788E-2</v>
      </c>
      <c r="N68" s="6">
        <f t="shared" si="30"/>
        <v>199.76684999999998</v>
      </c>
      <c r="O68" s="6">
        <f t="shared" si="4"/>
        <v>20.775752399999998</v>
      </c>
      <c r="Q68" s="72">
        <f t="shared" si="12"/>
        <v>2796.2085155159998</v>
      </c>
      <c r="R68" s="73">
        <f t="shared" si="13"/>
        <v>0.52308599886186768</v>
      </c>
      <c r="S68" s="4">
        <f t="shared" si="7"/>
        <v>14.34</v>
      </c>
      <c r="T68" s="74">
        <f t="shared" si="8"/>
        <v>13.07</v>
      </c>
    </row>
    <row r="69" spans="1:20" ht="17.25" x14ac:dyDescent="0.35">
      <c r="A69" s="52" t="s">
        <v>72</v>
      </c>
      <c r="B69" s="52">
        <v>240</v>
      </c>
      <c r="C69" s="75">
        <v>1</v>
      </c>
      <c r="D69" s="75">
        <v>1</v>
      </c>
      <c r="E69" s="3">
        <v>3</v>
      </c>
      <c r="F69" s="43">
        <v>25.7</v>
      </c>
      <c r="G69" s="76">
        <f t="shared" si="26"/>
        <v>4009.2</v>
      </c>
      <c r="H69" s="68">
        <f t="shared" si="9"/>
        <v>27.41</v>
      </c>
      <c r="I69" s="77">
        <f t="shared" si="27"/>
        <v>4275.96</v>
      </c>
      <c r="J69" s="59">
        <f t="shared" si="28"/>
        <v>1.7100000000000009</v>
      </c>
      <c r="K69" s="78">
        <f t="shared" si="28"/>
        <v>266.76000000000022</v>
      </c>
      <c r="L69" s="86">
        <f t="shared" si="29"/>
        <v>6.6536964980544788E-2</v>
      </c>
      <c r="N69" s="6">
        <f t="shared" si="30"/>
        <v>199.76684999999998</v>
      </c>
      <c r="O69" s="80">
        <f t="shared" si="4"/>
        <v>15.581814299999998</v>
      </c>
      <c r="P69" s="81"/>
      <c r="Q69" s="82">
        <f t="shared" si="12"/>
        <v>2097.1563866369997</v>
      </c>
      <c r="R69" s="83">
        <f t="shared" si="13"/>
        <v>0.52308599886186768</v>
      </c>
      <c r="S69" s="4">
        <f t="shared" si="7"/>
        <v>14.34</v>
      </c>
      <c r="T69" s="74">
        <f t="shared" si="8"/>
        <v>13.07</v>
      </c>
    </row>
    <row r="70" spans="1:20" ht="20.25" x14ac:dyDescent="0.55000000000000004">
      <c r="B70" s="52"/>
      <c r="C70" s="54">
        <f>SUM(C64:C69)</f>
        <v>81</v>
      </c>
      <c r="D70" s="54">
        <f>SUM(D64:D69)</f>
        <v>78</v>
      </c>
      <c r="F70" s="43"/>
      <c r="G70" s="56">
        <f>SUM(G64:G69)</f>
        <v>106552.22372490189</v>
      </c>
      <c r="H70" s="68"/>
      <c r="I70" s="56">
        <f>SUM(I64:I69)</f>
        <v>113641.88530348489</v>
      </c>
      <c r="J70" s="56"/>
      <c r="K70" s="56">
        <f>SUM(K64:K69)</f>
        <v>7089.6615785829772</v>
      </c>
      <c r="L70" s="85">
        <f>+K70/G70</f>
        <v>6.6536964980544844E-2</v>
      </c>
      <c r="O70" s="62">
        <f>SUM(O64:O69)</f>
        <v>414.11677225717744</v>
      </c>
      <c r="P70" s="56"/>
      <c r="Q70" s="56">
        <f>SUM(Q64:Q69)</f>
        <v>55735.976378093517</v>
      </c>
      <c r="R70" s="85">
        <f t="shared" si="13"/>
        <v>0.5230859988618678</v>
      </c>
      <c r="S70" s="4"/>
      <c r="T70" s="74"/>
    </row>
    <row r="71" spans="1:20" x14ac:dyDescent="0.2">
      <c r="B71" s="52"/>
      <c r="F71" s="43"/>
      <c r="H71" s="68"/>
      <c r="Q71" s="72"/>
      <c r="R71" s="73"/>
      <c r="S71" s="4"/>
      <c r="T71" s="74"/>
    </row>
    <row r="72" spans="1:20" x14ac:dyDescent="0.2">
      <c r="A72" s="52"/>
      <c r="B72" s="52"/>
      <c r="F72" s="43"/>
      <c r="H72" s="68"/>
      <c r="Q72" s="72"/>
      <c r="R72" s="73"/>
      <c r="S72" s="4"/>
      <c r="T72" s="74"/>
    </row>
    <row r="73" spans="1:20" x14ac:dyDescent="0.2">
      <c r="A73" s="52" t="s">
        <v>73</v>
      </c>
      <c r="B73" s="52">
        <v>240</v>
      </c>
      <c r="C73" s="2">
        <v>1</v>
      </c>
      <c r="D73" s="2">
        <v>1</v>
      </c>
      <c r="E73" s="3">
        <f>1/4.333</f>
        <v>0.23078698361412414</v>
      </c>
      <c r="F73" s="43">
        <v>32.299999999999997</v>
      </c>
      <c r="G73" s="5">
        <f>+F73*C73*52*E73</f>
        <v>387.6298176782829</v>
      </c>
      <c r="H73" s="68">
        <f t="shared" si="9"/>
        <v>34.450000000000003</v>
      </c>
      <c r="I73" s="69">
        <f>+H73*C73*E73*52</f>
        <v>413.43180244634203</v>
      </c>
      <c r="J73" s="59">
        <f>+H73-F73</f>
        <v>2.1500000000000057</v>
      </c>
      <c r="K73" s="70">
        <f>+I73-G73</f>
        <v>25.801984768059128</v>
      </c>
      <c r="L73" s="71">
        <f>J73/F73</f>
        <v>6.6563467492260248E-2</v>
      </c>
      <c r="N73" s="6">
        <f>+$N$56*2</f>
        <v>266.35579999999999</v>
      </c>
      <c r="O73" s="6">
        <f t="shared" si="4"/>
        <v>1.5982577429032998</v>
      </c>
      <c r="Q73" s="72">
        <f t="shared" si="12"/>
        <v>215.10950961735512</v>
      </c>
      <c r="R73" s="73">
        <f t="shared" si="13"/>
        <v>0.55493540436532496</v>
      </c>
      <c r="S73" s="4">
        <f t="shared" si="7"/>
        <v>19.12</v>
      </c>
      <c r="T73" s="74">
        <f t="shared" si="8"/>
        <v>15.330000000000002</v>
      </c>
    </row>
    <row r="74" spans="1:20" x14ac:dyDescent="0.2">
      <c r="A74" s="52" t="s">
        <v>74</v>
      </c>
      <c r="B74" s="52">
        <v>240</v>
      </c>
      <c r="C74" s="2">
        <v>2</v>
      </c>
      <c r="D74" s="2">
        <v>2</v>
      </c>
      <c r="E74" s="3">
        <f>1/4.333</f>
        <v>0.23078698361412414</v>
      </c>
      <c r="F74" s="43">
        <f>+F73</f>
        <v>32.299999999999997</v>
      </c>
      <c r="G74" s="5">
        <f t="shared" ref="G74:G83" si="31">+F74*C74*52*E74</f>
        <v>775.25963535656581</v>
      </c>
      <c r="H74" s="68">
        <f t="shared" si="9"/>
        <v>34.450000000000003</v>
      </c>
      <c r="I74" s="69">
        <f>+H74*C74*E74*52</f>
        <v>826.86360489268407</v>
      </c>
      <c r="J74" s="59">
        <f>+H74-F74</f>
        <v>2.1500000000000057</v>
      </c>
      <c r="K74" s="70">
        <f>+I74-G74</f>
        <v>51.603969536118257</v>
      </c>
      <c r="L74" s="71">
        <f>J74/F74</f>
        <v>6.6563467492260248E-2</v>
      </c>
      <c r="N74" s="6">
        <f t="shared" ref="N74:N83" si="32">+$N$56*2</f>
        <v>266.35579999999999</v>
      </c>
      <c r="O74" s="6">
        <f t="shared" si="4"/>
        <v>3.1965154858065996</v>
      </c>
      <c r="Q74" s="72">
        <f t="shared" si="12"/>
        <v>430.21901923471023</v>
      </c>
      <c r="R74" s="73">
        <f t="shared" si="13"/>
        <v>0.55493540436532496</v>
      </c>
      <c r="S74" s="4">
        <f t="shared" si="7"/>
        <v>19.12</v>
      </c>
      <c r="T74" s="74">
        <f t="shared" si="8"/>
        <v>15.330000000000002</v>
      </c>
    </row>
    <row r="75" spans="1:20" x14ac:dyDescent="0.2">
      <c r="A75" s="52" t="s">
        <v>75</v>
      </c>
      <c r="B75" s="52">
        <v>240</v>
      </c>
      <c r="C75" s="2">
        <v>21</v>
      </c>
      <c r="D75" s="2">
        <v>21</v>
      </c>
      <c r="E75" s="3">
        <v>0.5</v>
      </c>
      <c r="F75" s="43">
        <f t="shared" ref="F75:F83" si="33">+F74</f>
        <v>32.299999999999997</v>
      </c>
      <c r="G75" s="5">
        <f t="shared" si="31"/>
        <v>17635.8</v>
      </c>
      <c r="H75" s="68">
        <f t="shared" si="9"/>
        <v>34.450000000000003</v>
      </c>
      <c r="I75" s="69">
        <f t="shared" ref="I75:I83" si="34">+H75*C75*E75*52</f>
        <v>18809.7</v>
      </c>
      <c r="J75" s="59">
        <f t="shared" ref="J75:K83" si="35">+H75-F75</f>
        <v>2.1500000000000057</v>
      </c>
      <c r="K75" s="70">
        <f t="shared" si="35"/>
        <v>1173.9000000000015</v>
      </c>
      <c r="L75" s="71">
        <f t="shared" ref="L75:L83" si="36">J75/F75</f>
        <v>6.6563467492260248E-2</v>
      </c>
      <c r="N75" s="6">
        <f t="shared" si="32"/>
        <v>266.35579999999999</v>
      </c>
      <c r="O75" s="6">
        <f t="shared" si="4"/>
        <v>72.715133399999985</v>
      </c>
      <c r="Q75" s="72">
        <f t="shared" si="12"/>
        <v>9786.7298043059982</v>
      </c>
      <c r="R75" s="73">
        <f t="shared" si="13"/>
        <v>0.55493540436532496</v>
      </c>
      <c r="S75" s="4">
        <f t="shared" si="7"/>
        <v>19.12</v>
      </c>
      <c r="T75" s="74">
        <f t="shared" si="8"/>
        <v>15.330000000000002</v>
      </c>
    </row>
    <row r="76" spans="1:20" x14ac:dyDescent="0.2">
      <c r="A76" s="52" t="s">
        <v>76</v>
      </c>
      <c r="B76" s="52">
        <v>240</v>
      </c>
      <c r="C76" s="2">
        <f>92</f>
        <v>92</v>
      </c>
      <c r="D76" s="2">
        <f>+C76</f>
        <v>92</v>
      </c>
      <c r="E76" s="3">
        <v>1</v>
      </c>
      <c r="F76" s="43">
        <f t="shared" si="33"/>
        <v>32.299999999999997</v>
      </c>
      <c r="G76" s="5">
        <f t="shared" si="31"/>
        <v>154523.19999999998</v>
      </c>
      <c r="H76" s="68">
        <f t="shared" si="9"/>
        <v>34.450000000000003</v>
      </c>
      <c r="I76" s="69">
        <f t="shared" si="34"/>
        <v>164808.80000000002</v>
      </c>
      <c r="J76" s="59">
        <f t="shared" si="35"/>
        <v>2.1500000000000057</v>
      </c>
      <c r="K76" s="70">
        <f t="shared" si="35"/>
        <v>10285.600000000035</v>
      </c>
      <c r="L76" s="71">
        <f t="shared" si="36"/>
        <v>6.6563467492260248E-2</v>
      </c>
      <c r="N76" s="6">
        <f t="shared" si="32"/>
        <v>266.35579999999999</v>
      </c>
      <c r="O76" s="6">
        <f t="shared" si="4"/>
        <v>637.1230736</v>
      </c>
      <c r="Q76" s="72">
        <f t="shared" si="12"/>
        <v>85750.394475823996</v>
      </c>
      <c r="R76" s="73">
        <f t="shared" si="13"/>
        <v>0.55493540436532507</v>
      </c>
      <c r="S76" s="4">
        <f t="shared" si="7"/>
        <v>19.12</v>
      </c>
      <c r="T76" s="74">
        <f t="shared" si="8"/>
        <v>15.330000000000002</v>
      </c>
    </row>
    <row r="77" spans="1:20" x14ac:dyDescent="0.2">
      <c r="A77" s="52" t="s">
        <v>77</v>
      </c>
      <c r="B77" s="52">
        <v>240</v>
      </c>
      <c r="C77" s="2">
        <v>5</v>
      </c>
      <c r="D77" s="2">
        <v>3</v>
      </c>
      <c r="E77" s="3">
        <v>1</v>
      </c>
      <c r="F77" s="43">
        <f t="shared" si="33"/>
        <v>32.299999999999997</v>
      </c>
      <c r="G77" s="5">
        <f t="shared" si="31"/>
        <v>8398</v>
      </c>
      <c r="H77" s="68">
        <f t="shared" si="9"/>
        <v>34.450000000000003</v>
      </c>
      <c r="I77" s="69">
        <f t="shared" si="34"/>
        <v>8957</v>
      </c>
      <c r="J77" s="59">
        <f t="shared" si="35"/>
        <v>2.1500000000000057</v>
      </c>
      <c r="K77" s="70">
        <f t="shared" si="35"/>
        <v>559</v>
      </c>
      <c r="L77" s="71">
        <f t="shared" si="36"/>
        <v>6.6563467492260248E-2</v>
      </c>
      <c r="N77" s="6">
        <f t="shared" si="32"/>
        <v>266.35579999999999</v>
      </c>
      <c r="O77" s="6">
        <f t="shared" ref="O77:O140" si="37">+N77*C77*E77*52/2000</f>
        <v>34.626254000000003</v>
      </c>
      <c r="Q77" s="72">
        <f t="shared" si="12"/>
        <v>4660.3475258600001</v>
      </c>
      <c r="R77" s="73">
        <f t="shared" si="13"/>
        <v>0.55493540436532507</v>
      </c>
      <c r="S77" s="4">
        <f t="shared" ref="S77:S83" si="38">ROUND(+H77*R77,2)</f>
        <v>19.12</v>
      </c>
      <c r="T77" s="74">
        <f t="shared" ref="T77:T83" si="39">+H77-S77</f>
        <v>15.330000000000002</v>
      </c>
    </row>
    <row r="78" spans="1:20" x14ac:dyDescent="0.2">
      <c r="A78" s="52" t="s">
        <v>78</v>
      </c>
      <c r="B78" s="52">
        <v>240</v>
      </c>
      <c r="C78" s="2">
        <v>8</v>
      </c>
      <c r="D78" s="2">
        <v>2</v>
      </c>
      <c r="E78" s="3">
        <v>1</v>
      </c>
      <c r="F78" s="43">
        <f t="shared" si="33"/>
        <v>32.299999999999997</v>
      </c>
      <c r="G78" s="5">
        <f t="shared" si="31"/>
        <v>13436.8</v>
      </c>
      <c r="H78" s="68">
        <f t="shared" ref="H78:H141" si="40">ROUND(+F78*(1+$H$7),2)</f>
        <v>34.450000000000003</v>
      </c>
      <c r="I78" s="69">
        <f t="shared" si="34"/>
        <v>14331.2</v>
      </c>
      <c r="J78" s="59">
        <f t="shared" si="35"/>
        <v>2.1500000000000057</v>
      </c>
      <c r="K78" s="70">
        <f t="shared" si="35"/>
        <v>894.40000000000146</v>
      </c>
      <c r="L78" s="71">
        <f t="shared" si="36"/>
        <v>6.6563467492260248E-2</v>
      </c>
      <c r="N78" s="6">
        <f t="shared" si="32"/>
        <v>266.35579999999999</v>
      </c>
      <c r="O78" s="6">
        <f t="shared" si="37"/>
        <v>55.402006399999998</v>
      </c>
      <c r="Q78" s="72">
        <f t="shared" si="12"/>
        <v>7456.5560413759995</v>
      </c>
      <c r="R78" s="73">
        <f t="shared" si="13"/>
        <v>0.55493540436532507</v>
      </c>
      <c r="S78" s="4">
        <f t="shared" si="38"/>
        <v>19.12</v>
      </c>
      <c r="T78" s="74">
        <f t="shared" si="39"/>
        <v>15.330000000000002</v>
      </c>
    </row>
    <row r="79" spans="1:20" x14ac:dyDescent="0.2">
      <c r="A79" s="52" t="s">
        <v>79</v>
      </c>
      <c r="B79" s="52">
        <v>240</v>
      </c>
      <c r="C79" s="2">
        <v>4</v>
      </c>
      <c r="D79" s="2">
        <v>4</v>
      </c>
      <c r="E79" s="3">
        <v>2</v>
      </c>
      <c r="F79" s="43">
        <f t="shared" si="33"/>
        <v>32.299999999999997</v>
      </c>
      <c r="G79" s="5">
        <f t="shared" si="31"/>
        <v>13436.8</v>
      </c>
      <c r="H79" s="68">
        <f t="shared" si="40"/>
        <v>34.450000000000003</v>
      </c>
      <c r="I79" s="69">
        <f t="shared" si="34"/>
        <v>14331.2</v>
      </c>
      <c r="J79" s="59">
        <f t="shared" si="35"/>
        <v>2.1500000000000057</v>
      </c>
      <c r="K79" s="70">
        <f t="shared" si="35"/>
        <v>894.40000000000146</v>
      </c>
      <c r="L79" s="71">
        <f t="shared" si="36"/>
        <v>6.6563467492260248E-2</v>
      </c>
      <c r="N79" s="6">
        <f t="shared" si="32"/>
        <v>266.35579999999999</v>
      </c>
      <c r="O79" s="6">
        <f t="shared" si="37"/>
        <v>55.402006399999998</v>
      </c>
      <c r="Q79" s="72">
        <f t="shared" si="12"/>
        <v>7456.5560413759995</v>
      </c>
      <c r="R79" s="73">
        <f t="shared" si="13"/>
        <v>0.55493540436532507</v>
      </c>
      <c r="S79" s="4">
        <f t="shared" si="38"/>
        <v>19.12</v>
      </c>
      <c r="T79" s="74">
        <f t="shared" si="39"/>
        <v>15.330000000000002</v>
      </c>
    </row>
    <row r="80" spans="1:20" x14ac:dyDescent="0.2">
      <c r="A80" s="52" t="s">
        <v>80</v>
      </c>
      <c r="B80" s="52">
        <v>240</v>
      </c>
      <c r="C80" s="2">
        <v>2</v>
      </c>
      <c r="D80" s="2">
        <v>1</v>
      </c>
      <c r="E80" s="3">
        <v>2</v>
      </c>
      <c r="F80" s="43">
        <f t="shared" si="33"/>
        <v>32.299999999999997</v>
      </c>
      <c r="G80" s="5">
        <f t="shared" si="31"/>
        <v>6718.4</v>
      </c>
      <c r="H80" s="68">
        <f t="shared" si="40"/>
        <v>34.450000000000003</v>
      </c>
      <c r="I80" s="69">
        <f t="shared" si="34"/>
        <v>7165.6</v>
      </c>
      <c r="J80" s="59">
        <f t="shared" si="35"/>
        <v>2.1500000000000057</v>
      </c>
      <c r="K80" s="70">
        <f t="shared" si="35"/>
        <v>447.20000000000073</v>
      </c>
      <c r="L80" s="71">
        <f t="shared" si="36"/>
        <v>6.6563467492260248E-2</v>
      </c>
      <c r="N80" s="6">
        <f t="shared" si="32"/>
        <v>266.35579999999999</v>
      </c>
      <c r="O80" s="6">
        <f t="shared" si="37"/>
        <v>27.701003199999999</v>
      </c>
      <c r="Q80" s="72">
        <f t="shared" si="12"/>
        <v>3728.2780206879997</v>
      </c>
      <c r="R80" s="73">
        <f t="shared" si="13"/>
        <v>0.55493540436532507</v>
      </c>
      <c r="S80" s="4">
        <f t="shared" si="38"/>
        <v>19.12</v>
      </c>
      <c r="T80" s="74">
        <f t="shared" si="39"/>
        <v>15.330000000000002</v>
      </c>
    </row>
    <row r="81" spans="1:20" x14ac:dyDescent="0.2">
      <c r="A81" s="52" t="s">
        <v>81</v>
      </c>
      <c r="B81" s="52">
        <v>240</v>
      </c>
      <c r="C81" s="2">
        <v>6</v>
      </c>
      <c r="D81" s="2">
        <v>1</v>
      </c>
      <c r="E81" s="3">
        <v>2</v>
      </c>
      <c r="F81" s="43">
        <f t="shared" si="33"/>
        <v>32.299999999999997</v>
      </c>
      <c r="G81" s="5">
        <f t="shared" si="31"/>
        <v>20155.199999999997</v>
      </c>
      <c r="H81" s="68">
        <f t="shared" si="40"/>
        <v>34.450000000000003</v>
      </c>
      <c r="I81" s="69">
        <f t="shared" si="34"/>
        <v>21496.800000000003</v>
      </c>
      <c r="J81" s="59">
        <f t="shared" si="35"/>
        <v>2.1500000000000057</v>
      </c>
      <c r="K81" s="70">
        <f t="shared" si="35"/>
        <v>1341.6000000000058</v>
      </c>
      <c r="L81" s="71">
        <f t="shared" si="36"/>
        <v>6.6563467492260248E-2</v>
      </c>
      <c r="N81" s="6">
        <f t="shared" si="32"/>
        <v>266.35579999999999</v>
      </c>
      <c r="O81" s="6">
        <f t="shared" si="37"/>
        <v>83.103009599999993</v>
      </c>
      <c r="Q81" s="72">
        <f t="shared" si="12"/>
        <v>11184.834062063999</v>
      </c>
      <c r="R81" s="73">
        <f t="shared" si="13"/>
        <v>0.55493540436532507</v>
      </c>
      <c r="S81" s="4">
        <f t="shared" si="38"/>
        <v>19.12</v>
      </c>
      <c r="T81" s="74">
        <f t="shared" si="39"/>
        <v>15.330000000000002</v>
      </c>
    </row>
    <row r="82" spans="1:20" x14ac:dyDescent="0.2">
      <c r="A82" s="52" t="s">
        <v>82</v>
      </c>
      <c r="B82" s="52">
        <v>240</v>
      </c>
      <c r="C82" s="2">
        <v>2</v>
      </c>
      <c r="D82" s="2">
        <v>2</v>
      </c>
      <c r="E82" s="3">
        <v>3</v>
      </c>
      <c r="F82" s="43">
        <f t="shared" si="33"/>
        <v>32.299999999999997</v>
      </c>
      <c r="G82" s="5">
        <f t="shared" si="31"/>
        <v>10077.599999999999</v>
      </c>
      <c r="H82" s="68">
        <f t="shared" si="40"/>
        <v>34.450000000000003</v>
      </c>
      <c r="I82" s="69">
        <f t="shared" si="34"/>
        <v>10748.400000000001</v>
      </c>
      <c r="J82" s="59">
        <f t="shared" si="35"/>
        <v>2.1500000000000057</v>
      </c>
      <c r="K82" s="70">
        <f t="shared" si="35"/>
        <v>670.80000000000291</v>
      </c>
      <c r="L82" s="71">
        <f t="shared" si="36"/>
        <v>6.6563467492260248E-2</v>
      </c>
      <c r="N82" s="6">
        <f t="shared" si="32"/>
        <v>266.35579999999999</v>
      </c>
      <c r="O82" s="6">
        <f t="shared" si="37"/>
        <v>41.551504799999996</v>
      </c>
      <c r="Q82" s="72">
        <f t="shared" si="12"/>
        <v>5592.4170310319996</v>
      </c>
      <c r="R82" s="73">
        <f t="shared" si="13"/>
        <v>0.55493540436532507</v>
      </c>
      <c r="S82" s="4">
        <f t="shared" si="38"/>
        <v>19.12</v>
      </c>
      <c r="T82" s="74">
        <f t="shared" si="39"/>
        <v>15.330000000000002</v>
      </c>
    </row>
    <row r="83" spans="1:20" ht="17.25" x14ac:dyDescent="0.35">
      <c r="A83" s="52" t="s">
        <v>83</v>
      </c>
      <c r="B83" s="52">
        <v>240</v>
      </c>
      <c r="C83" s="75">
        <v>1</v>
      </c>
      <c r="D83" s="75">
        <v>1</v>
      </c>
      <c r="E83" s="3">
        <v>4</v>
      </c>
      <c r="F83" s="43">
        <f t="shared" si="33"/>
        <v>32.299999999999997</v>
      </c>
      <c r="G83" s="76">
        <f t="shared" si="31"/>
        <v>6718.4</v>
      </c>
      <c r="H83" s="68">
        <f t="shared" si="40"/>
        <v>34.450000000000003</v>
      </c>
      <c r="I83" s="77">
        <f t="shared" si="34"/>
        <v>7165.6</v>
      </c>
      <c r="J83" s="59">
        <f t="shared" si="35"/>
        <v>2.1500000000000057</v>
      </c>
      <c r="K83" s="78">
        <f t="shared" si="35"/>
        <v>447.20000000000073</v>
      </c>
      <c r="L83" s="86">
        <f t="shared" si="36"/>
        <v>6.6563467492260248E-2</v>
      </c>
      <c r="N83" s="6">
        <f t="shared" si="32"/>
        <v>266.35579999999999</v>
      </c>
      <c r="O83" s="80">
        <f t="shared" si="37"/>
        <v>27.701003199999999</v>
      </c>
      <c r="P83" s="81"/>
      <c r="Q83" s="82">
        <f t="shared" si="12"/>
        <v>3728.2780206879997</v>
      </c>
      <c r="R83" s="83">
        <f t="shared" si="13"/>
        <v>0.55493540436532507</v>
      </c>
      <c r="S83" s="88">
        <f t="shared" si="38"/>
        <v>19.12</v>
      </c>
      <c r="T83" s="89">
        <f t="shared" si="39"/>
        <v>15.330000000000002</v>
      </c>
    </row>
    <row r="84" spans="1:20" ht="20.25" x14ac:dyDescent="0.55000000000000004">
      <c r="B84" s="52"/>
      <c r="C84" s="54">
        <f>SUM(C73:C83)</f>
        <v>144</v>
      </c>
      <c r="D84" s="54">
        <f>SUM(D73:D83)</f>
        <v>130</v>
      </c>
      <c r="F84" s="43"/>
      <c r="G84" s="56">
        <f>SUM(G73:G83)</f>
        <v>252263.0894530348</v>
      </c>
      <c r="H84" s="68"/>
      <c r="I84" s="56">
        <f>SUM(I73:I83)</f>
        <v>269054.5954073391</v>
      </c>
      <c r="J84" s="56"/>
      <c r="K84" s="56">
        <f>SUM(K73:K83)</f>
        <v>16791.505954304226</v>
      </c>
      <c r="L84" s="85">
        <f>+K84/G84</f>
        <v>6.6563467492260261E-2</v>
      </c>
      <c r="O84" s="62">
        <f>SUM(O73:O83)</f>
        <v>1040.1197678287099</v>
      </c>
      <c r="P84" s="56"/>
      <c r="Q84" s="56">
        <f>SUM(Q73:Q83)</f>
        <v>139989.71955206603</v>
      </c>
      <c r="R84" s="85">
        <f t="shared" si="13"/>
        <v>0.55493540436532507</v>
      </c>
      <c r="S84" s="4"/>
      <c r="T84" s="74"/>
    </row>
    <row r="85" spans="1:20" x14ac:dyDescent="0.2">
      <c r="B85" s="52"/>
      <c r="F85" s="43"/>
      <c r="H85" s="68"/>
      <c r="Q85" s="72"/>
      <c r="R85" s="73"/>
      <c r="S85" s="90"/>
    </row>
    <row r="86" spans="1:20" x14ac:dyDescent="0.2">
      <c r="A86" s="52"/>
      <c r="B86" s="52"/>
      <c r="F86" s="43"/>
      <c r="H86" s="68"/>
      <c r="Q86" s="72"/>
      <c r="R86" s="73"/>
      <c r="S86" s="90"/>
    </row>
    <row r="87" spans="1:20" x14ac:dyDescent="0.2">
      <c r="A87" s="52" t="s">
        <v>84</v>
      </c>
      <c r="B87" s="52">
        <v>240</v>
      </c>
      <c r="C87" s="2">
        <v>2</v>
      </c>
      <c r="D87" s="2">
        <v>2</v>
      </c>
      <c r="E87" s="3">
        <f>1/4.333</f>
        <v>0.23078698361412414</v>
      </c>
      <c r="F87" s="43">
        <v>61.9</v>
      </c>
      <c r="G87" s="5">
        <f>+F87*C87*52*E87</f>
        <v>1485.7142857142856</v>
      </c>
      <c r="H87" s="68">
        <f t="shared" si="40"/>
        <v>66.02</v>
      </c>
      <c r="I87" s="69">
        <f>+H87*C87*E87*52</f>
        <v>1584.6018924532652</v>
      </c>
      <c r="J87" s="59">
        <f t="shared" ref="J87:K97" si="41">+H87-F87</f>
        <v>4.1199999999999974</v>
      </c>
      <c r="K87" s="70">
        <f t="shared" si="41"/>
        <v>98.887606738979684</v>
      </c>
      <c r="L87" s="71">
        <f>J87/F87</f>
        <v>6.6558966074313372E-2</v>
      </c>
      <c r="N87" s="6">
        <f>+$N$56*3</f>
        <v>399.53369999999995</v>
      </c>
      <c r="O87" s="6">
        <f t="shared" si="37"/>
        <v>4.7947732287099001</v>
      </c>
      <c r="Q87" s="72">
        <f t="shared" si="12"/>
        <v>645.32852885206546</v>
      </c>
      <c r="R87" s="73">
        <f t="shared" si="13"/>
        <v>0.43435574057350562</v>
      </c>
      <c r="S87" s="4">
        <f>ROUND(+H87*R87,2)</f>
        <v>28.68</v>
      </c>
      <c r="T87" s="74">
        <f>+H87-S87</f>
        <v>37.339999999999996</v>
      </c>
    </row>
    <row r="88" spans="1:20" x14ac:dyDescent="0.2">
      <c r="A88" s="52" t="s">
        <v>85</v>
      </c>
      <c r="B88" s="52">
        <v>240</v>
      </c>
      <c r="C88" s="2">
        <v>2</v>
      </c>
      <c r="D88" s="2">
        <v>2</v>
      </c>
      <c r="E88" s="3">
        <f>1/4.333</f>
        <v>0.23078698361412414</v>
      </c>
      <c r="F88" s="43">
        <v>48.4</v>
      </c>
      <c r="G88" s="5">
        <f>+F88*C88*52*E88</f>
        <v>1161.6893607200552</v>
      </c>
      <c r="H88" s="68">
        <f t="shared" si="40"/>
        <v>51.62</v>
      </c>
      <c r="I88" s="69">
        <f>+H88*C88*E88*52</f>
        <v>1238.975305792753</v>
      </c>
      <c r="J88" s="59">
        <f t="shared" si="41"/>
        <v>3.2199999999999989</v>
      </c>
      <c r="K88" s="70">
        <f t="shared" si="41"/>
        <v>77.285945072697814</v>
      </c>
      <c r="L88" s="71">
        <f>J88/F88</f>
        <v>6.6528925619834686E-2</v>
      </c>
      <c r="N88" s="6">
        <f t="shared" ref="N88:N97" si="42">+$N$56*3</f>
        <v>399.53369999999995</v>
      </c>
      <c r="O88" s="6">
        <f t="shared" si="37"/>
        <v>4.7947732287099001</v>
      </c>
      <c r="Q88" s="72">
        <f t="shared" si="12"/>
        <v>645.32852885206546</v>
      </c>
      <c r="R88" s="73">
        <f t="shared" si="13"/>
        <v>0.55550868474173554</v>
      </c>
      <c r="S88" s="4">
        <f t="shared" ref="S88:S97" si="43">ROUND(+H88*R88,2)</f>
        <v>28.68</v>
      </c>
      <c r="T88" s="74">
        <f t="shared" ref="T88:T97" si="44">+H88-S88</f>
        <v>22.939999999999998</v>
      </c>
    </row>
    <row r="89" spans="1:20" x14ac:dyDescent="0.2">
      <c r="A89" s="52" t="s">
        <v>86</v>
      </c>
      <c r="B89" s="52">
        <v>240</v>
      </c>
      <c r="C89" s="2">
        <v>4</v>
      </c>
      <c r="D89" s="2">
        <v>4</v>
      </c>
      <c r="E89" s="3">
        <v>0.5</v>
      </c>
      <c r="F89" s="43">
        <v>48.4</v>
      </c>
      <c r="G89" s="5">
        <f t="shared" ref="G89:G97" si="45">+F89*C89*52*E89</f>
        <v>5033.5999999999995</v>
      </c>
      <c r="H89" s="68">
        <f t="shared" si="40"/>
        <v>51.62</v>
      </c>
      <c r="I89" s="69">
        <f>+H89*C89*E89*52</f>
        <v>5368.48</v>
      </c>
      <c r="J89" s="59">
        <f t="shared" si="41"/>
        <v>3.2199999999999989</v>
      </c>
      <c r="K89" s="70">
        <f t="shared" si="41"/>
        <v>334.88000000000011</v>
      </c>
      <c r="L89" s="71">
        <f>J89/F89</f>
        <v>6.6528925619834686E-2</v>
      </c>
      <c r="N89" s="6">
        <f t="shared" si="42"/>
        <v>399.53369999999995</v>
      </c>
      <c r="O89" s="6">
        <f t="shared" si="37"/>
        <v>20.775752399999998</v>
      </c>
      <c r="Q89" s="72">
        <f t="shared" si="12"/>
        <v>2796.2085155159998</v>
      </c>
      <c r="R89" s="73">
        <f t="shared" si="13"/>
        <v>0.55550868474173554</v>
      </c>
      <c r="S89" s="4">
        <f t="shared" si="43"/>
        <v>28.68</v>
      </c>
      <c r="T89" s="74">
        <f t="shared" si="44"/>
        <v>22.939999999999998</v>
      </c>
    </row>
    <row r="90" spans="1:20" x14ac:dyDescent="0.2">
      <c r="A90" s="52" t="s">
        <v>87</v>
      </c>
      <c r="B90" s="52">
        <v>240</v>
      </c>
      <c r="C90" s="2">
        <v>78</v>
      </c>
      <c r="D90" s="2">
        <f>+C90</f>
        <v>78</v>
      </c>
      <c r="E90" s="3">
        <v>1</v>
      </c>
      <c r="F90" s="43">
        <v>48.4</v>
      </c>
      <c r="G90" s="5">
        <f t="shared" si="45"/>
        <v>196310.39999999999</v>
      </c>
      <c r="H90" s="68">
        <f t="shared" si="40"/>
        <v>51.62</v>
      </c>
      <c r="I90" s="69">
        <f t="shared" ref="I90:I97" si="46">+H90*C90*E90*52</f>
        <v>209370.71999999997</v>
      </c>
      <c r="J90" s="59">
        <f t="shared" si="41"/>
        <v>3.2199999999999989</v>
      </c>
      <c r="K90" s="70">
        <f t="shared" si="41"/>
        <v>13060.319999999978</v>
      </c>
      <c r="L90" s="71">
        <f t="shared" ref="L90:L97" si="47">J90/F90</f>
        <v>6.6528925619834686E-2</v>
      </c>
      <c r="N90" s="6">
        <f t="shared" si="42"/>
        <v>399.53369999999995</v>
      </c>
      <c r="O90" s="6">
        <f t="shared" si="37"/>
        <v>810.25434359999986</v>
      </c>
      <c r="Q90" s="72">
        <f t="shared" si="12"/>
        <v>109052.13210512398</v>
      </c>
      <c r="R90" s="73">
        <f t="shared" si="13"/>
        <v>0.55550868474173543</v>
      </c>
      <c r="S90" s="4">
        <f t="shared" si="43"/>
        <v>28.68</v>
      </c>
      <c r="T90" s="74">
        <f t="shared" si="44"/>
        <v>22.939999999999998</v>
      </c>
    </row>
    <row r="91" spans="1:20" x14ac:dyDescent="0.2">
      <c r="A91" s="52" t="s">
        <v>88</v>
      </c>
      <c r="B91" s="52">
        <v>240</v>
      </c>
      <c r="C91" s="2">
        <v>4</v>
      </c>
      <c r="D91" s="2">
        <v>2</v>
      </c>
      <c r="E91" s="3">
        <v>1</v>
      </c>
      <c r="F91" s="43">
        <v>48.4</v>
      </c>
      <c r="G91" s="5">
        <f t="shared" si="45"/>
        <v>10067.199999999999</v>
      </c>
      <c r="H91" s="68">
        <f t="shared" si="40"/>
        <v>51.62</v>
      </c>
      <c r="I91" s="69">
        <f t="shared" si="46"/>
        <v>10736.96</v>
      </c>
      <c r="J91" s="59">
        <f t="shared" si="41"/>
        <v>3.2199999999999989</v>
      </c>
      <c r="K91" s="70">
        <f t="shared" si="41"/>
        <v>669.76000000000022</v>
      </c>
      <c r="L91" s="71">
        <f t="shared" si="47"/>
        <v>6.6528925619834686E-2</v>
      </c>
      <c r="N91" s="6">
        <f t="shared" si="42"/>
        <v>399.53369999999995</v>
      </c>
      <c r="O91" s="6">
        <f t="shared" si="37"/>
        <v>41.551504799999996</v>
      </c>
      <c r="Q91" s="72">
        <f t="shared" si="12"/>
        <v>5592.4170310319996</v>
      </c>
      <c r="R91" s="73">
        <f t="shared" si="13"/>
        <v>0.55550868474173554</v>
      </c>
      <c r="S91" s="4">
        <f t="shared" si="43"/>
        <v>28.68</v>
      </c>
      <c r="T91" s="74">
        <f t="shared" si="44"/>
        <v>22.939999999999998</v>
      </c>
    </row>
    <row r="92" spans="1:20" x14ac:dyDescent="0.2">
      <c r="A92" s="52" t="s">
        <v>89</v>
      </c>
      <c r="B92" s="52">
        <v>240</v>
      </c>
      <c r="C92" s="2">
        <v>4</v>
      </c>
      <c r="D92" s="2">
        <v>1</v>
      </c>
      <c r="E92" s="3">
        <v>1</v>
      </c>
      <c r="F92" s="43">
        <v>48.4</v>
      </c>
      <c r="G92" s="5">
        <f t="shared" si="45"/>
        <v>10067.199999999999</v>
      </c>
      <c r="H92" s="68">
        <f t="shared" si="40"/>
        <v>51.62</v>
      </c>
      <c r="I92" s="69">
        <f t="shared" si="46"/>
        <v>10736.96</v>
      </c>
      <c r="J92" s="59">
        <f t="shared" si="41"/>
        <v>3.2199999999999989</v>
      </c>
      <c r="K92" s="70">
        <f t="shared" si="41"/>
        <v>669.76000000000022</v>
      </c>
      <c r="L92" s="71">
        <f t="shared" si="47"/>
        <v>6.6528925619834686E-2</v>
      </c>
      <c r="N92" s="6">
        <f t="shared" si="42"/>
        <v>399.53369999999995</v>
      </c>
      <c r="O92" s="6">
        <f t="shared" si="37"/>
        <v>41.551504799999996</v>
      </c>
      <c r="Q92" s="72">
        <f t="shared" ref="Q92:Q148" si="48">+O92*$Q$7</f>
        <v>5592.4170310319996</v>
      </c>
      <c r="R92" s="73">
        <f t="shared" ref="R92:R149" si="49">+Q92/G92</f>
        <v>0.55550868474173554</v>
      </c>
      <c r="S92" s="4">
        <f t="shared" si="43"/>
        <v>28.68</v>
      </c>
      <c r="T92" s="74">
        <f t="shared" si="44"/>
        <v>22.939999999999998</v>
      </c>
    </row>
    <row r="93" spans="1:20" x14ac:dyDescent="0.2">
      <c r="A93" s="52" t="s">
        <v>90</v>
      </c>
      <c r="B93" s="52">
        <v>240</v>
      </c>
      <c r="C93" s="2">
        <v>9</v>
      </c>
      <c r="D93" s="2">
        <v>1</v>
      </c>
      <c r="E93" s="3">
        <v>1</v>
      </c>
      <c r="F93" s="43">
        <v>48.4</v>
      </c>
      <c r="G93" s="5">
        <f t="shared" si="45"/>
        <v>22651.199999999997</v>
      </c>
      <c r="H93" s="68">
        <f t="shared" si="40"/>
        <v>51.62</v>
      </c>
      <c r="I93" s="69">
        <f t="shared" si="46"/>
        <v>24158.16</v>
      </c>
      <c r="J93" s="59">
        <f t="shared" si="41"/>
        <v>3.2199999999999989</v>
      </c>
      <c r="K93" s="70">
        <f t="shared" si="41"/>
        <v>1506.9600000000028</v>
      </c>
      <c r="L93" s="71">
        <f t="shared" si="47"/>
        <v>6.6528925619834686E-2</v>
      </c>
      <c r="N93" s="6">
        <f t="shared" si="42"/>
        <v>399.53369999999995</v>
      </c>
      <c r="O93" s="6">
        <f t="shared" si="37"/>
        <v>93.490885799999987</v>
      </c>
      <c r="Q93" s="72">
        <f t="shared" si="48"/>
        <v>12582.938319821998</v>
      </c>
      <c r="R93" s="73">
        <f t="shared" si="49"/>
        <v>0.55550868474173554</v>
      </c>
      <c r="S93" s="4">
        <f t="shared" si="43"/>
        <v>28.68</v>
      </c>
      <c r="T93" s="74">
        <f t="shared" si="44"/>
        <v>22.939999999999998</v>
      </c>
    </row>
    <row r="94" spans="1:20" x14ac:dyDescent="0.2">
      <c r="A94" s="52" t="s">
        <v>91</v>
      </c>
      <c r="B94" s="52">
        <v>240</v>
      </c>
      <c r="C94" s="2">
        <v>9</v>
      </c>
      <c r="D94" s="2">
        <v>9</v>
      </c>
      <c r="E94" s="3">
        <v>2</v>
      </c>
      <c r="F94" s="43">
        <v>48.4</v>
      </c>
      <c r="G94" s="5">
        <f t="shared" si="45"/>
        <v>45302.399999999994</v>
      </c>
      <c r="H94" s="68">
        <f t="shared" si="40"/>
        <v>51.62</v>
      </c>
      <c r="I94" s="69">
        <f t="shared" si="46"/>
        <v>48316.32</v>
      </c>
      <c r="J94" s="59">
        <f t="shared" si="41"/>
        <v>3.2199999999999989</v>
      </c>
      <c r="K94" s="70">
        <f t="shared" si="41"/>
        <v>3013.9200000000055</v>
      </c>
      <c r="L94" s="71">
        <f t="shared" si="47"/>
        <v>6.6528925619834686E-2</v>
      </c>
      <c r="N94" s="6">
        <f t="shared" si="42"/>
        <v>399.53369999999995</v>
      </c>
      <c r="O94" s="6">
        <f t="shared" si="37"/>
        <v>186.98177159999997</v>
      </c>
      <c r="Q94" s="72">
        <f t="shared" si="48"/>
        <v>25165.876639643997</v>
      </c>
      <c r="R94" s="73">
        <f t="shared" si="49"/>
        <v>0.55550868474173554</v>
      </c>
      <c r="S94" s="4">
        <f t="shared" si="43"/>
        <v>28.68</v>
      </c>
      <c r="T94" s="74">
        <f t="shared" si="44"/>
        <v>22.939999999999998</v>
      </c>
    </row>
    <row r="95" spans="1:20" x14ac:dyDescent="0.2">
      <c r="A95" s="52" t="s">
        <v>92</v>
      </c>
      <c r="B95" s="52">
        <v>240</v>
      </c>
      <c r="C95" s="2">
        <v>8</v>
      </c>
      <c r="D95" s="2">
        <v>4</v>
      </c>
      <c r="E95" s="3">
        <v>2</v>
      </c>
      <c r="F95" s="43">
        <v>48.4</v>
      </c>
      <c r="G95" s="5">
        <f t="shared" si="45"/>
        <v>40268.799999999996</v>
      </c>
      <c r="H95" s="68">
        <f t="shared" si="40"/>
        <v>51.62</v>
      </c>
      <c r="I95" s="69">
        <f t="shared" si="46"/>
        <v>42947.839999999997</v>
      </c>
      <c r="J95" s="59">
        <f t="shared" si="41"/>
        <v>3.2199999999999989</v>
      </c>
      <c r="K95" s="70">
        <f t="shared" si="41"/>
        <v>2679.0400000000009</v>
      </c>
      <c r="L95" s="71">
        <f t="shared" si="47"/>
        <v>6.6528925619834686E-2</v>
      </c>
      <c r="N95" s="6">
        <f t="shared" si="42"/>
        <v>399.53369999999995</v>
      </c>
      <c r="O95" s="6">
        <f t="shared" si="37"/>
        <v>166.20601919999999</v>
      </c>
      <c r="Q95" s="72">
        <f t="shared" si="48"/>
        <v>22369.668124127998</v>
      </c>
      <c r="R95" s="73">
        <f t="shared" si="49"/>
        <v>0.55550868474173554</v>
      </c>
      <c r="S95" s="4">
        <f t="shared" si="43"/>
        <v>28.68</v>
      </c>
      <c r="T95" s="74">
        <f t="shared" si="44"/>
        <v>22.939999999999998</v>
      </c>
    </row>
    <row r="96" spans="1:20" x14ac:dyDescent="0.2">
      <c r="A96" s="52" t="s">
        <v>93</v>
      </c>
      <c r="B96" s="52">
        <v>240</v>
      </c>
      <c r="C96" s="2">
        <v>1</v>
      </c>
      <c r="D96" s="2">
        <v>1</v>
      </c>
      <c r="E96" s="3">
        <v>3</v>
      </c>
      <c r="F96" s="43">
        <v>48.4</v>
      </c>
      <c r="G96" s="5">
        <f t="shared" si="45"/>
        <v>7550.4</v>
      </c>
      <c r="H96" s="68">
        <f t="shared" si="40"/>
        <v>51.62</v>
      </c>
      <c r="I96" s="69">
        <f t="shared" si="46"/>
        <v>8052.7199999999993</v>
      </c>
      <c r="J96" s="59">
        <f t="shared" si="41"/>
        <v>3.2199999999999989</v>
      </c>
      <c r="K96" s="70">
        <f t="shared" si="41"/>
        <v>502.31999999999971</v>
      </c>
      <c r="L96" s="71">
        <f t="shared" si="47"/>
        <v>6.6528925619834686E-2</v>
      </c>
      <c r="N96" s="6">
        <f t="shared" si="42"/>
        <v>399.53369999999995</v>
      </c>
      <c r="O96" s="6">
        <f t="shared" si="37"/>
        <v>31.163628599999996</v>
      </c>
      <c r="Q96" s="72">
        <f t="shared" si="48"/>
        <v>4194.3127732739995</v>
      </c>
      <c r="R96" s="73">
        <f t="shared" si="49"/>
        <v>0.55550868474173554</v>
      </c>
      <c r="S96" s="4">
        <f t="shared" si="43"/>
        <v>28.68</v>
      </c>
      <c r="T96" s="74">
        <f t="shared" si="44"/>
        <v>22.939999999999998</v>
      </c>
    </row>
    <row r="97" spans="1:20" ht="17.25" x14ac:dyDescent="0.35">
      <c r="A97" s="52" t="s">
        <v>94</v>
      </c>
      <c r="B97" s="52">
        <v>240</v>
      </c>
      <c r="C97" s="75">
        <v>2</v>
      </c>
      <c r="D97" s="75">
        <v>1</v>
      </c>
      <c r="E97" s="3">
        <v>3</v>
      </c>
      <c r="F97" s="43">
        <v>48.4</v>
      </c>
      <c r="G97" s="76">
        <f t="shared" si="45"/>
        <v>15100.8</v>
      </c>
      <c r="H97" s="68">
        <f t="shared" si="40"/>
        <v>51.62</v>
      </c>
      <c r="I97" s="77">
        <f t="shared" si="46"/>
        <v>16105.439999999999</v>
      </c>
      <c r="J97" s="59">
        <f t="shared" si="41"/>
        <v>3.2199999999999989</v>
      </c>
      <c r="K97" s="78">
        <f t="shared" si="41"/>
        <v>1004.6399999999994</v>
      </c>
      <c r="L97" s="86">
        <f t="shared" si="47"/>
        <v>6.6528925619834686E-2</v>
      </c>
      <c r="N97" s="6">
        <f t="shared" si="42"/>
        <v>399.53369999999995</v>
      </c>
      <c r="O97" s="80">
        <f t="shared" si="37"/>
        <v>62.327257199999991</v>
      </c>
      <c r="P97" s="81"/>
      <c r="Q97" s="82">
        <f t="shared" si="48"/>
        <v>8388.625546547999</v>
      </c>
      <c r="R97" s="91">
        <f t="shared" si="49"/>
        <v>0.55550868474173554</v>
      </c>
      <c r="S97" s="4">
        <f t="shared" si="43"/>
        <v>28.68</v>
      </c>
      <c r="T97" s="74">
        <f t="shared" si="44"/>
        <v>22.939999999999998</v>
      </c>
    </row>
    <row r="98" spans="1:20" ht="20.25" x14ac:dyDescent="0.55000000000000004">
      <c r="B98" s="52"/>
      <c r="C98" s="54">
        <f>SUM(C87:C97)</f>
        <v>123</v>
      </c>
      <c r="D98" s="54">
        <f>SUM(D87:D97)</f>
        <v>105</v>
      </c>
      <c r="F98" s="43"/>
      <c r="G98" s="56">
        <f>SUM(G87:G97)</f>
        <v>354999.40364643431</v>
      </c>
      <c r="H98" s="68"/>
      <c r="I98" s="56">
        <f>SUM(I87:I97)</f>
        <v>378617.17719824595</v>
      </c>
      <c r="J98" s="56"/>
      <c r="K98" s="56">
        <f>SUM(K87:K97)</f>
        <v>23617.773551811664</v>
      </c>
      <c r="L98" s="85">
        <f>+K98/G98</f>
        <v>6.6529051342672271E-2</v>
      </c>
      <c r="O98" s="62">
        <f>SUM(O87:O97)</f>
        <v>1463.8922144574196</v>
      </c>
      <c r="P98" s="56"/>
      <c r="Q98" s="56">
        <f>SUM(Q87:Q97)</f>
        <v>197025.25314382408</v>
      </c>
      <c r="R98" s="85">
        <f t="shared" si="49"/>
        <v>0.55500164541136421</v>
      </c>
      <c r="S98" s="4"/>
      <c r="T98" s="74"/>
    </row>
    <row r="99" spans="1:20" x14ac:dyDescent="0.2">
      <c r="B99" s="52"/>
      <c r="F99" s="43"/>
      <c r="H99" s="68"/>
      <c r="Q99" s="72"/>
      <c r="R99" s="73"/>
      <c r="S99" s="4"/>
      <c r="T99" s="74"/>
    </row>
    <row r="100" spans="1:20" x14ac:dyDescent="0.2">
      <c r="B100" s="52"/>
      <c r="F100" s="43"/>
      <c r="H100" s="68"/>
      <c r="Q100" s="72"/>
      <c r="R100" s="73"/>
      <c r="S100" s="4"/>
      <c r="T100" s="74"/>
    </row>
    <row r="101" spans="1:20" x14ac:dyDescent="0.2">
      <c r="A101" s="52" t="s">
        <v>95</v>
      </c>
      <c r="B101" s="52">
        <v>240</v>
      </c>
      <c r="C101" s="2">
        <v>3</v>
      </c>
      <c r="D101" s="2">
        <v>3</v>
      </c>
      <c r="E101" s="3">
        <f>1/4.333</f>
        <v>0.23078698361412414</v>
      </c>
      <c r="F101" s="43">
        <v>72.8</v>
      </c>
      <c r="G101" s="5">
        <f t="shared" ref="G101:G115" si="50">+F101*C101*52*E101</f>
        <v>2621.0016155088847</v>
      </c>
      <c r="H101" s="68">
        <f t="shared" si="40"/>
        <v>77.650000000000006</v>
      </c>
      <c r="I101" s="69">
        <f>+H101*C101*E101*52</f>
        <v>2795.6150473113316</v>
      </c>
      <c r="J101" s="59">
        <f t="shared" ref="J101:K115" si="51">+H101-F101</f>
        <v>4.8500000000000085</v>
      </c>
      <c r="K101" s="70">
        <f t="shared" si="51"/>
        <v>174.61343180244694</v>
      </c>
      <c r="L101" s="71">
        <f>J101/F101</f>
        <v>6.6620879120879245E-2</v>
      </c>
      <c r="N101" s="6">
        <f>+$N$56*4</f>
        <v>532.71159999999998</v>
      </c>
      <c r="O101" s="6">
        <f t="shared" si="37"/>
        <v>9.5895464574198002</v>
      </c>
      <c r="Q101" s="72">
        <f t="shared" si="48"/>
        <v>1290.6570577041309</v>
      </c>
      <c r="R101" s="73">
        <f t="shared" si="49"/>
        <v>0.49242894398351655</v>
      </c>
      <c r="S101" s="4">
        <f t="shared" ref="S101:S115" si="52">ROUND(+H101*R101,2)</f>
        <v>38.24</v>
      </c>
      <c r="T101" s="74">
        <f t="shared" ref="T101:T115" si="53">+H101-S101</f>
        <v>39.410000000000004</v>
      </c>
    </row>
    <row r="102" spans="1:20" x14ac:dyDescent="0.2">
      <c r="A102" s="52" t="s">
        <v>96</v>
      </c>
      <c r="B102" s="52">
        <v>240</v>
      </c>
      <c r="C102" s="2">
        <v>1</v>
      </c>
      <c r="D102" s="2">
        <v>1</v>
      </c>
      <c r="E102" s="3">
        <f>1/4.333</f>
        <v>0.23078698361412414</v>
      </c>
      <c r="F102" s="43">
        <v>59.3</v>
      </c>
      <c r="G102" s="5">
        <f t="shared" si="50"/>
        <v>711.65474267251318</v>
      </c>
      <c r="H102" s="68">
        <f t="shared" si="40"/>
        <v>63.25</v>
      </c>
      <c r="I102" s="69">
        <f>+H102*C102*E102*52</f>
        <v>759.05838910685429</v>
      </c>
      <c r="J102" s="59">
        <f t="shared" si="51"/>
        <v>3.9500000000000028</v>
      </c>
      <c r="K102" s="70">
        <f t="shared" si="51"/>
        <v>47.403646434341113</v>
      </c>
      <c r="L102" s="71">
        <f>J102/F102</f>
        <v>6.6610455311973071E-2</v>
      </c>
      <c r="N102" s="6">
        <f t="shared" ref="N102:N115" si="54">+$N$56*4</f>
        <v>532.71159999999998</v>
      </c>
      <c r="O102" s="6">
        <f t="shared" si="37"/>
        <v>3.1965154858065996</v>
      </c>
      <c r="Q102" s="72">
        <f t="shared" si="48"/>
        <v>430.21901923471023</v>
      </c>
      <c r="R102" s="73">
        <f t="shared" si="49"/>
        <v>0.60453334101180423</v>
      </c>
      <c r="S102" s="4">
        <f t="shared" si="52"/>
        <v>38.24</v>
      </c>
      <c r="T102" s="74">
        <f t="shared" si="53"/>
        <v>25.009999999999998</v>
      </c>
    </row>
    <row r="103" spans="1:20" x14ac:dyDescent="0.2">
      <c r="A103" s="52" t="s">
        <v>97</v>
      </c>
      <c r="B103" s="52">
        <v>240</v>
      </c>
      <c r="C103" s="2">
        <v>1</v>
      </c>
      <c r="D103" s="2">
        <v>1</v>
      </c>
      <c r="E103" s="3">
        <f>1/4.333</f>
        <v>0.23078698361412414</v>
      </c>
      <c r="F103" s="43">
        <v>59.3</v>
      </c>
      <c r="G103" s="5">
        <f t="shared" si="50"/>
        <v>711.65474267251318</v>
      </c>
      <c r="H103" s="68">
        <f t="shared" si="40"/>
        <v>63.25</v>
      </c>
      <c r="I103" s="69">
        <f>+H103*C103*E103*52</f>
        <v>759.05838910685429</v>
      </c>
      <c r="J103" s="59">
        <f t="shared" si="51"/>
        <v>3.9500000000000028</v>
      </c>
      <c r="K103" s="70">
        <f t="shared" si="51"/>
        <v>47.403646434341113</v>
      </c>
      <c r="L103" s="71">
        <f>J103/F103</f>
        <v>6.6610455311973071E-2</v>
      </c>
      <c r="N103" s="6">
        <f t="shared" si="54"/>
        <v>532.71159999999998</v>
      </c>
      <c r="O103" s="6">
        <f t="shared" si="37"/>
        <v>3.1965154858065996</v>
      </c>
      <c r="Q103" s="72">
        <f t="shared" si="48"/>
        <v>430.21901923471023</v>
      </c>
      <c r="R103" s="73">
        <f t="shared" si="49"/>
        <v>0.60453334101180423</v>
      </c>
      <c r="S103" s="4">
        <f t="shared" si="52"/>
        <v>38.24</v>
      </c>
      <c r="T103" s="74">
        <f t="shared" si="53"/>
        <v>25.009999999999998</v>
      </c>
    </row>
    <row r="104" spans="1:20" x14ac:dyDescent="0.2">
      <c r="A104" s="52" t="s">
        <v>98</v>
      </c>
      <c r="B104" s="52">
        <v>240</v>
      </c>
      <c r="C104" s="2">
        <v>5</v>
      </c>
      <c r="D104" s="2">
        <v>5</v>
      </c>
      <c r="E104" s="3">
        <v>0.5</v>
      </c>
      <c r="F104" s="43">
        <v>59.3</v>
      </c>
      <c r="G104" s="5">
        <f t="shared" si="50"/>
        <v>7709</v>
      </c>
      <c r="H104" s="68">
        <f t="shared" si="40"/>
        <v>63.25</v>
      </c>
      <c r="I104" s="69">
        <f t="shared" ref="I104:I115" si="55">+H104*C104*E104*52</f>
        <v>8222.5</v>
      </c>
      <c r="J104" s="59">
        <f t="shared" si="51"/>
        <v>3.9500000000000028</v>
      </c>
      <c r="K104" s="70">
        <f t="shared" si="51"/>
        <v>513.5</v>
      </c>
      <c r="L104" s="71">
        <f t="shared" ref="L104:L115" si="56">J104/F104</f>
        <v>6.6610455311973071E-2</v>
      </c>
      <c r="N104" s="6">
        <f t="shared" si="54"/>
        <v>532.71159999999998</v>
      </c>
      <c r="O104" s="6">
        <f t="shared" si="37"/>
        <v>34.626254000000003</v>
      </c>
      <c r="Q104" s="72">
        <f t="shared" si="48"/>
        <v>4660.3475258600001</v>
      </c>
      <c r="R104" s="73">
        <f t="shared" si="49"/>
        <v>0.60453334101180445</v>
      </c>
      <c r="S104" s="4">
        <f t="shared" si="52"/>
        <v>38.24</v>
      </c>
      <c r="T104" s="74">
        <f t="shared" si="53"/>
        <v>25.009999999999998</v>
      </c>
    </row>
    <row r="105" spans="1:20" x14ac:dyDescent="0.2">
      <c r="A105" s="52" t="s">
        <v>99</v>
      </c>
      <c r="B105" s="52">
        <v>240</v>
      </c>
      <c r="C105" s="2">
        <v>128</v>
      </c>
      <c r="D105" s="2">
        <f>+C105</f>
        <v>128</v>
      </c>
      <c r="E105" s="3">
        <v>1</v>
      </c>
      <c r="F105" s="43">
        <v>59.3</v>
      </c>
      <c r="G105" s="5">
        <f t="shared" si="50"/>
        <v>394700.79999999999</v>
      </c>
      <c r="H105" s="68">
        <f t="shared" si="40"/>
        <v>63.25</v>
      </c>
      <c r="I105" s="69">
        <f t="shared" si="55"/>
        <v>420992</v>
      </c>
      <c r="J105" s="59">
        <f t="shared" si="51"/>
        <v>3.9500000000000028</v>
      </c>
      <c r="K105" s="70">
        <f t="shared" si="51"/>
        <v>26291.200000000012</v>
      </c>
      <c r="L105" s="71">
        <f t="shared" si="56"/>
        <v>6.6610455311973071E-2</v>
      </c>
      <c r="N105" s="6">
        <f t="shared" si="54"/>
        <v>532.71159999999998</v>
      </c>
      <c r="O105" s="6">
        <f t="shared" si="37"/>
        <v>1772.8642047999999</v>
      </c>
      <c r="Q105" s="72">
        <f t="shared" si="48"/>
        <v>238609.79332403198</v>
      </c>
      <c r="R105" s="73">
        <f t="shared" si="49"/>
        <v>0.60453334101180434</v>
      </c>
      <c r="S105" s="4">
        <f t="shared" si="52"/>
        <v>38.24</v>
      </c>
      <c r="T105" s="74">
        <f t="shared" si="53"/>
        <v>25.009999999999998</v>
      </c>
    </row>
    <row r="106" spans="1:20" x14ac:dyDescent="0.2">
      <c r="A106" s="52" t="s">
        <v>100</v>
      </c>
      <c r="B106" s="52">
        <v>240</v>
      </c>
      <c r="C106" s="2">
        <v>8</v>
      </c>
      <c r="D106" s="2">
        <v>4</v>
      </c>
      <c r="E106" s="3">
        <v>1</v>
      </c>
      <c r="F106" s="43">
        <v>59.3</v>
      </c>
      <c r="G106" s="5">
        <f t="shared" si="50"/>
        <v>24668.799999999999</v>
      </c>
      <c r="H106" s="68">
        <f t="shared" si="40"/>
        <v>63.25</v>
      </c>
      <c r="I106" s="69">
        <f t="shared" si="55"/>
        <v>26312</v>
      </c>
      <c r="J106" s="59">
        <f t="shared" si="51"/>
        <v>3.9500000000000028</v>
      </c>
      <c r="K106" s="70">
        <f t="shared" si="51"/>
        <v>1643.2000000000007</v>
      </c>
      <c r="L106" s="71">
        <f t="shared" si="56"/>
        <v>6.6610455311973071E-2</v>
      </c>
      <c r="N106" s="6">
        <f t="shared" si="54"/>
        <v>532.71159999999998</v>
      </c>
      <c r="O106" s="6">
        <f t="shared" si="37"/>
        <v>110.8040128</v>
      </c>
      <c r="Q106" s="72">
        <f t="shared" si="48"/>
        <v>14913.112082751999</v>
      </c>
      <c r="R106" s="73">
        <f t="shared" si="49"/>
        <v>0.60453334101180434</v>
      </c>
      <c r="S106" s="4">
        <f t="shared" si="52"/>
        <v>38.24</v>
      </c>
      <c r="T106" s="74">
        <f t="shared" si="53"/>
        <v>25.009999999999998</v>
      </c>
    </row>
    <row r="107" spans="1:20" x14ac:dyDescent="0.2">
      <c r="A107" s="52" t="s">
        <v>101</v>
      </c>
      <c r="B107" s="52">
        <v>240</v>
      </c>
      <c r="C107" s="2">
        <v>3</v>
      </c>
      <c r="D107" s="2">
        <v>1</v>
      </c>
      <c r="E107" s="3">
        <v>1</v>
      </c>
      <c r="F107" s="43">
        <v>59.3</v>
      </c>
      <c r="G107" s="5">
        <f t="shared" si="50"/>
        <v>9250.7999999999993</v>
      </c>
      <c r="H107" s="68">
        <f t="shared" si="40"/>
        <v>63.25</v>
      </c>
      <c r="I107" s="69">
        <f t="shared" si="55"/>
        <v>9867</v>
      </c>
      <c r="J107" s="59">
        <f t="shared" si="51"/>
        <v>3.9500000000000028</v>
      </c>
      <c r="K107" s="70">
        <f t="shared" si="51"/>
        <v>616.20000000000073</v>
      </c>
      <c r="L107" s="71">
        <f t="shared" si="56"/>
        <v>6.6610455311973071E-2</v>
      </c>
      <c r="N107" s="6">
        <f t="shared" si="54"/>
        <v>532.71159999999998</v>
      </c>
      <c r="O107" s="6">
        <f t="shared" si="37"/>
        <v>41.551504799999996</v>
      </c>
      <c r="Q107" s="72">
        <f t="shared" si="48"/>
        <v>5592.4170310319996</v>
      </c>
      <c r="R107" s="73">
        <f t="shared" si="49"/>
        <v>0.60453334101180434</v>
      </c>
      <c r="S107" s="4">
        <f t="shared" si="52"/>
        <v>38.24</v>
      </c>
      <c r="T107" s="74">
        <f t="shared" si="53"/>
        <v>25.009999999999998</v>
      </c>
    </row>
    <row r="108" spans="1:20" x14ac:dyDescent="0.2">
      <c r="A108" s="52" t="s">
        <v>102</v>
      </c>
      <c r="B108" s="52">
        <v>240</v>
      </c>
      <c r="C108" s="2">
        <v>4</v>
      </c>
      <c r="D108" s="2">
        <v>1</v>
      </c>
      <c r="E108" s="3">
        <v>1</v>
      </c>
      <c r="F108" s="43">
        <v>59.3</v>
      </c>
      <c r="G108" s="5">
        <f t="shared" si="50"/>
        <v>12334.4</v>
      </c>
      <c r="H108" s="68">
        <f t="shared" si="40"/>
        <v>63.25</v>
      </c>
      <c r="I108" s="69">
        <f t="shared" si="55"/>
        <v>13156</v>
      </c>
      <c r="J108" s="59">
        <f t="shared" si="51"/>
        <v>3.9500000000000028</v>
      </c>
      <c r="K108" s="70">
        <f t="shared" si="51"/>
        <v>821.60000000000036</v>
      </c>
      <c r="L108" s="71">
        <f t="shared" si="56"/>
        <v>6.6610455311973071E-2</v>
      </c>
      <c r="N108" s="6">
        <f t="shared" si="54"/>
        <v>532.71159999999998</v>
      </c>
      <c r="O108" s="6">
        <f t="shared" si="37"/>
        <v>55.402006399999998</v>
      </c>
      <c r="Q108" s="72">
        <f t="shared" si="48"/>
        <v>7456.5560413759995</v>
      </c>
      <c r="R108" s="73">
        <f t="shared" si="49"/>
        <v>0.60453334101180434</v>
      </c>
      <c r="S108" s="4">
        <f t="shared" si="52"/>
        <v>38.24</v>
      </c>
      <c r="T108" s="74">
        <f t="shared" si="53"/>
        <v>25.009999999999998</v>
      </c>
    </row>
    <row r="109" spans="1:20" x14ac:dyDescent="0.2">
      <c r="A109" s="52" t="s">
        <v>103</v>
      </c>
      <c r="B109" s="52">
        <v>240</v>
      </c>
      <c r="C109" s="2">
        <v>15</v>
      </c>
      <c r="D109" s="2">
        <v>15</v>
      </c>
      <c r="E109" s="3">
        <v>2</v>
      </c>
      <c r="F109" s="43">
        <v>59.3</v>
      </c>
      <c r="G109" s="5">
        <f t="shared" si="50"/>
        <v>92508</v>
      </c>
      <c r="H109" s="68">
        <f t="shared" si="40"/>
        <v>63.25</v>
      </c>
      <c r="I109" s="69">
        <f t="shared" si="55"/>
        <v>98670</v>
      </c>
      <c r="J109" s="59">
        <f t="shared" si="51"/>
        <v>3.9500000000000028</v>
      </c>
      <c r="K109" s="70">
        <f t="shared" si="51"/>
        <v>6162</v>
      </c>
      <c r="L109" s="71">
        <f t="shared" si="56"/>
        <v>6.6610455311973071E-2</v>
      </c>
      <c r="N109" s="6">
        <f t="shared" si="54"/>
        <v>532.71159999999998</v>
      </c>
      <c r="O109" s="6">
        <f t="shared" si="37"/>
        <v>415.51504800000004</v>
      </c>
      <c r="Q109" s="72">
        <f t="shared" si="48"/>
        <v>55924.170310320005</v>
      </c>
      <c r="R109" s="73">
        <f t="shared" si="49"/>
        <v>0.60453334101180445</v>
      </c>
      <c r="S109" s="4">
        <f t="shared" si="52"/>
        <v>38.24</v>
      </c>
      <c r="T109" s="74">
        <f t="shared" si="53"/>
        <v>25.009999999999998</v>
      </c>
    </row>
    <row r="110" spans="1:20" x14ac:dyDescent="0.2">
      <c r="A110" s="52" t="s">
        <v>104</v>
      </c>
      <c r="B110" s="52">
        <v>240</v>
      </c>
      <c r="C110" s="2">
        <v>6</v>
      </c>
      <c r="D110" s="2">
        <v>3</v>
      </c>
      <c r="E110" s="3">
        <v>2</v>
      </c>
      <c r="F110" s="43">
        <v>59.3</v>
      </c>
      <c r="G110" s="5">
        <f t="shared" si="50"/>
        <v>37003.199999999997</v>
      </c>
      <c r="H110" s="68">
        <f t="shared" si="40"/>
        <v>63.25</v>
      </c>
      <c r="I110" s="69">
        <f t="shared" si="55"/>
        <v>39468</v>
      </c>
      <c r="J110" s="59">
        <f t="shared" si="51"/>
        <v>3.9500000000000028</v>
      </c>
      <c r="K110" s="70">
        <f t="shared" si="51"/>
        <v>2464.8000000000029</v>
      </c>
      <c r="L110" s="71">
        <f t="shared" si="56"/>
        <v>6.6610455311973071E-2</v>
      </c>
      <c r="N110" s="6">
        <f t="shared" si="54"/>
        <v>532.71159999999998</v>
      </c>
      <c r="O110" s="6">
        <f t="shared" si="37"/>
        <v>166.20601919999999</v>
      </c>
      <c r="Q110" s="72">
        <f t="shared" si="48"/>
        <v>22369.668124127998</v>
      </c>
      <c r="R110" s="73">
        <f t="shared" si="49"/>
        <v>0.60453334101180434</v>
      </c>
      <c r="S110" s="4">
        <f t="shared" si="52"/>
        <v>38.24</v>
      </c>
      <c r="T110" s="74">
        <f t="shared" si="53"/>
        <v>25.009999999999998</v>
      </c>
    </row>
    <row r="111" spans="1:20" x14ac:dyDescent="0.2">
      <c r="A111" s="52" t="s">
        <v>105</v>
      </c>
      <c r="B111" s="52">
        <v>240</v>
      </c>
      <c r="C111" s="2">
        <v>9</v>
      </c>
      <c r="D111" s="2">
        <v>3</v>
      </c>
      <c r="E111" s="3">
        <v>2</v>
      </c>
      <c r="F111" s="43">
        <v>59.3</v>
      </c>
      <c r="G111" s="5">
        <f t="shared" si="50"/>
        <v>55504.799999999996</v>
      </c>
      <c r="H111" s="68">
        <f t="shared" si="40"/>
        <v>63.25</v>
      </c>
      <c r="I111" s="69">
        <f t="shared" si="55"/>
        <v>59202</v>
      </c>
      <c r="J111" s="59">
        <f t="shared" si="51"/>
        <v>3.9500000000000028</v>
      </c>
      <c r="K111" s="70">
        <f t="shared" si="51"/>
        <v>3697.2000000000044</v>
      </c>
      <c r="L111" s="71">
        <f t="shared" si="56"/>
        <v>6.6610455311973071E-2</v>
      </c>
      <c r="N111" s="6">
        <f t="shared" si="54"/>
        <v>532.71159999999998</v>
      </c>
      <c r="O111" s="6">
        <f t="shared" si="37"/>
        <v>249.30902879999996</v>
      </c>
      <c r="Q111" s="72">
        <f t="shared" si="48"/>
        <v>33554.502186191996</v>
      </c>
      <c r="R111" s="73">
        <f t="shared" si="49"/>
        <v>0.60453334101180434</v>
      </c>
      <c r="S111" s="4">
        <f t="shared" si="52"/>
        <v>38.24</v>
      </c>
      <c r="T111" s="74">
        <f t="shared" si="53"/>
        <v>25.009999999999998</v>
      </c>
    </row>
    <row r="112" spans="1:20" x14ac:dyDescent="0.2">
      <c r="A112" s="52" t="s">
        <v>106</v>
      </c>
      <c r="B112" s="52">
        <v>240</v>
      </c>
      <c r="C112" s="2">
        <v>4</v>
      </c>
      <c r="D112" s="2">
        <v>1</v>
      </c>
      <c r="E112" s="3">
        <v>2</v>
      </c>
      <c r="F112" s="43">
        <v>59.3</v>
      </c>
      <c r="G112" s="5">
        <f t="shared" si="50"/>
        <v>24668.799999999999</v>
      </c>
      <c r="H112" s="68">
        <f t="shared" si="40"/>
        <v>63.25</v>
      </c>
      <c r="I112" s="69">
        <f t="shared" si="55"/>
        <v>26312</v>
      </c>
      <c r="J112" s="59">
        <f t="shared" si="51"/>
        <v>3.9500000000000028</v>
      </c>
      <c r="K112" s="70">
        <f t="shared" si="51"/>
        <v>1643.2000000000007</v>
      </c>
      <c r="L112" s="71">
        <f t="shared" si="56"/>
        <v>6.6610455311973071E-2</v>
      </c>
      <c r="N112" s="6">
        <f t="shared" si="54"/>
        <v>532.71159999999998</v>
      </c>
      <c r="O112" s="6">
        <f t="shared" si="37"/>
        <v>110.8040128</v>
      </c>
      <c r="Q112" s="72">
        <f t="shared" si="48"/>
        <v>14913.112082751999</v>
      </c>
      <c r="R112" s="73">
        <f t="shared" si="49"/>
        <v>0.60453334101180434</v>
      </c>
      <c r="S112" s="4">
        <f t="shared" si="52"/>
        <v>38.24</v>
      </c>
      <c r="T112" s="74">
        <f t="shared" si="53"/>
        <v>25.009999999999998</v>
      </c>
    </row>
    <row r="113" spans="1:20" x14ac:dyDescent="0.2">
      <c r="A113" s="52" t="s">
        <v>107</v>
      </c>
      <c r="B113" s="52">
        <v>240</v>
      </c>
      <c r="C113" s="2">
        <v>7</v>
      </c>
      <c r="D113" s="2">
        <v>1</v>
      </c>
      <c r="E113" s="3">
        <v>2</v>
      </c>
      <c r="F113" s="43">
        <v>59.3</v>
      </c>
      <c r="G113" s="5">
        <f t="shared" si="50"/>
        <v>43170.399999999994</v>
      </c>
      <c r="H113" s="68">
        <f t="shared" si="40"/>
        <v>63.25</v>
      </c>
      <c r="I113" s="69">
        <f t="shared" si="55"/>
        <v>46046</v>
      </c>
      <c r="J113" s="59">
        <f t="shared" si="51"/>
        <v>3.9500000000000028</v>
      </c>
      <c r="K113" s="70">
        <f t="shared" si="51"/>
        <v>2875.6000000000058</v>
      </c>
      <c r="L113" s="71">
        <f t="shared" si="56"/>
        <v>6.6610455311973071E-2</v>
      </c>
      <c r="N113" s="6">
        <f t="shared" si="54"/>
        <v>532.71159999999998</v>
      </c>
      <c r="O113" s="6">
        <f t="shared" si="37"/>
        <v>193.90702239999999</v>
      </c>
      <c r="Q113" s="72">
        <f t="shared" si="48"/>
        <v>26097.946144816</v>
      </c>
      <c r="R113" s="73">
        <f t="shared" si="49"/>
        <v>0.60453334101180445</v>
      </c>
      <c r="S113" s="4">
        <f t="shared" si="52"/>
        <v>38.24</v>
      </c>
      <c r="T113" s="74">
        <f t="shared" si="53"/>
        <v>25.009999999999998</v>
      </c>
    </row>
    <row r="114" spans="1:20" x14ac:dyDescent="0.2">
      <c r="A114" s="52" t="s">
        <v>108</v>
      </c>
      <c r="B114" s="52">
        <v>240</v>
      </c>
      <c r="C114" s="2">
        <v>4</v>
      </c>
      <c r="D114" s="2">
        <v>4</v>
      </c>
      <c r="E114" s="3">
        <v>3</v>
      </c>
      <c r="F114" s="43">
        <v>59.3</v>
      </c>
      <c r="G114" s="5">
        <f t="shared" si="50"/>
        <v>37003.199999999997</v>
      </c>
      <c r="H114" s="68">
        <f t="shared" si="40"/>
        <v>63.25</v>
      </c>
      <c r="I114" s="69">
        <f t="shared" si="55"/>
        <v>39468</v>
      </c>
      <c r="J114" s="59">
        <f t="shared" si="51"/>
        <v>3.9500000000000028</v>
      </c>
      <c r="K114" s="70">
        <f t="shared" si="51"/>
        <v>2464.8000000000029</v>
      </c>
      <c r="L114" s="71">
        <f t="shared" si="56"/>
        <v>6.6610455311973071E-2</v>
      </c>
      <c r="N114" s="6">
        <f t="shared" si="54"/>
        <v>532.71159999999998</v>
      </c>
      <c r="O114" s="6">
        <f t="shared" si="37"/>
        <v>166.20601919999999</v>
      </c>
      <c r="Q114" s="72">
        <f t="shared" si="48"/>
        <v>22369.668124127998</v>
      </c>
      <c r="R114" s="73">
        <f t="shared" si="49"/>
        <v>0.60453334101180434</v>
      </c>
      <c r="S114" s="4">
        <f t="shared" si="52"/>
        <v>38.24</v>
      </c>
      <c r="T114" s="74">
        <f t="shared" si="53"/>
        <v>25.009999999999998</v>
      </c>
    </row>
    <row r="115" spans="1:20" ht="17.25" x14ac:dyDescent="0.35">
      <c r="A115" s="52" t="s">
        <v>109</v>
      </c>
      <c r="B115" s="52">
        <v>240</v>
      </c>
      <c r="C115" s="75">
        <v>3</v>
      </c>
      <c r="D115" s="75">
        <v>1</v>
      </c>
      <c r="E115" s="3">
        <v>3</v>
      </c>
      <c r="F115" s="43">
        <v>59.3</v>
      </c>
      <c r="G115" s="76">
        <f t="shared" si="50"/>
        <v>27752.399999999998</v>
      </c>
      <c r="H115" s="68">
        <f t="shared" si="40"/>
        <v>63.25</v>
      </c>
      <c r="I115" s="77">
        <f t="shared" si="55"/>
        <v>29601</v>
      </c>
      <c r="J115" s="59">
        <f t="shared" si="51"/>
        <v>3.9500000000000028</v>
      </c>
      <c r="K115" s="78">
        <f t="shared" si="51"/>
        <v>1848.6000000000022</v>
      </c>
      <c r="L115" s="79">
        <f t="shared" si="56"/>
        <v>6.6610455311973071E-2</v>
      </c>
      <c r="N115" s="6">
        <f t="shared" si="54"/>
        <v>532.71159999999998</v>
      </c>
      <c r="O115" s="80">
        <f t="shared" si="37"/>
        <v>124.65451439999998</v>
      </c>
      <c r="P115" s="81"/>
      <c r="Q115" s="82">
        <f t="shared" si="48"/>
        <v>16777.251093095998</v>
      </c>
      <c r="R115" s="83">
        <f t="shared" si="49"/>
        <v>0.60453334101180434</v>
      </c>
      <c r="S115" s="4">
        <f t="shared" si="52"/>
        <v>38.24</v>
      </c>
      <c r="T115" s="74">
        <f t="shared" si="53"/>
        <v>25.009999999999998</v>
      </c>
    </row>
    <row r="116" spans="1:20" ht="20.25" x14ac:dyDescent="0.55000000000000004">
      <c r="B116" s="52"/>
      <c r="C116" s="54">
        <f>SUM(C101:C115)</f>
        <v>201</v>
      </c>
      <c r="D116" s="54">
        <f>SUM(D101:D115)</f>
        <v>172</v>
      </c>
      <c r="F116" s="43"/>
      <c r="G116" s="56">
        <f>SUM(G101:G115)</f>
        <v>770318.91110085393</v>
      </c>
      <c r="H116" s="68"/>
      <c r="I116" s="56">
        <f>SUM(I101:I115)</f>
        <v>821630.23182552506</v>
      </c>
      <c r="J116" s="56"/>
      <c r="K116" s="56">
        <f>SUM(K101:K115)</f>
        <v>51311.320724671168</v>
      </c>
      <c r="L116" s="85">
        <f>+K116/G116</f>
        <v>6.6610490778868131E-2</v>
      </c>
      <c r="O116" s="62">
        <f>SUM(O101:O115)</f>
        <v>3457.8322250290325</v>
      </c>
      <c r="P116" s="56"/>
      <c r="Q116" s="56">
        <f>SUM(Q101:Q115)</f>
        <v>465389.63916665752</v>
      </c>
      <c r="R116" s="85">
        <f t="shared" si="49"/>
        <v>0.60415190703493771</v>
      </c>
      <c r="S116" s="4"/>
      <c r="T116" s="74"/>
    </row>
    <row r="117" spans="1:20" x14ac:dyDescent="0.2">
      <c r="B117" s="52"/>
      <c r="F117" s="43"/>
      <c r="H117" s="68"/>
      <c r="Q117" s="72"/>
      <c r="R117" s="73"/>
      <c r="S117" s="4"/>
      <c r="T117" s="74"/>
    </row>
    <row r="118" spans="1:20" x14ac:dyDescent="0.2">
      <c r="B118" s="52"/>
      <c r="F118" s="43"/>
      <c r="H118" s="68"/>
      <c r="Q118" s="72"/>
      <c r="R118" s="73"/>
      <c r="S118" s="4"/>
      <c r="T118" s="74"/>
    </row>
    <row r="119" spans="1:20" x14ac:dyDescent="0.2">
      <c r="A119" s="52" t="s">
        <v>110</v>
      </c>
      <c r="B119" s="52">
        <v>240</v>
      </c>
      <c r="C119" s="2">
        <v>2</v>
      </c>
      <c r="D119" s="2">
        <v>2</v>
      </c>
      <c r="E119" s="3">
        <f>1/4.333</f>
        <v>0.23078698361412414</v>
      </c>
      <c r="F119" s="43">
        <v>96.3</v>
      </c>
      <c r="G119" s="5">
        <f t="shared" ref="G119:G130" si="57">+F119*C119*52*E119</f>
        <v>2311.3777982921761</v>
      </c>
      <c r="H119" s="68">
        <f t="shared" si="40"/>
        <v>102.71</v>
      </c>
      <c r="I119" s="69">
        <f>+H119*C119*E119*52</f>
        <v>2465.2296330486956</v>
      </c>
      <c r="J119" s="59">
        <f t="shared" ref="J119:K130" si="58">+H119-F119</f>
        <v>6.4099999999999966</v>
      </c>
      <c r="K119" s="70">
        <f t="shared" si="58"/>
        <v>153.85183475651957</v>
      </c>
      <c r="L119" s="71">
        <f>J119/F119</f>
        <v>6.6562824506749704E-2</v>
      </c>
      <c r="N119" s="6">
        <f>+$N$56*6</f>
        <v>799.06739999999991</v>
      </c>
      <c r="O119" s="6">
        <f t="shared" si="37"/>
        <v>9.5895464574198002</v>
      </c>
      <c r="Q119" s="72">
        <f t="shared" si="48"/>
        <v>1290.6570577041309</v>
      </c>
      <c r="R119" s="73">
        <f t="shared" si="49"/>
        <v>0.55839294582554511</v>
      </c>
      <c r="S119" s="4">
        <f t="shared" ref="S119:S130" si="59">ROUND(+H119*R119,2)</f>
        <v>57.35</v>
      </c>
      <c r="T119" s="74">
        <f t="shared" ref="T119:T130" si="60">+H119-S119</f>
        <v>45.359999999999992</v>
      </c>
    </row>
    <row r="120" spans="1:20" x14ac:dyDescent="0.2">
      <c r="A120" s="52" t="s">
        <v>111</v>
      </c>
      <c r="B120" s="52">
        <v>240</v>
      </c>
      <c r="C120" s="2">
        <v>3</v>
      </c>
      <c r="D120" s="2">
        <v>3</v>
      </c>
      <c r="E120" s="3">
        <f>1/4.333</f>
        <v>0.23078698361412414</v>
      </c>
      <c r="F120" s="43">
        <v>82.8</v>
      </c>
      <c r="G120" s="5">
        <f t="shared" si="57"/>
        <v>2981.0293099469186</v>
      </c>
      <c r="H120" s="68">
        <f t="shared" si="40"/>
        <v>88.31</v>
      </c>
      <c r="I120" s="69">
        <f>+H120*C120*E120*52</f>
        <v>3179.4045695822751</v>
      </c>
      <c r="J120" s="59">
        <f t="shared" si="58"/>
        <v>5.5100000000000051</v>
      </c>
      <c r="K120" s="70">
        <f t="shared" si="58"/>
        <v>198.37525963535654</v>
      </c>
      <c r="L120" s="71">
        <f>J120/F120</f>
        <v>6.6545893719806834E-2</v>
      </c>
      <c r="N120" s="6">
        <f t="shared" ref="N120:N130" si="61">+$N$56*6</f>
        <v>799.06739999999991</v>
      </c>
      <c r="O120" s="6">
        <f t="shared" si="37"/>
        <v>14.3843196861297</v>
      </c>
      <c r="Q120" s="72">
        <f t="shared" si="48"/>
        <v>1935.9855865561965</v>
      </c>
      <c r="R120" s="73">
        <f t="shared" si="49"/>
        <v>0.64943527394927536</v>
      </c>
      <c r="S120" s="4">
        <f t="shared" si="59"/>
        <v>57.35</v>
      </c>
      <c r="T120" s="74">
        <f t="shared" si="60"/>
        <v>30.96</v>
      </c>
    </row>
    <row r="121" spans="1:20" x14ac:dyDescent="0.2">
      <c r="A121" s="52" t="s">
        <v>112</v>
      </c>
      <c r="B121" s="52">
        <v>240</v>
      </c>
      <c r="C121" s="2">
        <v>1</v>
      </c>
      <c r="D121" s="2">
        <v>1</v>
      </c>
      <c r="E121" s="3">
        <f>1/4.333</f>
        <v>0.23078698361412414</v>
      </c>
      <c r="F121" s="43">
        <f>+F120</f>
        <v>82.8</v>
      </c>
      <c r="G121" s="5">
        <f t="shared" si="57"/>
        <v>993.67643664897275</v>
      </c>
      <c r="H121" s="68">
        <f t="shared" si="40"/>
        <v>88.31</v>
      </c>
      <c r="I121" s="69">
        <f>+H121*C121*E121*52</f>
        <v>1059.8015231940917</v>
      </c>
      <c r="J121" s="59">
        <f t="shared" si="58"/>
        <v>5.5100000000000051</v>
      </c>
      <c r="K121" s="70">
        <f t="shared" si="58"/>
        <v>66.125086545118961</v>
      </c>
      <c r="L121" s="71">
        <f>J121/F121</f>
        <v>6.6545893719806834E-2</v>
      </c>
      <c r="N121" s="6">
        <f t="shared" si="61"/>
        <v>799.06739999999991</v>
      </c>
      <c r="O121" s="6">
        <f t="shared" si="37"/>
        <v>4.7947732287099001</v>
      </c>
      <c r="Q121" s="72">
        <f t="shared" si="48"/>
        <v>645.32852885206546</v>
      </c>
      <c r="R121" s="73">
        <f t="shared" si="49"/>
        <v>0.64943527394927547</v>
      </c>
      <c r="S121" s="4">
        <f t="shared" si="59"/>
        <v>57.35</v>
      </c>
      <c r="T121" s="74">
        <f t="shared" si="60"/>
        <v>30.96</v>
      </c>
    </row>
    <row r="122" spans="1:20" x14ac:dyDescent="0.2">
      <c r="A122" s="52" t="s">
        <v>113</v>
      </c>
      <c r="B122" s="52">
        <v>240</v>
      </c>
      <c r="C122" s="2">
        <v>4</v>
      </c>
      <c r="D122" s="2">
        <v>4</v>
      </c>
      <c r="E122" s="3">
        <v>0.5</v>
      </c>
      <c r="F122" s="43">
        <f t="shared" ref="F122:F130" si="62">+F121</f>
        <v>82.8</v>
      </c>
      <c r="G122" s="5">
        <f t="shared" si="57"/>
        <v>8611.1999999999989</v>
      </c>
      <c r="H122" s="68">
        <f t="shared" si="40"/>
        <v>88.31</v>
      </c>
      <c r="I122" s="69">
        <f>+H122*C122*E122*52</f>
        <v>9184.24</v>
      </c>
      <c r="J122" s="59">
        <f t="shared" si="58"/>
        <v>5.5100000000000051</v>
      </c>
      <c r="K122" s="70">
        <f t="shared" si="58"/>
        <v>573.04000000000087</v>
      </c>
      <c r="L122" s="71">
        <f>J122/F122</f>
        <v>6.6545893719806834E-2</v>
      </c>
      <c r="N122" s="6">
        <f t="shared" si="61"/>
        <v>799.06739999999991</v>
      </c>
      <c r="O122" s="6">
        <f t="shared" si="37"/>
        <v>41.551504799999996</v>
      </c>
      <c r="Q122" s="72">
        <f t="shared" si="48"/>
        <v>5592.4170310319996</v>
      </c>
      <c r="R122" s="73">
        <f t="shared" si="49"/>
        <v>0.64943527394927536</v>
      </c>
      <c r="S122" s="4">
        <f t="shared" si="59"/>
        <v>57.35</v>
      </c>
      <c r="T122" s="74">
        <f t="shared" si="60"/>
        <v>30.96</v>
      </c>
    </row>
    <row r="123" spans="1:20" x14ac:dyDescent="0.2">
      <c r="A123" s="52" t="s">
        <v>114</v>
      </c>
      <c r="B123" s="52">
        <v>240</v>
      </c>
      <c r="C123" s="2">
        <v>70</v>
      </c>
      <c r="D123" s="2">
        <f>+C123</f>
        <v>70</v>
      </c>
      <c r="E123" s="3">
        <v>1</v>
      </c>
      <c r="F123" s="43">
        <f t="shared" si="62"/>
        <v>82.8</v>
      </c>
      <c r="G123" s="5">
        <f t="shared" si="57"/>
        <v>301392</v>
      </c>
      <c r="H123" s="68">
        <f t="shared" si="40"/>
        <v>88.31</v>
      </c>
      <c r="I123" s="69">
        <f t="shared" ref="I123:I130" si="63">+H123*C123*E123*52</f>
        <v>321448.39999999997</v>
      </c>
      <c r="J123" s="59">
        <f t="shared" si="58"/>
        <v>5.5100000000000051</v>
      </c>
      <c r="K123" s="70">
        <f t="shared" si="58"/>
        <v>20056.399999999965</v>
      </c>
      <c r="L123" s="71">
        <f t="shared" ref="L123:L130" si="64">J123/F123</f>
        <v>6.6545893719806834E-2</v>
      </c>
      <c r="N123" s="6">
        <f t="shared" si="61"/>
        <v>799.06739999999991</v>
      </c>
      <c r="O123" s="6">
        <f t="shared" si="37"/>
        <v>1454.3026679999998</v>
      </c>
      <c r="Q123" s="72">
        <f t="shared" si="48"/>
        <v>195734.59608611997</v>
      </c>
      <c r="R123" s="73">
        <f t="shared" si="49"/>
        <v>0.64943527394927525</v>
      </c>
      <c r="S123" s="4">
        <f t="shared" si="59"/>
        <v>57.35</v>
      </c>
      <c r="T123" s="74">
        <f t="shared" si="60"/>
        <v>30.96</v>
      </c>
    </row>
    <row r="124" spans="1:20" x14ac:dyDescent="0.2">
      <c r="A124" s="52" t="s">
        <v>115</v>
      </c>
      <c r="B124" s="52">
        <v>240</v>
      </c>
      <c r="C124" s="2">
        <v>4</v>
      </c>
      <c r="D124" s="2">
        <v>2</v>
      </c>
      <c r="E124" s="3">
        <v>1</v>
      </c>
      <c r="F124" s="43">
        <f t="shared" si="62"/>
        <v>82.8</v>
      </c>
      <c r="G124" s="5">
        <f t="shared" si="57"/>
        <v>17222.399999999998</v>
      </c>
      <c r="H124" s="68">
        <f t="shared" si="40"/>
        <v>88.31</v>
      </c>
      <c r="I124" s="69">
        <f t="shared" si="63"/>
        <v>18368.48</v>
      </c>
      <c r="J124" s="59">
        <f t="shared" si="58"/>
        <v>5.5100000000000051</v>
      </c>
      <c r="K124" s="70">
        <f t="shared" si="58"/>
        <v>1146.0800000000017</v>
      </c>
      <c r="L124" s="71">
        <f t="shared" si="64"/>
        <v>6.6545893719806834E-2</v>
      </c>
      <c r="N124" s="6">
        <f t="shared" si="61"/>
        <v>799.06739999999991</v>
      </c>
      <c r="O124" s="6">
        <f t="shared" si="37"/>
        <v>83.103009599999993</v>
      </c>
      <c r="Q124" s="72">
        <f t="shared" si="48"/>
        <v>11184.834062063999</v>
      </c>
      <c r="R124" s="73">
        <f t="shared" si="49"/>
        <v>0.64943527394927536</v>
      </c>
      <c r="S124" s="4">
        <f t="shared" si="59"/>
        <v>57.35</v>
      </c>
      <c r="T124" s="74">
        <f t="shared" si="60"/>
        <v>30.96</v>
      </c>
    </row>
    <row r="125" spans="1:20" x14ac:dyDescent="0.2">
      <c r="A125" s="52" t="s">
        <v>116</v>
      </c>
      <c r="B125" s="52">
        <v>240</v>
      </c>
      <c r="C125" s="2">
        <v>3</v>
      </c>
      <c r="D125" s="2">
        <v>1</v>
      </c>
      <c r="E125" s="3">
        <v>1</v>
      </c>
      <c r="F125" s="43">
        <f t="shared" si="62"/>
        <v>82.8</v>
      </c>
      <c r="G125" s="5">
        <f t="shared" si="57"/>
        <v>12916.8</v>
      </c>
      <c r="H125" s="68">
        <f t="shared" si="40"/>
        <v>88.31</v>
      </c>
      <c r="I125" s="69">
        <f t="shared" si="63"/>
        <v>13776.36</v>
      </c>
      <c r="J125" s="59">
        <f t="shared" si="58"/>
        <v>5.5100000000000051</v>
      </c>
      <c r="K125" s="70">
        <f t="shared" si="58"/>
        <v>859.56000000000131</v>
      </c>
      <c r="L125" s="71">
        <f t="shared" si="64"/>
        <v>6.6545893719806834E-2</v>
      </c>
      <c r="N125" s="6">
        <f t="shared" si="61"/>
        <v>799.06739999999991</v>
      </c>
      <c r="O125" s="6">
        <f t="shared" si="37"/>
        <v>62.327257199999991</v>
      </c>
      <c r="Q125" s="72">
        <f t="shared" si="48"/>
        <v>8388.625546547999</v>
      </c>
      <c r="R125" s="73">
        <f t="shared" si="49"/>
        <v>0.64943527394927536</v>
      </c>
      <c r="S125" s="4">
        <f t="shared" si="59"/>
        <v>57.35</v>
      </c>
      <c r="T125" s="74">
        <f t="shared" si="60"/>
        <v>30.96</v>
      </c>
    </row>
    <row r="126" spans="1:20" x14ac:dyDescent="0.2">
      <c r="A126" s="52" t="s">
        <v>117</v>
      </c>
      <c r="B126" s="52">
        <v>240</v>
      </c>
      <c r="C126" s="2">
        <v>6</v>
      </c>
      <c r="D126" s="2">
        <v>1</v>
      </c>
      <c r="E126" s="3">
        <v>1</v>
      </c>
      <c r="F126" s="43">
        <f t="shared" si="62"/>
        <v>82.8</v>
      </c>
      <c r="G126" s="5">
        <f t="shared" si="57"/>
        <v>25833.599999999999</v>
      </c>
      <c r="H126" s="68">
        <f t="shared" si="40"/>
        <v>88.31</v>
      </c>
      <c r="I126" s="69">
        <f t="shared" si="63"/>
        <v>27552.720000000001</v>
      </c>
      <c r="J126" s="59">
        <f t="shared" si="58"/>
        <v>5.5100000000000051</v>
      </c>
      <c r="K126" s="70">
        <f t="shared" si="58"/>
        <v>1719.1200000000026</v>
      </c>
      <c r="L126" s="71">
        <f t="shared" si="64"/>
        <v>6.6545893719806834E-2</v>
      </c>
      <c r="N126" s="6">
        <f t="shared" si="61"/>
        <v>799.06739999999991</v>
      </c>
      <c r="O126" s="6">
        <f t="shared" si="37"/>
        <v>124.65451439999998</v>
      </c>
      <c r="Q126" s="72">
        <f t="shared" si="48"/>
        <v>16777.251093095998</v>
      </c>
      <c r="R126" s="73">
        <f t="shared" si="49"/>
        <v>0.64943527394927536</v>
      </c>
      <c r="S126" s="4">
        <f t="shared" si="59"/>
        <v>57.35</v>
      </c>
      <c r="T126" s="74">
        <f t="shared" si="60"/>
        <v>30.96</v>
      </c>
    </row>
    <row r="127" spans="1:20" x14ac:dyDescent="0.2">
      <c r="A127" s="52" t="s">
        <v>118</v>
      </c>
      <c r="B127" s="52">
        <v>240</v>
      </c>
      <c r="C127" s="2">
        <v>12</v>
      </c>
      <c r="D127" s="2">
        <v>12</v>
      </c>
      <c r="E127" s="3">
        <v>2</v>
      </c>
      <c r="F127" s="43">
        <f t="shared" si="62"/>
        <v>82.8</v>
      </c>
      <c r="G127" s="5">
        <f t="shared" si="57"/>
        <v>103334.39999999999</v>
      </c>
      <c r="H127" s="68">
        <f t="shared" si="40"/>
        <v>88.31</v>
      </c>
      <c r="I127" s="69">
        <f t="shared" si="63"/>
        <v>110210.88</v>
      </c>
      <c r="J127" s="59">
        <f t="shared" si="58"/>
        <v>5.5100000000000051</v>
      </c>
      <c r="K127" s="70">
        <f t="shared" si="58"/>
        <v>6876.4800000000105</v>
      </c>
      <c r="L127" s="71">
        <f t="shared" si="64"/>
        <v>6.6545893719806834E-2</v>
      </c>
      <c r="N127" s="6">
        <f t="shared" si="61"/>
        <v>799.06739999999991</v>
      </c>
      <c r="O127" s="6">
        <f t="shared" si="37"/>
        <v>498.61805759999993</v>
      </c>
      <c r="Q127" s="72">
        <f t="shared" si="48"/>
        <v>67109.004372383992</v>
      </c>
      <c r="R127" s="73">
        <f t="shared" si="49"/>
        <v>0.64943527394927536</v>
      </c>
      <c r="S127" s="4">
        <f t="shared" si="59"/>
        <v>57.35</v>
      </c>
      <c r="T127" s="74">
        <f t="shared" si="60"/>
        <v>30.96</v>
      </c>
    </row>
    <row r="128" spans="1:20" x14ac:dyDescent="0.2">
      <c r="A128" s="52" t="s">
        <v>119</v>
      </c>
      <c r="B128" s="52">
        <v>240</v>
      </c>
      <c r="C128" s="2">
        <v>2</v>
      </c>
      <c r="D128" s="2">
        <v>1</v>
      </c>
      <c r="E128" s="3">
        <v>2</v>
      </c>
      <c r="F128" s="43">
        <f t="shared" si="62"/>
        <v>82.8</v>
      </c>
      <c r="G128" s="5">
        <f t="shared" si="57"/>
        <v>17222.399999999998</v>
      </c>
      <c r="H128" s="68">
        <f t="shared" si="40"/>
        <v>88.31</v>
      </c>
      <c r="I128" s="69">
        <f t="shared" si="63"/>
        <v>18368.48</v>
      </c>
      <c r="J128" s="59">
        <f t="shared" si="58"/>
        <v>5.5100000000000051</v>
      </c>
      <c r="K128" s="70">
        <f t="shared" si="58"/>
        <v>1146.0800000000017</v>
      </c>
      <c r="L128" s="71">
        <f t="shared" si="64"/>
        <v>6.6545893719806834E-2</v>
      </c>
      <c r="N128" s="6">
        <f t="shared" si="61"/>
        <v>799.06739999999991</v>
      </c>
      <c r="O128" s="6">
        <f t="shared" si="37"/>
        <v>83.103009599999993</v>
      </c>
      <c r="Q128" s="72">
        <f t="shared" si="48"/>
        <v>11184.834062063999</v>
      </c>
      <c r="R128" s="73">
        <f t="shared" si="49"/>
        <v>0.64943527394927536</v>
      </c>
      <c r="S128" s="4">
        <f t="shared" si="59"/>
        <v>57.35</v>
      </c>
      <c r="T128" s="74">
        <f t="shared" si="60"/>
        <v>30.96</v>
      </c>
    </row>
    <row r="129" spans="1:20" x14ac:dyDescent="0.2">
      <c r="A129" s="52" t="s">
        <v>120</v>
      </c>
      <c r="B129" s="52">
        <v>240</v>
      </c>
      <c r="C129" s="2">
        <v>3</v>
      </c>
      <c r="D129" s="2">
        <v>1</v>
      </c>
      <c r="E129" s="3">
        <v>2</v>
      </c>
      <c r="F129" s="43">
        <f t="shared" si="62"/>
        <v>82.8</v>
      </c>
      <c r="G129" s="5">
        <f t="shared" si="57"/>
        <v>25833.599999999999</v>
      </c>
      <c r="H129" s="68">
        <f t="shared" si="40"/>
        <v>88.31</v>
      </c>
      <c r="I129" s="69">
        <f t="shared" si="63"/>
        <v>27552.720000000001</v>
      </c>
      <c r="J129" s="59">
        <f t="shared" si="58"/>
        <v>5.5100000000000051</v>
      </c>
      <c r="K129" s="70">
        <f t="shared" si="58"/>
        <v>1719.1200000000026</v>
      </c>
      <c r="L129" s="71">
        <f t="shared" si="64"/>
        <v>6.6545893719806834E-2</v>
      </c>
      <c r="N129" s="6">
        <f t="shared" si="61"/>
        <v>799.06739999999991</v>
      </c>
      <c r="O129" s="6">
        <f t="shared" si="37"/>
        <v>124.65451439999998</v>
      </c>
      <c r="Q129" s="72">
        <f t="shared" si="48"/>
        <v>16777.251093095998</v>
      </c>
      <c r="R129" s="73">
        <f t="shared" si="49"/>
        <v>0.64943527394927536</v>
      </c>
      <c r="S129" s="4">
        <f t="shared" si="59"/>
        <v>57.35</v>
      </c>
      <c r="T129" s="74">
        <f t="shared" si="60"/>
        <v>30.96</v>
      </c>
    </row>
    <row r="130" spans="1:20" ht="17.25" x14ac:dyDescent="0.35">
      <c r="A130" s="52" t="s">
        <v>121</v>
      </c>
      <c r="B130" s="52">
        <v>240</v>
      </c>
      <c r="C130" s="75">
        <v>4</v>
      </c>
      <c r="D130" s="75">
        <v>1</v>
      </c>
      <c r="E130" s="3">
        <v>2</v>
      </c>
      <c r="F130" s="43">
        <f t="shared" si="62"/>
        <v>82.8</v>
      </c>
      <c r="G130" s="76">
        <f t="shared" si="57"/>
        <v>34444.799999999996</v>
      </c>
      <c r="H130" s="68">
        <f t="shared" si="40"/>
        <v>88.31</v>
      </c>
      <c r="I130" s="77">
        <f t="shared" si="63"/>
        <v>36736.959999999999</v>
      </c>
      <c r="J130" s="59">
        <f t="shared" si="58"/>
        <v>5.5100000000000051</v>
      </c>
      <c r="K130" s="78">
        <f t="shared" si="58"/>
        <v>2292.1600000000035</v>
      </c>
      <c r="L130" s="86">
        <f t="shared" si="64"/>
        <v>6.6545893719806834E-2</v>
      </c>
      <c r="M130" s="81"/>
      <c r="N130" s="6">
        <f t="shared" si="61"/>
        <v>799.06739999999991</v>
      </c>
      <c r="O130" s="80">
        <f t="shared" si="37"/>
        <v>166.20601919999999</v>
      </c>
      <c r="P130" s="81"/>
      <c r="Q130" s="82">
        <f t="shared" si="48"/>
        <v>22369.668124127998</v>
      </c>
      <c r="R130" s="83">
        <f t="shared" si="49"/>
        <v>0.64943527394927536</v>
      </c>
      <c r="S130" s="4">
        <f t="shared" si="59"/>
        <v>57.35</v>
      </c>
      <c r="T130" s="74">
        <f t="shared" si="60"/>
        <v>30.96</v>
      </c>
    </row>
    <row r="131" spans="1:20" ht="20.25" x14ac:dyDescent="0.55000000000000004">
      <c r="A131" s="52"/>
      <c r="B131" s="52"/>
      <c r="C131" s="54">
        <f>SUM(C119:C130)</f>
        <v>114</v>
      </c>
      <c r="D131" s="54">
        <f>SUM(D119:D130)</f>
        <v>99</v>
      </c>
      <c r="F131" s="43"/>
      <c r="G131" s="56">
        <f>SUM(G119:G130)</f>
        <v>553097.28354488814</v>
      </c>
      <c r="H131" s="68"/>
      <c r="I131" s="56">
        <f>SUM(I119:I130)</f>
        <v>589903.6757258249</v>
      </c>
      <c r="J131" s="56"/>
      <c r="K131" s="56">
        <f>SUM(K119:K130)</f>
        <v>36806.392180936986</v>
      </c>
      <c r="L131" s="85">
        <f>+K131/G131</f>
        <v>6.6545964473083266E-2</v>
      </c>
      <c r="O131" s="62">
        <f>SUM(O119:O130)</f>
        <v>2667.2891941722592</v>
      </c>
      <c r="P131" s="56"/>
      <c r="Q131" s="56">
        <f>SUM(Q119:Q130)</f>
        <v>358990.45264364436</v>
      </c>
      <c r="R131" s="85">
        <f t="shared" si="49"/>
        <v>0.64905481065250881</v>
      </c>
      <c r="S131" s="4"/>
      <c r="T131" s="74"/>
    </row>
    <row r="132" spans="1:20" x14ac:dyDescent="0.2">
      <c r="A132" s="52"/>
      <c r="B132" s="52"/>
      <c r="F132" s="43"/>
      <c r="H132" s="68"/>
      <c r="Q132" s="72"/>
      <c r="R132" s="73"/>
      <c r="S132" s="4"/>
      <c r="T132" s="74"/>
    </row>
    <row r="133" spans="1:20" x14ac:dyDescent="0.2">
      <c r="A133" s="52"/>
      <c r="B133" s="52"/>
      <c r="F133" s="43"/>
      <c r="H133" s="68"/>
      <c r="Q133" s="72"/>
      <c r="R133" s="73"/>
      <c r="S133" s="4"/>
      <c r="T133" s="74"/>
    </row>
    <row r="134" spans="1:20" x14ac:dyDescent="0.2">
      <c r="A134" s="52" t="s">
        <v>122</v>
      </c>
      <c r="B134" s="52">
        <v>240</v>
      </c>
      <c r="C134" s="2">
        <v>3</v>
      </c>
      <c r="D134" s="2">
        <v>3</v>
      </c>
      <c r="E134" s="3">
        <f>1/4.333</f>
        <v>0.23078698361412414</v>
      </c>
      <c r="F134" s="43">
        <v>104.8</v>
      </c>
      <c r="G134" s="5">
        <f t="shared" ref="G134:G143" si="65">+F134*C134*52*E134</f>
        <v>3773.0902377105926</v>
      </c>
      <c r="H134" s="68">
        <f t="shared" si="40"/>
        <v>111.78</v>
      </c>
      <c r="I134" s="69">
        <f>+H134*C134*E134*52</f>
        <v>4024.3895684283402</v>
      </c>
      <c r="J134" s="59">
        <f t="shared" ref="J134:K143" si="66">+H134-F134</f>
        <v>6.980000000000004</v>
      </c>
      <c r="K134" s="70">
        <f t="shared" si="66"/>
        <v>251.29933071774758</v>
      </c>
      <c r="L134" s="71">
        <f>J134/F134</f>
        <v>6.6603053435114537E-2</v>
      </c>
      <c r="N134" s="6">
        <f>+$N$56*8</f>
        <v>1065.4232</v>
      </c>
      <c r="O134" s="6">
        <f t="shared" si="37"/>
        <v>19.1790929148396</v>
      </c>
      <c r="Q134" s="72">
        <f t="shared" si="48"/>
        <v>2581.3141154082618</v>
      </c>
      <c r="R134" s="73">
        <f t="shared" si="49"/>
        <v>0.68413792217557257</v>
      </c>
      <c r="S134" s="4">
        <f t="shared" ref="S134:S143" si="67">ROUND(+H134*R134,2)</f>
        <v>76.47</v>
      </c>
      <c r="T134" s="74">
        <f t="shared" ref="T134:T143" si="68">+H134-S134</f>
        <v>35.31</v>
      </c>
    </row>
    <row r="135" spans="1:20" x14ac:dyDescent="0.2">
      <c r="A135" s="52" t="s">
        <v>123</v>
      </c>
      <c r="B135" s="52">
        <v>240</v>
      </c>
      <c r="C135" s="2">
        <v>1</v>
      </c>
      <c r="D135" s="2">
        <v>1</v>
      </c>
      <c r="E135" s="3">
        <f>1/4.333</f>
        <v>0.23078698361412414</v>
      </c>
      <c r="F135" s="43">
        <f>+F134</f>
        <v>104.8</v>
      </c>
      <c r="G135" s="5">
        <f t="shared" si="65"/>
        <v>1257.6967459035309</v>
      </c>
      <c r="H135" s="68">
        <f t="shared" si="40"/>
        <v>111.78</v>
      </c>
      <c r="I135" s="69">
        <f>+H135*C135*E135*52</f>
        <v>1341.4631894761135</v>
      </c>
      <c r="J135" s="59">
        <f t="shared" si="66"/>
        <v>6.980000000000004</v>
      </c>
      <c r="K135" s="70">
        <f t="shared" si="66"/>
        <v>83.766443572582602</v>
      </c>
      <c r="L135" s="71">
        <f>J135/F135</f>
        <v>6.6603053435114537E-2</v>
      </c>
      <c r="N135" s="6">
        <f t="shared" ref="N135:N143" si="69">+$N$56*8</f>
        <v>1065.4232</v>
      </c>
      <c r="O135" s="6">
        <f t="shared" si="37"/>
        <v>6.3930309716131992</v>
      </c>
      <c r="Q135" s="72">
        <f t="shared" si="48"/>
        <v>860.43803846942046</v>
      </c>
      <c r="R135" s="73">
        <f t="shared" si="49"/>
        <v>0.68413792217557234</v>
      </c>
      <c r="S135" s="4">
        <f t="shared" si="67"/>
        <v>76.47</v>
      </c>
      <c r="T135" s="74">
        <f t="shared" si="68"/>
        <v>35.31</v>
      </c>
    </row>
    <row r="136" spans="1:20" x14ac:dyDescent="0.2">
      <c r="A136" s="52" t="s">
        <v>124</v>
      </c>
      <c r="B136" s="52">
        <v>240</v>
      </c>
      <c r="C136" s="2">
        <v>51</v>
      </c>
      <c r="D136" s="2">
        <f>+C136</f>
        <v>51</v>
      </c>
      <c r="E136" s="3">
        <v>1</v>
      </c>
      <c r="F136" s="43">
        <f t="shared" ref="F136:F143" si="70">+F135</f>
        <v>104.8</v>
      </c>
      <c r="G136" s="5">
        <f t="shared" si="65"/>
        <v>277929.60000000003</v>
      </c>
      <c r="H136" s="68">
        <f t="shared" si="40"/>
        <v>111.78</v>
      </c>
      <c r="I136" s="69">
        <f>+H136*C136*E136*52</f>
        <v>296440.56</v>
      </c>
      <c r="J136" s="59">
        <f t="shared" si="66"/>
        <v>6.980000000000004</v>
      </c>
      <c r="K136" s="70">
        <f t="shared" si="66"/>
        <v>18510.959999999963</v>
      </c>
      <c r="L136" s="71">
        <f>J136/F136</f>
        <v>6.6603053435114537E-2</v>
      </c>
      <c r="N136" s="6">
        <f t="shared" si="69"/>
        <v>1065.4232</v>
      </c>
      <c r="O136" s="6">
        <f t="shared" si="37"/>
        <v>1412.7511632000001</v>
      </c>
      <c r="Q136" s="72">
        <f t="shared" si="48"/>
        <v>190142.17905508803</v>
      </c>
      <c r="R136" s="73">
        <f t="shared" si="49"/>
        <v>0.68413792217557257</v>
      </c>
      <c r="S136" s="4">
        <f t="shared" si="67"/>
        <v>76.47</v>
      </c>
      <c r="T136" s="74">
        <f t="shared" si="68"/>
        <v>35.31</v>
      </c>
    </row>
    <row r="137" spans="1:20" x14ac:dyDescent="0.2">
      <c r="A137" s="52" t="s">
        <v>125</v>
      </c>
      <c r="B137" s="52">
        <v>240</v>
      </c>
      <c r="C137" s="2">
        <v>10</v>
      </c>
      <c r="D137" s="2">
        <v>5</v>
      </c>
      <c r="E137" s="3">
        <v>1</v>
      </c>
      <c r="F137" s="43">
        <f t="shared" si="70"/>
        <v>104.8</v>
      </c>
      <c r="G137" s="5">
        <f t="shared" si="65"/>
        <v>54496</v>
      </c>
      <c r="H137" s="68">
        <f t="shared" si="40"/>
        <v>111.78</v>
      </c>
      <c r="I137" s="69">
        <f t="shared" ref="I137:I143" si="71">+H137*C137*E137*52</f>
        <v>58125.599999999999</v>
      </c>
      <c r="J137" s="59">
        <f t="shared" si="66"/>
        <v>6.980000000000004</v>
      </c>
      <c r="K137" s="70">
        <f t="shared" si="66"/>
        <v>3629.5999999999985</v>
      </c>
      <c r="L137" s="71">
        <f t="shared" ref="L137:L143" si="72">J137/F137</f>
        <v>6.6603053435114537E-2</v>
      </c>
      <c r="N137" s="6">
        <f t="shared" si="69"/>
        <v>1065.4232</v>
      </c>
      <c r="O137" s="6">
        <f t="shared" si="37"/>
        <v>277.01003200000002</v>
      </c>
      <c r="Q137" s="72">
        <f t="shared" si="48"/>
        <v>37282.780206880001</v>
      </c>
      <c r="R137" s="73">
        <f t="shared" si="49"/>
        <v>0.68413792217557257</v>
      </c>
      <c r="S137" s="4">
        <f t="shared" si="67"/>
        <v>76.47</v>
      </c>
      <c r="T137" s="74">
        <f t="shared" si="68"/>
        <v>35.31</v>
      </c>
    </row>
    <row r="138" spans="1:20" x14ac:dyDescent="0.2">
      <c r="A138" s="52" t="s">
        <v>126</v>
      </c>
      <c r="B138" s="52">
        <v>240</v>
      </c>
      <c r="C138" s="2">
        <v>6</v>
      </c>
      <c r="D138" s="2">
        <v>2</v>
      </c>
      <c r="E138" s="3">
        <v>1</v>
      </c>
      <c r="F138" s="43">
        <f t="shared" si="70"/>
        <v>104.8</v>
      </c>
      <c r="G138" s="5">
        <f t="shared" si="65"/>
        <v>32697.599999999999</v>
      </c>
      <c r="H138" s="68">
        <f t="shared" si="40"/>
        <v>111.78</v>
      </c>
      <c r="I138" s="69">
        <f t="shared" si="71"/>
        <v>34875.360000000001</v>
      </c>
      <c r="J138" s="59">
        <f t="shared" si="66"/>
        <v>6.980000000000004</v>
      </c>
      <c r="K138" s="70">
        <f t="shared" si="66"/>
        <v>2177.760000000002</v>
      </c>
      <c r="L138" s="71">
        <f t="shared" si="72"/>
        <v>6.6603053435114537E-2</v>
      </c>
      <c r="N138" s="6">
        <f t="shared" si="69"/>
        <v>1065.4232</v>
      </c>
      <c r="O138" s="6">
        <f t="shared" si="37"/>
        <v>166.20601919999999</v>
      </c>
      <c r="Q138" s="72">
        <f t="shared" si="48"/>
        <v>22369.668124127998</v>
      </c>
      <c r="R138" s="73">
        <f t="shared" si="49"/>
        <v>0.68413792217557245</v>
      </c>
      <c r="S138" s="4">
        <f t="shared" si="67"/>
        <v>76.47</v>
      </c>
      <c r="T138" s="74">
        <f t="shared" si="68"/>
        <v>35.31</v>
      </c>
    </row>
    <row r="139" spans="1:20" x14ac:dyDescent="0.2">
      <c r="A139" s="52" t="s">
        <v>127</v>
      </c>
      <c r="B139" s="52">
        <v>240</v>
      </c>
      <c r="C139" s="2">
        <v>20</v>
      </c>
      <c r="D139" s="2">
        <v>20</v>
      </c>
      <c r="E139" s="3">
        <v>2</v>
      </c>
      <c r="F139" s="43">
        <f t="shared" si="70"/>
        <v>104.8</v>
      </c>
      <c r="G139" s="5">
        <f t="shared" si="65"/>
        <v>217984</v>
      </c>
      <c r="H139" s="68">
        <f t="shared" si="40"/>
        <v>111.78</v>
      </c>
      <c r="I139" s="69">
        <f t="shared" si="71"/>
        <v>232502.39999999999</v>
      </c>
      <c r="J139" s="59">
        <f t="shared" si="66"/>
        <v>6.980000000000004</v>
      </c>
      <c r="K139" s="70">
        <f t="shared" si="66"/>
        <v>14518.399999999994</v>
      </c>
      <c r="L139" s="71">
        <f t="shared" si="72"/>
        <v>6.6603053435114537E-2</v>
      </c>
      <c r="N139" s="6">
        <f t="shared" si="69"/>
        <v>1065.4232</v>
      </c>
      <c r="O139" s="6">
        <f t="shared" si="37"/>
        <v>1108.0401280000001</v>
      </c>
      <c r="Q139" s="72">
        <f t="shared" si="48"/>
        <v>149131.12082752</v>
      </c>
      <c r="R139" s="73">
        <f t="shared" si="49"/>
        <v>0.68413792217557257</v>
      </c>
      <c r="S139" s="4">
        <f t="shared" si="67"/>
        <v>76.47</v>
      </c>
      <c r="T139" s="74">
        <f t="shared" si="68"/>
        <v>35.31</v>
      </c>
    </row>
    <row r="140" spans="1:20" x14ac:dyDescent="0.2">
      <c r="A140" s="52" t="s">
        <v>128</v>
      </c>
      <c r="B140" s="52">
        <v>240</v>
      </c>
      <c r="C140" s="2">
        <v>2</v>
      </c>
      <c r="D140" s="2">
        <v>1</v>
      </c>
      <c r="E140" s="3">
        <v>2</v>
      </c>
      <c r="F140" s="43">
        <f t="shared" si="70"/>
        <v>104.8</v>
      </c>
      <c r="G140" s="5">
        <f t="shared" si="65"/>
        <v>21798.399999999998</v>
      </c>
      <c r="H140" s="68">
        <f t="shared" si="40"/>
        <v>111.78</v>
      </c>
      <c r="I140" s="69">
        <f t="shared" si="71"/>
        <v>23250.240000000002</v>
      </c>
      <c r="J140" s="59">
        <f t="shared" si="66"/>
        <v>6.980000000000004</v>
      </c>
      <c r="K140" s="70">
        <f t="shared" si="66"/>
        <v>1451.8400000000038</v>
      </c>
      <c r="L140" s="71">
        <f t="shared" si="72"/>
        <v>6.6603053435114537E-2</v>
      </c>
      <c r="N140" s="6">
        <f t="shared" si="69"/>
        <v>1065.4232</v>
      </c>
      <c r="O140" s="6">
        <f t="shared" si="37"/>
        <v>110.8040128</v>
      </c>
      <c r="Q140" s="72">
        <f t="shared" si="48"/>
        <v>14913.112082751999</v>
      </c>
      <c r="R140" s="73">
        <f t="shared" si="49"/>
        <v>0.68413792217557257</v>
      </c>
      <c r="S140" s="4">
        <f t="shared" si="67"/>
        <v>76.47</v>
      </c>
      <c r="T140" s="74">
        <f t="shared" si="68"/>
        <v>35.31</v>
      </c>
    </row>
    <row r="141" spans="1:20" x14ac:dyDescent="0.2">
      <c r="A141" s="52" t="s">
        <v>129</v>
      </c>
      <c r="B141" s="52">
        <v>240</v>
      </c>
      <c r="C141" s="2">
        <v>8</v>
      </c>
      <c r="D141" s="2">
        <v>2</v>
      </c>
      <c r="E141" s="3">
        <v>2</v>
      </c>
      <c r="F141" s="43">
        <f t="shared" si="70"/>
        <v>104.8</v>
      </c>
      <c r="G141" s="5">
        <f t="shared" si="65"/>
        <v>87193.599999999991</v>
      </c>
      <c r="H141" s="68">
        <f t="shared" si="40"/>
        <v>111.78</v>
      </c>
      <c r="I141" s="69">
        <f t="shared" si="71"/>
        <v>93000.960000000006</v>
      </c>
      <c r="J141" s="59">
        <f t="shared" si="66"/>
        <v>6.980000000000004</v>
      </c>
      <c r="K141" s="70">
        <f t="shared" si="66"/>
        <v>5807.3600000000151</v>
      </c>
      <c r="L141" s="71">
        <f t="shared" si="72"/>
        <v>6.6603053435114537E-2</v>
      </c>
      <c r="N141" s="6">
        <f t="shared" si="69"/>
        <v>1065.4232</v>
      </c>
      <c r="O141" s="6">
        <f t="shared" ref="O141:O148" si="73">+N141*C141*E141*52/2000</f>
        <v>443.21605119999998</v>
      </c>
      <c r="Q141" s="72">
        <f t="shared" si="48"/>
        <v>59652.448331007996</v>
      </c>
      <c r="R141" s="73">
        <f t="shared" si="49"/>
        <v>0.68413792217557257</v>
      </c>
      <c r="S141" s="4">
        <f t="shared" si="67"/>
        <v>76.47</v>
      </c>
      <c r="T141" s="74">
        <f t="shared" si="68"/>
        <v>35.31</v>
      </c>
    </row>
    <row r="142" spans="1:20" x14ac:dyDescent="0.2">
      <c r="A142" s="52" t="s">
        <v>130</v>
      </c>
      <c r="B142" s="52">
        <v>240</v>
      </c>
      <c r="C142" s="2">
        <v>4</v>
      </c>
      <c r="D142" s="2">
        <v>4</v>
      </c>
      <c r="E142" s="3">
        <v>3</v>
      </c>
      <c r="F142" s="43">
        <f t="shared" si="70"/>
        <v>104.8</v>
      </c>
      <c r="G142" s="5">
        <f t="shared" si="65"/>
        <v>65395.199999999997</v>
      </c>
      <c r="H142" s="68">
        <f t="shared" ref="H142:H148" si="74">ROUND(+F142*(1+$H$7),2)</f>
        <v>111.78</v>
      </c>
      <c r="I142" s="69">
        <f t="shared" si="71"/>
        <v>69750.720000000001</v>
      </c>
      <c r="J142" s="59">
        <f t="shared" si="66"/>
        <v>6.980000000000004</v>
      </c>
      <c r="K142" s="70">
        <f t="shared" si="66"/>
        <v>4355.5200000000041</v>
      </c>
      <c r="L142" s="71">
        <f t="shared" si="72"/>
        <v>6.6603053435114537E-2</v>
      </c>
      <c r="N142" s="6">
        <f t="shared" si="69"/>
        <v>1065.4232</v>
      </c>
      <c r="O142" s="6">
        <f t="shared" si="73"/>
        <v>332.41203839999997</v>
      </c>
      <c r="Q142" s="72">
        <f t="shared" si="48"/>
        <v>44739.336248255997</v>
      </c>
      <c r="R142" s="73">
        <f t="shared" si="49"/>
        <v>0.68413792217557245</v>
      </c>
      <c r="S142" s="4">
        <f t="shared" si="67"/>
        <v>76.47</v>
      </c>
      <c r="T142" s="74">
        <f t="shared" si="68"/>
        <v>35.31</v>
      </c>
    </row>
    <row r="143" spans="1:20" ht="17.25" x14ac:dyDescent="0.35">
      <c r="A143" s="52" t="s">
        <v>131</v>
      </c>
      <c r="B143" s="52">
        <v>240</v>
      </c>
      <c r="C143" s="75">
        <v>2</v>
      </c>
      <c r="D143" s="75">
        <v>1</v>
      </c>
      <c r="E143" s="3">
        <v>3</v>
      </c>
      <c r="F143" s="43">
        <f t="shared" si="70"/>
        <v>104.8</v>
      </c>
      <c r="G143" s="76">
        <f t="shared" si="65"/>
        <v>32697.599999999999</v>
      </c>
      <c r="H143" s="68">
        <f t="shared" si="74"/>
        <v>111.78</v>
      </c>
      <c r="I143" s="77">
        <f t="shared" si="71"/>
        <v>34875.360000000001</v>
      </c>
      <c r="J143" s="59">
        <f t="shared" si="66"/>
        <v>6.980000000000004</v>
      </c>
      <c r="K143" s="78">
        <f t="shared" si="66"/>
        <v>2177.760000000002</v>
      </c>
      <c r="L143" s="86">
        <f t="shared" si="72"/>
        <v>6.6603053435114537E-2</v>
      </c>
      <c r="N143" s="6">
        <f t="shared" si="69"/>
        <v>1065.4232</v>
      </c>
      <c r="O143" s="80">
        <f t="shared" si="73"/>
        <v>166.20601919999999</v>
      </c>
      <c r="P143" s="81"/>
      <c r="Q143" s="82">
        <f t="shared" si="48"/>
        <v>22369.668124127998</v>
      </c>
      <c r="R143" s="91">
        <f t="shared" si="49"/>
        <v>0.68413792217557245</v>
      </c>
      <c r="S143" s="4">
        <f t="shared" si="67"/>
        <v>76.47</v>
      </c>
      <c r="T143" s="74">
        <f t="shared" si="68"/>
        <v>35.31</v>
      </c>
    </row>
    <row r="144" spans="1:20" ht="20.25" x14ac:dyDescent="0.55000000000000004">
      <c r="C144" s="54">
        <f>SUM(C134:C143)</f>
        <v>107</v>
      </c>
      <c r="D144" s="54">
        <f>SUM(D134:D143)</f>
        <v>90</v>
      </c>
      <c r="F144" s="43"/>
      <c r="G144" s="56">
        <f>SUM(G134:G143)</f>
        <v>795222.78698361409</v>
      </c>
      <c r="H144" s="68"/>
      <c r="I144" s="56">
        <f>SUM(I134:I143)</f>
        <v>848187.05275790428</v>
      </c>
      <c r="J144" s="56"/>
      <c r="K144" s="56">
        <f>SUM(K134:K143)</f>
        <v>52964.26577429031</v>
      </c>
      <c r="L144" s="85">
        <f>+K144/G144</f>
        <v>6.6603053435114482E-2</v>
      </c>
      <c r="O144" s="62">
        <f>SUM(O134:O143)</f>
        <v>4042.2175878864523</v>
      </c>
      <c r="P144" s="56"/>
      <c r="Q144" s="56">
        <f>SUM(Q134:Q143)</f>
        <v>544042.06515363767</v>
      </c>
      <c r="R144" s="85">
        <f t="shared" si="49"/>
        <v>0.68413792217557257</v>
      </c>
      <c r="S144" s="4"/>
      <c r="T144" s="74"/>
    </row>
    <row r="145" spans="1:23" x14ac:dyDescent="0.2">
      <c r="F145" s="43"/>
      <c r="H145" s="68"/>
      <c r="Q145" s="72"/>
      <c r="R145" s="73"/>
      <c r="S145" s="4"/>
      <c r="T145" s="74"/>
    </row>
    <row r="146" spans="1:23" x14ac:dyDescent="0.2">
      <c r="F146" s="43"/>
      <c r="H146" s="68"/>
      <c r="P146" s="6"/>
      <c r="Q146" s="6"/>
      <c r="R146" s="6"/>
      <c r="S146" s="4"/>
      <c r="T146" s="74"/>
    </row>
    <row r="147" spans="1:23" x14ac:dyDescent="0.2">
      <c r="A147" s="52" t="s">
        <v>132</v>
      </c>
      <c r="B147" s="52">
        <v>255</v>
      </c>
      <c r="C147" s="2">
        <v>3</v>
      </c>
      <c r="D147" s="2">
        <f>+C147</f>
        <v>3</v>
      </c>
      <c r="E147" s="3">
        <v>1</v>
      </c>
      <c r="F147" s="43">
        <v>172</v>
      </c>
      <c r="G147" s="5">
        <f>+F147*C147*52*E147</f>
        <v>26832</v>
      </c>
      <c r="H147" s="68">
        <f t="shared" si="74"/>
        <v>183.46</v>
      </c>
      <c r="I147" s="69">
        <f>+H147*C147*E147*52</f>
        <v>28619.759999999998</v>
      </c>
      <c r="J147" s="59">
        <f>+H147-F147</f>
        <v>11.460000000000008</v>
      </c>
      <c r="K147" s="70">
        <f>+I147-G147</f>
        <v>1787.7599999999984</v>
      </c>
      <c r="L147" s="71">
        <f>J147/F147</f>
        <v>6.6627906976744228E-2</v>
      </c>
      <c r="N147" s="6">
        <f>+N87*3</f>
        <v>1198.6010999999999</v>
      </c>
      <c r="O147" s="6">
        <f t="shared" si="73"/>
        <v>93.490885799999987</v>
      </c>
      <c r="Q147" s="72">
        <f t="shared" si="48"/>
        <v>12582.938319821998</v>
      </c>
      <c r="R147" s="73">
        <f t="shared" si="49"/>
        <v>0.46895268037499993</v>
      </c>
      <c r="S147" s="4">
        <f>ROUND(+H147*R147,2)</f>
        <v>86.03</v>
      </c>
      <c r="T147" s="74">
        <f>+H147-S147</f>
        <v>97.43</v>
      </c>
    </row>
    <row r="148" spans="1:23" ht="17.25" x14ac:dyDescent="0.35">
      <c r="A148" s="52" t="s">
        <v>133</v>
      </c>
      <c r="B148" s="52">
        <v>255</v>
      </c>
      <c r="C148" s="75">
        <v>1</v>
      </c>
      <c r="D148" s="75">
        <v>1</v>
      </c>
      <c r="E148" s="3">
        <v>1</v>
      </c>
      <c r="F148" s="43">
        <v>334.9</v>
      </c>
      <c r="G148" s="76">
        <f>+F148*C148*52*E148</f>
        <v>17414.8</v>
      </c>
      <c r="H148" s="68">
        <f t="shared" si="74"/>
        <v>357.2</v>
      </c>
      <c r="I148" s="77">
        <f>+H148*C148*E148*52</f>
        <v>18574.399999999998</v>
      </c>
      <c r="J148" s="59">
        <f>+H148-F148</f>
        <v>22.300000000000011</v>
      </c>
      <c r="K148" s="78">
        <f>+I148-G148</f>
        <v>1159.5999999999985</v>
      </c>
      <c r="L148" s="86">
        <f>J148/F148</f>
        <v>6.6587040907733694E-2</v>
      </c>
      <c r="N148" s="6">
        <f>+N119*3</f>
        <v>2397.2021999999997</v>
      </c>
      <c r="O148" s="80">
        <f t="shared" si="73"/>
        <v>62.327257199999991</v>
      </c>
      <c r="Q148" s="82">
        <f t="shared" si="48"/>
        <v>8388.625546547999</v>
      </c>
      <c r="R148" s="91">
        <f t="shared" si="49"/>
        <v>0.48169519871304861</v>
      </c>
      <c r="S148" s="4">
        <f>ROUND(+H148*R148,2)</f>
        <v>172.06</v>
      </c>
      <c r="T148" s="74">
        <f>+H148-S148</f>
        <v>185.14</v>
      </c>
    </row>
    <row r="149" spans="1:23" ht="20.25" x14ac:dyDescent="0.55000000000000004">
      <c r="C149" s="54">
        <f>SUM(C147:C148)</f>
        <v>4</v>
      </c>
      <c r="D149" s="54">
        <f>SUM(D147:D148)</f>
        <v>4</v>
      </c>
      <c r="F149" s="43"/>
      <c r="G149" s="56">
        <f>SUM(G147:G148)</f>
        <v>44246.8</v>
      </c>
      <c r="H149" s="56"/>
      <c r="I149" s="56">
        <f>SUM(I147:I148)</f>
        <v>47194.159999999996</v>
      </c>
      <c r="J149" s="56"/>
      <c r="K149" s="56">
        <f>SUM(K147:K148)</f>
        <v>2947.3599999999969</v>
      </c>
      <c r="L149" s="85">
        <f>+K149/G149</f>
        <v>6.6611822775884288E-2</v>
      </c>
      <c r="O149" s="62">
        <f>SUM(O147:O148)</f>
        <v>155.81814299999996</v>
      </c>
      <c r="P149" s="56"/>
      <c r="Q149" s="56">
        <f>SUM(Q147:Q148)</f>
        <v>20971.563866369997</v>
      </c>
      <c r="R149" s="85">
        <f t="shared" si="49"/>
        <v>0.4739679223439886</v>
      </c>
    </row>
    <row r="150" spans="1:23" x14ac:dyDescent="0.2">
      <c r="F150" s="43"/>
    </row>
    <row r="151" spans="1:23" x14ac:dyDescent="0.2">
      <c r="F151" s="43"/>
    </row>
    <row r="152" spans="1:23" x14ac:dyDescent="0.2">
      <c r="F152" s="43"/>
    </row>
    <row r="153" spans="1:23" ht="18" x14ac:dyDescent="0.4">
      <c r="C153" s="92">
        <f>+C149+C144+C131+C116+C98+C84+C70+C61+C53+C41+C32+C25+C10</f>
        <v>1721</v>
      </c>
      <c r="D153" s="92">
        <f>+D149+D144+D131+D116+D98+D84+D70+D61+D53+D41+D32+D25+D10</f>
        <v>1037</v>
      </c>
      <c r="E153" s="92"/>
      <c r="F153" s="92"/>
      <c r="G153" s="93">
        <f>+G149+G144+G131+G116+G98+G84+G70+G61+G53+G41+G32+G25+G10</f>
        <v>3259803.3843064848</v>
      </c>
      <c r="H153" s="92"/>
      <c r="I153" s="93">
        <f>+I149+I144+I131+I116+I98+I84+I70+I61+I53+I41+I32+I25+I10</f>
        <v>3476906.6097945995</v>
      </c>
      <c r="J153" s="195"/>
      <c r="K153" s="93">
        <f>+K149+K144+K131+K116+K98+K84+K70+K61+K53+K41+K32+K25+K10</f>
        <v>217103.22548811452</v>
      </c>
      <c r="L153" s="196">
        <f>+K153/G153</f>
        <v>6.6600098194051882E-2</v>
      </c>
      <c r="M153" s="195"/>
      <c r="N153" s="197"/>
      <c r="O153" s="95">
        <f>+O149+O144+O131+O116+O98+O84+O70+O61+O53+O41+O32+O25+O10</f>
        <v>14393.17087509269</v>
      </c>
      <c r="P153" s="195"/>
      <c r="Q153" s="93">
        <f>+Q149+Q144+Q131+Q116+Q98+Q84+Q70+Q61+Q53+Q41+Q32+Q25+Q10</f>
        <v>1937176.8680787254</v>
      </c>
      <c r="R153" s="94">
        <f>+Q153/G153</f>
        <v>0.59426187401509645</v>
      </c>
      <c r="V153" s="96"/>
      <c r="W153" s="5"/>
    </row>
    <row r="154" spans="1:23" x14ac:dyDescent="0.2">
      <c r="F154" s="43"/>
    </row>
    <row r="155" spans="1:23" ht="18" x14ac:dyDescent="0.4">
      <c r="F155" s="43"/>
      <c r="G155" s="93"/>
      <c r="H155" s="204"/>
      <c r="I155" s="204"/>
      <c r="J155" s="204"/>
      <c r="K155" s="204"/>
      <c r="O155" s="6">
        <f>+'Revenue &amp; Expense Adj.'!D13</f>
        <v>14393.170227638017</v>
      </c>
      <c r="Q155" s="5">
        <f>+'Revenue &amp; Expense Adj.'!H13</f>
        <v>1937176.7809378006</v>
      </c>
    </row>
    <row r="156" spans="1:23" ht="18" x14ac:dyDescent="0.4">
      <c r="F156" s="43"/>
      <c r="G156" s="93">
        <f>+'Res''l Priceout'!G29</f>
        <v>4006020</v>
      </c>
      <c r="H156" s="93"/>
      <c r="I156" s="93">
        <f>+'Res''l Priceout'!I29</f>
        <v>4177192.3200000003</v>
      </c>
      <c r="J156" s="93"/>
      <c r="K156" s="93">
        <f>+'Res''l Priceout'!K29</f>
        <v>171172.32000000004</v>
      </c>
    </row>
    <row r="157" spans="1:23" x14ac:dyDescent="0.2">
      <c r="F157" s="43"/>
    </row>
    <row r="158" spans="1:23" ht="18" x14ac:dyDescent="0.4">
      <c r="C158" s="1"/>
      <c r="D158" s="1"/>
      <c r="E158" s="1"/>
      <c r="F158" s="1"/>
      <c r="G158" s="205">
        <f>+G156+G153</f>
        <v>7265823.3843064848</v>
      </c>
      <c r="H158" s="205"/>
      <c r="I158" s="205">
        <f t="shared" ref="I158:K158" si="75">+I156+I153</f>
        <v>7654098.9297946002</v>
      </c>
      <c r="J158" s="205"/>
      <c r="K158" s="205">
        <f t="shared" si="75"/>
        <v>388275.54548811459</v>
      </c>
      <c r="L158" s="206">
        <f>+K158/G158</f>
        <v>5.3438615962886508E-2</v>
      </c>
      <c r="N158" s="1"/>
      <c r="O158" s="1"/>
    </row>
    <row r="159" spans="1:23" x14ac:dyDescent="0.2">
      <c r="C159" s="1"/>
      <c r="D159" s="1"/>
      <c r="E159" s="1"/>
      <c r="F159" s="1"/>
      <c r="G159" s="1"/>
      <c r="N159" s="1"/>
      <c r="O159" s="1"/>
    </row>
    <row r="160" spans="1:23" x14ac:dyDescent="0.2">
      <c r="C160" s="1"/>
      <c r="D160" s="1"/>
      <c r="E160" s="1"/>
      <c r="F160" s="1"/>
      <c r="G160" s="1"/>
      <c r="N160" s="1"/>
      <c r="O160" s="1"/>
    </row>
    <row r="161" spans="3:15" x14ac:dyDescent="0.2">
      <c r="C161" s="1"/>
      <c r="D161" s="1"/>
      <c r="E161" s="1"/>
      <c r="F161" s="1"/>
      <c r="G161" s="1"/>
      <c r="N161" s="1"/>
      <c r="O161" s="1"/>
    </row>
    <row r="162" spans="3:15" x14ac:dyDescent="0.2">
      <c r="C162" s="1"/>
      <c r="D162" s="1"/>
      <c r="E162" s="1"/>
      <c r="F162" s="1"/>
      <c r="G162" s="1"/>
      <c r="N162" s="1"/>
      <c r="O162" s="1"/>
    </row>
    <row r="163" spans="3:15" x14ac:dyDescent="0.2">
      <c r="C163" s="1"/>
      <c r="D163" s="1"/>
      <c r="E163" s="1"/>
      <c r="F163" s="1"/>
      <c r="G163" s="1"/>
      <c r="N163" s="1"/>
      <c r="O163" s="1"/>
    </row>
    <row r="164" spans="3:15" x14ac:dyDescent="0.2">
      <c r="C164" s="1"/>
      <c r="D164" s="1"/>
      <c r="E164" s="1"/>
      <c r="F164" s="1"/>
      <c r="G164" s="1"/>
      <c r="N164" s="1"/>
      <c r="O164" s="1"/>
    </row>
    <row r="165" spans="3:15" x14ac:dyDescent="0.2">
      <c r="C165" s="1"/>
      <c r="D165" s="1"/>
      <c r="E165" s="1"/>
      <c r="F165" s="1"/>
      <c r="G165" s="1"/>
      <c r="N165" s="1"/>
      <c r="O165" s="1"/>
    </row>
    <row r="166" spans="3:15" x14ac:dyDescent="0.2">
      <c r="C166" s="1"/>
      <c r="D166" s="1"/>
      <c r="E166" s="1"/>
      <c r="F166" s="1"/>
      <c r="G166" s="1"/>
      <c r="N166" s="1"/>
      <c r="O166" s="1"/>
    </row>
    <row r="167" spans="3:15" x14ac:dyDescent="0.2">
      <c r="C167" s="1"/>
      <c r="D167" s="1"/>
      <c r="E167" s="1"/>
      <c r="F167" s="1"/>
      <c r="G167" s="1"/>
      <c r="N167" s="1"/>
      <c r="O167" s="1"/>
    </row>
    <row r="168" spans="3:15" x14ac:dyDescent="0.2">
      <c r="C168" s="1"/>
      <c r="D168" s="1"/>
      <c r="E168" s="1"/>
      <c r="F168" s="1"/>
      <c r="G168" s="1"/>
      <c r="N168" s="1"/>
      <c r="O168" s="1"/>
    </row>
    <row r="169" spans="3:15" x14ac:dyDescent="0.2">
      <c r="C169" s="1"/>
      <c r="D169" s="1"/>
      <c r="E169" s="1"/>
      <c r="F169" s="1"/>
      <c r="G169" s="1"/>
      <c r="N169" s="1"/>
      <c r="O169" s="1"/>
    </row>
    <row r="170" spans="3:15" x14ac:dyDescent="0.2">
      <c r="C170" s="1"/>
      <c r="D170" s="1"/>
      <c r="E170" s="1"/>
      <c r="F170" s="1"/>
      <c r="G170" s="1"/>
      <c r="N170" s="1"/>
      <c r="O170" s="1"/>
    </row>
    <row r="171" spans="3:15" x14ac:dyDescent="0.2">
      <c r="C171" s="1"/>
      <c r="D171" s="1"/>
      <c r="E171" s="1"/>
      <c r="F171" s="1"/>
      <c r="G171" s="1"/>
      <c r="N171" s="1"/>
      <c r="O171" s="1"/>
    </row>
    <row r="172" spans="3:15" x14ac:dyDescent="0.2">
      <c r="C172" s="1"/>
      <c r="D172" s="1"/>
      <c r="E172" s="1"/>
      <c r="F172" s="1"/>
      <c r="G172" s="1"/>
      <c r="N172" s="1"/>
      <c r="O172" s="1"/>
    </row>
    <row r="173" spans="3:15" x14ac:dyDescent="0.2">
      <c r="C173" s="1"/>
      <c r="D173" s="1"/>
      <c r="E173" s="1"/>
      <c r="F173" s="1"/>
      <c r="G173" s="1"/>
      <c r="N173" s="1"/>
      <c r="O173" s="1"/>
    </row>
    <row r="174" spans="3:15" x14ac:dyDescent="0.2">
      <c r="C174" s="1"/>
      <c r="D174" s="1"/>
      <c r="E174" s="1"/>
      <c r="F174" s="1"/>
      <c r="G174" s="1"/>
      <c r="N174" s="1"/>
      <c r="O174" s="1"/>
    </row>
    <row r="175" spans="3:15" x14ac:dyDescent="0.2">
      <c r="C175" s="1"/>
      <c r="D175" s="1"/>
      <c r="E175" s="1"/>
      <c r="F175" s="1"/>
      <c r="G175" s="1"/>
      <c r="N175" s="1"/>
      <c r="O175" s="1"/>
    </row>
    <row r="176" spans="3:15" x14ac:dyDescent="0.2">
      <c r="C176" s="1"/>
      <c r="D176" s="1"/>
      <c r="E176" s="1"/>
      <c r="F176" s="1"/>
      <c r="G176" s="1"/>
      <c r="N176" s="1"/>
      <c r="O176" s="1"/>
    </row>
    <row r="177" spans="3:15" x14ac:dyDescent="0.2">
      <c r="C177" s="1"/>
      <c r="D177" s="1"/>
      <c r="E177" s="1"/>
      <c r="F177" s="1"/>
      <c r="G177" s="1"/>
      <c r="N177" s="1"/>
      <c r="O177" s="1"/>
    </row>
    <row r="178" spans="3:15" x14ac:dyDescent="0.2">
      <c r="C178" s="1"/>
      <c r="D178" s="1"/>
      <c r="E178" s="1"/>
      <c r="F178" s="1"/>
      <c r="G178" s="1"/>
      <c r="N178" s="1"/>
      <c r="O178" s="1"/>
    </row>
    <row r="179" spans="3:15" x14ac:dyDescent="0.2">
      <c r="C179" s="1"/>
      <c r="D179" s="1"/>
      <c r="E179" s="1"/>
      <c r="F179" s="1"/>
      <c r="G179" s="1"/>
      <c r="N179" s="1"/>
      <c r="O179" s="1"/>
    </row>
    <row r="180" spans="3:15" x14ac:dyDescent="0.2">
      <c r="C180" s="1"/>
      <c r="D180" s="1"/>
      <c r="E180" s="1"/>
      <c r="F180" s="1"/>
      <c r="G180" s="1"/>
      <c r="N180" s="1"/>
      <c r="O180" s="1"/>
    </row>
    <row r="181" spans="3:15" x14ac:dyDescent="0.2">
      <c r="C181" s="1"/>
      <c r="D181" s="1"/>
      <c r="E181" s="1"/>
      <c r="F181" s="1"/>
      <c r="G181" s="1"/>
      <c r="N181" s="1"/>
      <c r="O181" s="1"/>
    </row>
    <row r="182" spans="3:15" x14ac:dyDescent="0.2">
      <c r="C182" s="1"/>
      <c r="D182" s="1"/>
      <c r="E182" s="1"/>
      <c r="F182" s="1"/>
      <c r="G182" s="1"/>
      <c r="N182" s="1"/>
      <c r="O182" s="1"/>
    </row>
    <row r="183" spans="3:15" x14ac:dyDescent="0.2">
      <c r="C183" s="1"/>
      <c r="D183" s="1"/>
      <c r="E183" s="1"/>
      <c r="F183" s="1"/>
      <c r="G183" s="1"/>
      <c r="N183" s="1"/>
      <c r="O183" s="1"/>
    </row>
    <row r="184" spans="3:15" x14ac:dyDescent="0.2">
      <c r="C184" s="1"/>
      <c r="D184" s="1"/>
      <c r="E184" s="1"/>
      <c r="F184" s="1"/>
      <c r="G184" s="1"/>
      <c r="N184" s="1"/>
      <c r="O184" s="1"/>
    </row>
    <row r="185" spans="3:15" x14ac:dyDescent="0.2">
      <c r="C185" s="1"/>
      <c r="D185" s="1"/>
      <c r="E185" s="1"/>
      <c r="F185" s="1"/>
      <c r="G185" s="1"/>
      <c r="N185" s="1"/>
      <c r="O185" s="1"/>
    </row>
    <row r="186" spans="3:15" x14ac:dyDescent="0.2">
      <c r="C186" s="1"/>
      <c r="D186" s="1"/>
      <c r="E186" s="1"/>
      <c r="F186" s="1"/>
      <c r="G186" s="1"/>
      <c r="N186" s="1"/>
      <c r="O186" s="1"/>
    </row>
    <row r="187" spans="3:15" x14ac:dyDescent="0.2">
      <c r="C187" s="1"/>
      <c r="D187" s="1"/>
      <c r="E187" s="1"/>
      <c r="F187" s="1"/>
      <c r="G187" s="1"/>
      <c r="N187" s="1"/>
      <c r="O187" s="1"/>
    </row>
    <row r="188" spans="3:15" x14ac:dyDescent="0.2">
      <c r="C188" s="1"/>
      <c r="D188" s="1"/>
      <c r="E188" s="1"/>
      <c r="F188" s="1"/>
      <c r="G188" s="1"/>
      <c r="N188" s="1"/>
      <c r="O188" s="1"/>
    </row>
    <row r="189" spans="3:15" x14ac:dyDescent="0.2">
      <c r="C189" s="1"/>
      <c r="D189" s="1"/>
      <c r="E189" s="1"/>
      <c r="F189" s="1"/>
      <c r="G189" s="1"/>
      <c r="N189" s="1"/>
      <c r="O189" s="1"/>
    </row>
    <row r="190" spans="3:15" x14ac:dyDescent="0.2">
      <c r="C190" s="1"/>
      <c r="D190" s="1"/>
      <c r="E190" s="1"/>
      <c r="F190" s="1"/>
      <c r="G190" s="1"/>
      <c r="N190" s="1"/>
      <c r="O190" s="1"/>
    </row>
    <row r="191" spans="3:15" x14ac:dyDescent="0.2">
      <c r="C191" s="1"/>
      <c r="D191" s="1"/>
      <c r="E191" s="1"/>
      <c r="F191" s="1"/>
      <c r="G191" s="1"/>
      <c r="N191" s="1"/>
      <c r="O191" s="1"/>
    </row>
    <row r="192" spans="3:15" x14ac:dyDescent="0.2">
      <c r="C192" s="1"/>
      <c r="D192" s="1"/>
      <c r="E192" s="1"/>
      <c r="F192" s="1"/>
      <c r="G192" s="1"/>
      <c r="N192" s="1"/>
      <c r="O192" s="1"/>
    </row>
    <row r="193" spans="3:15" x14ac:dyDescent="0.2">
      <c r="C193" s="1"/>
      <c r="D193" s="1"/>
      <c r="E193" s="1"/>
      <c r="F193" s="1"/>
      <c r="G193" s="1"/>
      <c r="N193" s="1"/>
      <c r="O193" s="1"/>
    </row>
    <row r="194" spans="3:15" x14ac:dyDescent="0.2">
      <c r="C194" s="1"/>
      <c r="D194" s="1"/>
      <c r="E194" s="1"/>
      <c r="F194" s="1"/>
      <c r="G194" s="1"/>
      <c r="N194" s="1"/>
      <c r="O194" s="1"/>
    </row>
    <row r="195" spans="3:15" x14ac:dyDescent="0.2">
      <c r="C195" s="1"/>
      <c r="D195" s="1"/>
      <c r="E195" s="1"/>
      <c r="F195" s="1"/>
      <c r="G195" s="1"/>
      <c r="N195" s="1"/>
      <c r="O195" s="1"/>
    </row>
    <row r="196" spans="3:15" x14ac:dyDescent="0.2">
      <c r="C196" s="1"/>
      <c r="D196" s="1"/>
      <c r="E196" s="1"/>
      <c r="F196" s="1"/>
      <c r="G196" s="1"/>
      <c r="N196" s="1"/>
      <c r="O196" s="1"/>
    </row>
    <row r="197" spans="3:15" x14ac:dyDescent="0.2">
      <c r="C197" s="1"/>
      <c r="D197" s="1"/>
      <c r="E197" s="1"/>
      <c r="F197" s="1"/>
      <c r="G197" s="1"/>
      <c r="N197" s="1"/>
      <c r="O197" s="1"/>
    </row>
    <row r="198" spans="3:15" x14ac:dyDescent="0.2">
      <c r="C198" s="1"/>
      <c r="D198" s="1"/>
      <c r="E198" s="1"/>
      <c r="F198" s="1"/>
      <c r="G198" s="1"/>
      <c r="N198" s="1"/>
      <c r="O198" s="1"/>
    </row>
    <row r="199" spans="3:15" x14ac:dyDescent="0.2">
      <c r="C199" s="1"/>
      <c r="D199" s="1"/>
      <c r="E199" s="1"/>
      <c r="F199" s="1"/>
      <c r="G199" s="1"/>
      <c r="N199" s="1"/>
      <c r="O199" s="1"/>
    </row>
    <row r="200" spans="3:15" x14ac:dyDescent="0.2">
      <c r="C200" s="1"/>
      <c r="D200" s="1"/>
      <c r="E200" s="1"/>
      <c r="F200" s="1"/>
      <c r="G200" s="1"/>
      <c r="N200" s="1"/>
      <c r="O200" s="1"/>
    </row>
    <row r="201" spans="3:15" x14ac:dyDescent="0.2">
      <c r="C201" s="1"/>
      <c r="D201" s="1"/>
      <c r="E201" s="1"/>
      <c r="F201" s="1"/>
      <c r="G201" s="1"/>
      <c r="N201" s="1"/>
      <c r="O201" s="1"/>
    </row>
    <row r="202" spans="3:15" x14ac:dyDescent="0.2">
      <c r="C202" s="1"/>
      <c r="D202" s="1"/>
      <c r="E202" s="1"/>
      <c r="F202" s="1"/>
      <c r="G202" s="1"/>
      <c r="N202" s="1"/>
      <c r="O202" s="1"/>
    </row>
    <row r="203" spans="3:15" x14ac:dyDescent="0.2">
      <c r="C203" s="1"/>
      <c r="D203" s="1"/>
      <c r="E203" s="1"/>
      <c r="F203" s="1"/>
      <c r="G203" s="1"/>
      <c r="N203" s="1"/>
      <c r="O203" s="1"/>
    </row>
    <row r="204" spans="3:15" x14ac:dyDescent="0.2">
      <c r="C204" s="1"/>
      <c r="D204" s="1"/>
      <c r="E204" s="1"/>
      <c r="F204" s="1"/>
      <c r="G204" s="1"/>
      <c r="N204" s="1"/>
      <c r="O204" s="1"/>
    </row>
    <row r="205" spans="3:15" x14ac:dyDescent="0.2">
      <c r="C205" s="1"/>
      <c r="D205" s="1"/>
      <c r="E205" s="1"/>
      <c r="F205" s="1"/>
      <c r="G205" s="1"/>
      <c r="N205" s="1"/>
      <c r="O205" s="1"/>
    </row>
    <row r="206" spans="3:15" x14ac:dyDescent="0.2">
      <c r="C206" s="1"/>
      <c r="D206" s="1"/>
      <c r="E206" s="1"/>
      <c r="F206" s="1"/>
      <c r="G206" s="1"/>
      <c r="N206" s="1"/>
      <c r="O206" s="1"/>
    </row>
    <row r="207" spans="3:15" x14ac:dyDescent="0.2">
      <c r="C207" s="1"/>
      <c r="D207" s="1"/>
      <c r="E207" s="1"/>
      <c r="F207" s="1"/>
      <c r="G207" s="1"/>
      <c r="N207" s="1"/>
      <c r="O207" s="1"/>
    </row>
    <row r="208" spans="3:15" x14ac:dyDescent="0.2">
      <c r="C208" s="1"/>
      <c r="D208" s="1"/>
      <c r="E208" s="1"/>
      <c r="F208" s="1"/>
      <c r="G208" s="1"/>
      <c r="N208" s="1"/>
      <c r="O208" s="1"/>
    </row>
    <row r="209" spans="3:15" x14ac:dyDescent="0.2">
      <c r="C209" s="1"/>
      <c r="D209" s="1"/>
      <c r="E209" s="1"/>
      <c r="F209" s="1"/>
      <c r="G209" s="1"/>
      <c r="N209" s="1"/>
      <c r="O209" s="1"/>
    </row>
    <row r="210" spans="3:15" x14ac:dyDescent="0.2">
      <c r="C210" s="1"/>
      <c r="D210" s="1"/>
      <c r="E210" s="1"/>
      <c r="F210" s="1"/>
      <c r="G210" s="1"/>
      <c r="N210" s="1"/>
      <c r="O210" s="1"/>
    </row>
    <row r="211" spans="3:15" x14ac:dyDescent="0.2">
      <c r="C211" s="1"/>
      <c r="D211" s="1"/>
      <c r="E211" s="1"/>
      <c r="F211" s="1"/>
      <c r="G211" s="1"/>
      <c r="N211" s="1"/>
      <c r="O211" s="1"/>
    </row>
    <row r="212" spans="3:15" x14ac:dyDescent="0.2">
      <c r="C212" s="1"/>
      <c r="D212" s="1"/>
      <c r="E212" s="1"/>
      <c r="F212" s="1"/>
      <c r="G212" s="1"/>
      <c r="N212" s="1"/>
      <c r="O212" s="1"/>
    </row>
    <row r="213" spans="3:15" x14ac:dyDescent="0.2">
      <c r="C213" s="1"/>
      <c r="D213" s="1"/>
      <c r="E213" s="1"/>
      <c r="F213" s="1"/>
      <c r="G213" s="1"/>
      <c r="N213" s="1"/>
      <c r="O213" s="1"/>
    </row>
    <row r="214" spans="3:15" x14ac:dyDescent="0.2">
      <c r="C214" s="1"/>
      <c r="D214" s="1"/>
      <c r="E214" s="1"/>
      <c r="F214" s="1"/>
      <c r="G214" s="1"/>
      <c r="N214" s="1"/>
      <c r="O214" s="1"/>
    </row>
    <row r="215" spans="3:15" x14ac:dyDescent="0.2">
      <c r="C215" s="1"/>
      <c r="D215" s="1"/>
      <c r="E215" s="1"/>
      <c r="F215" s="1"/>
      <c r="G215" s="1"/>
      <c r="N215" s="1"/>
      <c r="O215" s="1"/>
    </row>
    <row r="216" spans="3:15" x14ac:dyDescent="0.2">
      <c r="C216" s="1"/>
      <c r="D216" s="1"/>
      <c r="E216" s="1"/>
      <c r="F216" s="1"/>
      <c r="G216" s="1"/>
      <c r="N216" s="1"/>
      <c r="O216" s="1"/>
    </row>
    <row r="217" spans="3:15" x14ac:dyDescent="0.2">
      <c r="C217" s="1"/>
      <c r="D217" s="1"/>
      <c r="E217" s="1"/>
      <c r="F217" s="1"/>
      <c r="G217" s="1"/>
      <c r="N217" s="1"/>
      <c r="O217" s="1"/>
    </row>
    <row r="218" spans="3:15" x14ac:dyDescent="0.2">
      <c r="C218" s="1"/>
      <c r="D218" s="1"/>
      <c r="E218" s="1"/>
      <c r="F218" s="1"/>
      <c r="G218" s="1"/>
      <c r="N218" s="1"/>
      <c r="O218" s="1"/>
    </row>
    <row r="219" spans="3:15" x14ac:dyDescent="0.2">
      <c r="C219" s="1"/>
      <c r="D219" s="1"/>
      <c r="E219" s="1"/>
      <c r="F219" s="1"/>
      <c r="G219" s="1"/>
      <c r="N219" s="1"/>
      <c r="O219" s="1"/>
    </row>
    <row r="220" spans="3:15" x14ac:dyDescent="0.2">
      <c r="C220" s="1"/>
      <c r="D220" s="1"/>
      <c r="E220" s="1"/>
      <c r="F220" s="1"/>
      <c r="G220" s="1"/>
      <c r="N220" s="1"/>
      <c r="O220" s="1"/>
    </row>
    <row r="221" spans="3:15" x14ac:dyDescent="0.2">
      <c r="C221" s="1"/>
      <c r="D221" s="1"/>
      <c r="E221" s="1"/>
      <c r="F221" s="1"/>
      <c r="G221" s="1"/>
      <c r="N221" s="1"/>
      <c r="O221" s="1"/>
    </row>
    <row r="222" spans="3:15" x14ac:dyDescent="0.2">
      <c r="C222" s="1"/>
      <c r="D222" s="1"/>
      <c r="E222" s="1"/>
      <c r="F222" s="1"/>
      <c r="G222" s="1"/>
      <c r="N222" s="1"/>
      <c r="O222" s="1"/>
    </row>
    <row r="223" spans="3:15" x14ac:dyDescent="0.2">
      <c r="C223" s="1"/>
      <c r="D223" s="1"/>
      <c r="E223" s="1"/>
      <c r="F223" s="1"/>
      <c r="G223" s="1"/>
      <c r="N223" s="1"/>
      <c r="O223" s="1"/>
    </row>
    <row r="224" spans="3:15" x14ac:dyDescent="0.2">
      <c r="C224" s="1"/>
      <c r="D224" s="1"/>
      <c r="E224" s="1"/>
      <c r="F224" s="1"/>
      <c r="G224" s="1"/>
      <c r="N224" s="1"/>
      <c r="O224" s="1"/>
    </row>
    <row r="225" spans="3:15" x14ac:dyDescent="0.2">
      <c r="C225" s="1"/>
      <c r="D225" s="1"/>
      <c r="E225" s="1"/>
      <c r="F225" s="1"/>
      <c r="G225" s="1"/>
      <c r="N225" s="1"/>
      <c r="O225" s="1"/>
    </row>
    <row r="226" spans="3:15" x14ac:dyDescent="0.2">
      <c r="C226" s="1"/>
      <c r="D226" s="1"/>
      <c r="E226" s="1"/>
      <c r="F226" s="1"/>
      <c r="G226" s="1"/>
      <c r="N226" s="1"/>
      <c r="O226" s="1"/>
    </row>
    <row r="227" spans="3:15" x14ac:dyDescent="0.2">
      <c r="C227" s="1"/>
      <c r="D227" s="1"/>
      <c r="E227" s="1"/>
      <c r="F227" s="1"/>
      <c r="G227" s="1"/>
      <c r="N227" s="1"/>
      <c r="O227" s="1"/>
    </row>
    <row r="228" spans="3:15" x14ac:dyDescent="0.2">
      <c r="C228" s="1"/>
      <c r="D228" s="1"/>
      <c r="E228" s="1"/>
      <c r="F228" s="1"/>
      <c r="G228" s="1"/>
      <c r="N228" s="1"/>
      <c r="O228" s="1"/>
    </row>
    <row r="229" spans="3:15" x14ac:dyDescent="0.2">
      <c r="C229" s="1"/>
      <c r="D229" s="1"/>
      <c r="E229" s="1"/>
      <c r="F229" s="1"/>
      <c r="G229" s="1"/>
      <c r="N229" s="1"/>
      <c r="O229" s="1"/>
    </row>
    <row r="230" spans="3:15" x14ac:dyDescent="0.2">
      <c r="C230" s="1"/>
      <c r="D230" s="1"/>
      <c r="E230" s="1"/>
      <c r="F230" s="1"/>
      <c r="G230" s="1"/>
      <c r="N230" s="1"/>
      <c r="O230" s="1"/>
    </row>
    <row r="231" spans="3:15" x14ac:dyDescent="0.2">
      <c r="C231" s="1"/>
      <c r="D231" s="1"/>
      <c r="E231" s="1"/>
      <c r="F231" s="1"/>
      <c r="G231" s="1"/>
      <c r="N231" s="1"/>
      <c r="O231" s="1"/>
    </row>
    <row r="232" spans="3:15" x14ac:dyDescent="0.2">
      <c r="C232" s="1"/>
      <c r="D232" s="1"/>
      <c r="E232" s="1"/>
      <c r="F232" s="1"/>
      <c r="G232" s="1"/>
      <c r="N232" s="1"/>
      <c r="O232" s="1"/>
    </row>
    <row r="233" spans="3:15" x14ac:dyDescent="0.2">
      <c r="C233" s="1"/>
      <c r="D233" s="1"/>
      <c r="E233" s="1"/>
      <c r="F233" s="1"/>
      <c r="G233" s="1"/>
      <c r="N233" s="1"/>
      <c r="O233" s="1"/>
    </row>
    <row r="234" spans="3:15" x14ac:dyDescent="0.2">
      <c r="C234" s="1"/>
      <c r="D234" s="1"/>
      <c r="E234" s="1"/>
      <c r="F234" s="1"/>
      <c r="G234" s="1"/>
      <c r="N234" s="1"/>
      <c r="O234" s="1"/>
    </row>
    <row r="235" spans="3:15" x14ac:dyDescent="0.2">
      <c r="C235" s="1"/>
      <c r="D235" s="1"/>
      <c r="E235" s="1"/>
      <c r="F235" s="1"/>
      <c r="G235" s="1"/>
      <c r="N235" s="1"/>
      <c r="O235" s="1"/>
    </row>
    <row r="236" spans="3:15" x14ac:dyDescent="0.2">
      <c r="C236" s="1"/>
      <c r="D236" s="1"/>
      <c r="E236" s="1"/>
      <c r="F236" s="1"/>
      <c r="G236" s="1"/>
      <c r="N236" s="1"/>
      <c r="O236" s="1"/>
    </row>
    <row r="237" spans="3:15" x14ac:dyDescent="0.2">
      <c r="C237" s="1"/>
      <c r="D237" s="1"/>
      <c r="E237" s="1"/>
      <c r="F237" s="1"/>
      <c r="G237" s="1"/>
      <c r="N237" s="1"/>
      <c r="O237" s="1"/>
    </row>
    <row r="238" spans="3:15" x14ac:dyDescent="0.2">
      <c r="C238" s="1"/>
      <c r="D238" s="1"/>
      <c r="E238" s="1"/>
      <c r="F238" s="1"/>
      <c r="G238" s="1"/>
      <c r="N238" s="1"/>
      <c r="O238" s="1"/>
    </row>
    <row r="239" spans="3:15" x14ac:dyDescent="0.2">
      <c r="C239" s="1"/>
      <c r="D239" s="1"/>
      <c r="E239" s="1"/>
      <c r="F239" s="1"/>
      <c r="G239" s="1"/>
      <c r="N239" s="1"/>
      <c r="O239" s="1"/>
    </row>
    <row r="240" spans="3:15" x14ac:dyDescent="0.2">
      <c r="C240" s="1"/>
      <c r="D240" s="1"/>
      <c r="E240" s="1"/>
      <c r="F240" s="1"/>
      <c r="G240" s="1"/>
      <c r="N240" s="1"/>
      <c r="O240" s="1"/>
    </row>
    <row r="241" spans="3:15" x14ac:dyDescent="0.2">
      <c r="C241" s="1"/>
      <c r="D241" s="1"/>
      <c r="E241" s="1"/>
      <c r="F241" s="1"/>
      <c r="G241" s="1"/>
      <c r="N241" s="1"/>
      <c r="O241" s="1"/>
    </row>
    <row r="242" spans="3:15" x14ac:dyDescent="0.2">
      <c r="C242" s="1"/>
      <c r="D242" s="1"/>
      <c r="E242" s="1"/>
      <c r="F242" s="1"/>
      <c r="G242" s="1"/>
      <c r="N242" s="1"/>
      <c r="O242" s="1"/>
    </row>
    <row r="243" spans="3:15" x14ac:dyDescent="0.2">
      <c r="C243" s="1"/>
      <c r="D243" s="1"/>
      <c r="E243" s="1"/>
      <c r="F243" s="1"/>
      <c r="G243" s="1"/>
      <c r="N243" s="1"/>
      <c r="O243" s="1"/>
    </row>
    <row r="244" spans="3:15" x14ac:dyDescent="0.2">
      <c r="C244" s="1"/>
      <c r="D244" s="1"/>
      <c r="E244" s="1"/>
      <c r="F244" s="1"/>
      <c r="G244" s="1"/>
      <c r="N244" s="1"/>
      <c r="O244" s="1"/>
    </row>
    <row r="245" spans="3:15" x14ac:dyDescent="0.2">
      <c r="C245" s="1"/>
      <c r="D245" s="1"/>
      <c r="E245" s="1"/>
      <c r="F245" s="1"/>
      <c r="G245" s="1"/>
      <c r="N245" s="1"/>
      <c r="O245" s="1"/>
    </row>
    <row r="246" spans="3:15" x14ac:dyDescent="0.2">
      <c r="C246" s="1"/>
      <c r="D246" s="1"/>
      <c r="E246" s="1"/>
      <c r="F246" s="1"/>
      <c r="G246" s="1"/>
      <c r="N246" s="1"/>
      <c r="O246" s="1"/>
    </row>
    <row r="247" spans="3:15" x14ac:dyDescent="0.2">
      <c r="C247" s="1"/>
      <c r="D247" s="1"/>
      <c r="E247" s="1"/>
      <c r="F247" s="1"/>
      <c r="G247" s="1"/>
      <c r="N247" s="1"/>
      <c r="O247" s="1"/>
    </row>
    <row r="248" spans="3:15" x14ac:dyDescent="0.2">
      <c r="C248" s="1"/>
      <c r="D248" s="1"/>
      <c r="E248" s="1"/>
      <c r="F248" s="1"/>
      <c r="G248" s="1"/>
      <c r="N248" s="1"/>
      <c r="O248" s="1"/>
    </row>
    <row r="249" spans="3:15" x14ac:dyDescent="0.2">
      <c r="C249" s="1"/>
      <c r="D249" s="1"/>
      <c r="E249" s="1"/>
      <c r="F249" s="1"/>
      <c r="G249" s="1"/>
      <c r="N249" s="1"/>
      <c r="O249" s="1"/>
    </row>
    <row r="250" spans="3:15" x14ac:dyDescent="0.2">
      <c r="C250" s="1"/>
      <c r="D250" s="1"/>
      <c r="E250" s="1"/>
      <c r="F250" s="1"/>
      <c r="G250" s="1"/>
      <c r="N250" s="1"/>
      <c r="O250" s="1"/>
    </row>
    <row r="251" spans="3:15" x14ac:dyDescent="0.2">
      <c r="C251" s="1"/>
      <c r="D251" s="1"/>
      <c r="E251" s="1"/>
      <c r="F251" s="1"/>
      <c r="G251" s="1"/>
      <c r="N251" s="1"/>
      <c r="O251" s="1"/>
    </row>
    <row r="252" spans="3:15" x14ac:dyDescent="0.2">
      <c r="C252" s="1"/>
      <c r="D252" s="1"/>
      <c r="E252" s="1"/>
      <c r="F252" s="1"/>
      <c r="G252" s="1"/>
      <c r="N252" s="1"/>
      <c r="O252" s="1"/>
    </row>
    <row r="253" spans="3:15" x14ac:dyDescent="0.2">
      <c r="C253" s="1"/>
      <c r="D253" s="1"/>
      <c r="E253" s="1"/>
      <c r="F253" s="1"/>
      <c r="G253" s="1"/>
      <c r="N253" s="1"/>
      <c r="O253" s="1"/>
    </row>
    <row r="254" spans="3:15" x14ac:dyDescent="0.2">
      <c r="C254" s="1"/>
      <c r="D254" s="1"/>
      <c r="E254" s="1"/>
      <c r="F254" s="1"/>
      <c r="G254" s="1"/>
      <c r="N254" s="1"/>
      <c r="O254" s="1"/>
    </row>
    <row r="255" spans="3:15" x14ac:dyDescent="0.2">
      <c r="C255" s="1"/>
      <c r="D255" s="1"/>
      <c r="E255" s="1"/>
      <c r="F255" s="1"/>
      <c r="G255" s="1"/>
      <c r="N255" s="1"/>
      <c r="O255" s="1"/>
    </row>
    <row r="256" spans="3:15" x14ac:dyDescent="0.2">
      <c r="C256" s="1"/>
      <c r="D256" s="1"/>
      <c r="E256" s="1"/>
      <c r="F256" s="1"/>
      <c r="G256" s="1"/>
      <c r="N256" s="1"/>
      <c r="O256" s="1"/>
    </row>
    <row r="257" spans="3:15" x14ac:dyDescent="0.2">
      <c r="C257" s="1"/>
      <c r="D257" s="1"/>
      <c r="E257" s="1"/>
      <c r="F257" s="1"/>
      <c r="G257" s="1"/>
      <c r="N257" s="1"/>
      <c r="O257" s="1"/>
    </row>
    <row r="258" spans="3:15" x14ac:dyDescent="0.2">
      <c r="C258" s="1"/>
      <c r="D258" s="1"/>
      <c r="E258" s="1"/>
      <c r="F258" s="1"/>
      <c r="G258" s="1"/>
      <c r="N258" s="1"/>
      <c r="O258" s="1"/>
    </row>
    <row r="259" spans="3:15" x14ac:dyDescent="0.2">
      <c r="C259" s="1"/>
      <c r="D259" s="1"/>
      <c r="E259" s="1"/>
      <c r="F259" s="1"/>
      <c r="G259" s="1"/>
      <c r="N259" s="1"/>
      <c r="O259" s="1"/>
    </row>
    <row r="260" spans="3:15" x14ac:dyDescent="0.2">
      <c r="C260" s="1"/>
      <c r="D260" s="1"/>
      <c r="E260" s="1"/>
      <c r="F260" s="1"/>
      <c r="G260" s="1"/>
      <c r="N260" s="1"/>
      <c r="O260" s="1"/>
    </row>
    <row r="261" spans="3:15" x14ac:dyDescent="0.2">
      <c r="C261" s="1"/>
      <c r="D261" s="1"/>
      <c r="E261" s="1"/>
      <c r="F261" s="1"/>
      <c r="G261" s="1"/>
      <c r="N261" s="1"/>
      <c r="O261" s="1"/>
    </row>
    <row r="262" spans="3:15" x14ac:dyDescent="0.2">
      <c r="C262" s="1"/>
      <c r="D262" s="1"/>
      <c r="E262" s="1"/>
      <c r="F262" s="1"/>
      <c r="G262" s="1"/>
      <c r="N262" s="1"/>
      <c r="O262" s="1"/>
    </row>
    <row r="263" spans="3:15" x14ac:dyDescent="0.2">
      <c r="C263" s="1"/>
      <c r="D263" s="1"/>
      <c r="E263" s="1"/>
      <c r="F263" s="1"/>
      <c r="G263" s="1"/>
      <c r="N263" s="1"/>
      <c r="O263" s="1"/>
    </row>
    <row r="264" spans="3:15" x14ac:dyDescent="0.2">
      <c r="C264" s="1"/>
      <c r="D264" s="1"/>
      <c r="E264" s="1"/>
      <c r="F264" s="1"/>
      <c r="G264" s="1"/>
      <c r="N264" s="1"/>
      <c r="O264" s="1"/>
    </row>
    <row r="265" spans="3:15" x14ac:dyDescent="0.2">
      <c r="C265" s="1"/>
      <c r="D265" s="1"/>
      <c r="E265" s="1"/>
      <c r="F265" s="1"/>
      <c r="G265" s="1"/>
      <c r="N265" s="1"/>
      <c r="O265" s="1"/>
    </row>
    <row r="266" spans="3:15" x14ac:dyDescent="0.2">
      <c r="C266" s="1"/>
      <c r="D266" s="1"/>
      <c r="E266" s="1"/>
      <c r="F266" s="1"/>
      <c r="G266" s="1"/>
      <c r="N266" s="1"/>
      <c r="O266" s="1"/>
    </row>
    <row r="267" spans="3:15" x14ac:dyDescent="0.2">
      <c r="C267" s="1"/>
      <c r="D267" s="1"/>
      <c r="E267" s="1"/>
      <c r="F267" s="1"/>
      <c r="G267" s="1"/>
      <c r="N267" s="1"/>
      <c r="O267" s="1"/>
    </row>
    <row r="268" spans="3:15" x14ac:dyDescent="0.2">
      <c r="C268" s="1"/>
      <c r="D268" s="1"/>
      <c r="E268" s="1"/>
      <c r="F268" s="1"/>
      <c r="G268" s="1"/>
      <c r="N268" s="1"/>
      <c r="O268" s="1"/>
    </row>
    <row r="269" spans="3:15" x14ac:dyDescent="0.2">
      <c r="C269" s="1"/>
      <c r="D269" s="1"/>
      <c r="E269" s="1"/>
      <c r="F269" s="1"/>
      <c r="G269" s="1"/>
      <c r="N269" s="1"/>
      <c r="O269" s="1"/>
    </row>
    <row r="270" spans="3:15" x14ac:dyDescent="0.2">
      <c r="C270" s="1"/>
      <c r="D270" s="1"/>
      <c r="E270" s="1"/>
      <c r="F270" s="1"/>
      <c r="G270" s="1"/>
      <c r="N270" s="1"/>
      <c r="O270" s="1"/>
    </row>
    <row r="271" spans="3:15" x14ac:dyDescent="0.2">
      <c r="C271" s="1"/>
      <c r="D271" s="1"/>
      <c r="E271" s="1"/>
      <c r="F271" s="1"/>
      <c r="G271" s="1"/>
      <c r="N271" s="1"/>
      <c r="O271" s="1"/>
    </row>
    <row r="272" spans="3:15" x14ac:dyDescent="0.2">
      <c r="C272" s="1"/>
      <c r="D272" s="1"/>
      <c r="E272" s="1"/>
      <c r="F272" s="1"/>
      <c r="G272" s="1"/>
      <c r="N272" s="1"/>
      <c r="O272" s="1"/>
    </row>
    <row r="273" spans="3:15" x14ac:dyDescent="0.2">
      <c r="C273" s="1"/>
      <c r="D273" s="1"/>
      <c r="E273" s="1"/>
      <c r="F273" s="1"/>
      <c r="G273" s="1"/>
      <c r="N273" s="1"/>
      <c r="O273" s="1"/>
    </row>
    <row r="274" spans="3:15" x14ac:dyDescent="0.2">
      <c r="C274" s="1"/>
      <c r="D274" s="1"/>
      <c r="E274" s="1"/>
      <c r="F274" s="1"/>
      <c r="G274" s="1"/>
      <c r="N274" s="1"/>
      <c r="O274" s="1"/>
    </row>
    <row r="275" spans="3:15" x14ac:dyDescent="0.2">
      <c r="C275" s="1"/>
      <c r="D275" s="1"/>
      <c r="E275" s="1"/>
      <c r="F275" s="1"/>
      <c r="G275" s="1"/>
      <c r="N275" s="1"/>
      <c r="O275" s="1"/>
    </row>
    <row r="276" spans="3:15" x14ac:dyDescent="0.2">
      <c r="C276" s="1"/>
      <c r="D276" s="1"/>
      <c r="E276" s="1"/>
      <c r="F276" s="1"/>
      <c r="G276" s="1"/>
      <c r="N276" s="1"/>
      <c r="O276" s="1"/>
    </row>
    <row r="277" spans="3:15" x14ac:dyDescent="0.2">
      <c r="C277" s="1"/>
      <c r="D277" s="1"/>
      <c r="E277" s="1"/>
      <c r="F277" s="1"/>
      <c r="G277" s="1"/>
      <c r="N277" s="1"/>
      <c r="O277" s="1"/>
    </row>
    <row r="278" spans="3:15" x14ac:dyDescent="0.2">
      <c r="C278" s="1"/>
      <c r="D278" s="1"/>
      <c r="E278" s="1"/>
      <c r="F278" s="1"/>
      <c r="G278" s="1"/>
      <c r="N278" s="1"/>
      <c r="O278" s="1"/>
    </row>
    <row r="279" spans="3:15" x14ac:dyDescent="0.2">
      <c r="C279" s="1"/>
      <c r="D279" s="1"/>
      <c r="E279" s="1"/>
      <c r="F279" s="1"/>
      <c r="G279" s="1"/>
      <c r="N279" s="1"/>
      <c r="O279" s="1"/>
    </row>
    <row r="280" spans="3:15" x14ac:dyDescent="0.2">
      <c r="C280" s="1"/>
      <c r="D280" s="1"/>
      <c r="E280" s="1"/>
      <c r="F280" s="1"/>
      <c r="G280" s="1"/>
      <c r="N280" s="1"/>
      <c r="O280" s="1"/>
    </row>
    <row r="281" spans="3:15" x14ac:dyDescent="0.2">
      <c r="C281" s="1"/>
      <c r="D281" s="1"/>
      <c r="E281" s="1"/>
      <c r="F281" s="1"/>
      <c r="G281" s="1"/>
      <c r="N281" s="1"/>
      <c r="O281" s="1"/>
    </row>
    <row r="282" spans="3:15" x14ac:dyDescent="0.2">
      <c r="C282" s="1"/>
      <c r="D282" s="1"/>
      <c r="E282" s="1"/>
      <c r="F282" s="1"/>
      <c r="G282" s="1"/>
      <c r="N282" s="1"/>
      <c r="O282" s="1"/>
    </row>
    <row r="283" spans="3:15" x14ac:dyDescent="0.2">
      <c r="C283" s="1"/>
      <c r="D283" s="1"/>
      <c r="E283" s="1"/>
      <c r="F283" s="1"/>
      <c r="G283" s="1"/>
      <c r="N283" s="1"/>
      <c r="O283" s="1"/>
    </row>
    <row r="284" spans="3:15" x14ac:dyDescent="0.2">
      <c r="C284" s="1"/>
      <c r="D284" s="1"/>
      <c r="E284" s="1"/>
      <c r="F284" s="1"/>
      <c r="G284" s="1"/>
      <c r="N284" s="1"/>
      <c r="O284" s="1"/>
    </row>
    <row r="285" spans="3:15" x14ac:dyDescent="0.2">
      <c r="C285" s="1"/>
      <c r="D285" s="1"/>
      <c r="E285" s="1"/>
      <c r="F285" s="1"/>
      <c r="G285" s="1"/>
      <c r="N285" s="1"/>
      <c r="O285" s="1"/>
    </row>
    <row r="286" spans="3:15" x14ac:dyDescent="0.2">
      <c r="C286" s="1"/>
      <c r="D286" s="1"/>
      <c r="E286" s="1"/>
      <c r="F286" s="1"/>
      <c r="G286" s="1"/>
      <c r="N286" s="1"/>
      <c r="O286" s="1"/>
    </row>
    <row r="287" spans="3:15" x14ac:dyDescent="0.2">
      <c r="C287" s="1"/>
      <c r="D287" s="1"/>
      <c r="E287" s="1"/>
      <c r="F287" s="1"/>
      <c r="G287" s="1"/>
      <c r="N287" s="1"/>
      <c r="O287" s="1"/>
    </row>
    <row r="288" spans="3:15" x14ac:dyDescent="0.2">
      <c r="C288" s="1"/>
      <c r="D288" s="1"/>
      <c r="E288" s="1"/>
      <c r="F288" s="1"/>
      <c r="G288" s="1"/>
      <c r="N288" s="1"/>
      <c r="O288" s="1"/>
    </row>
    <row r="289" spans="3:15" x14ac:dyDescent="0.2">
      <c r="C289" s="1"/>
      <c r="D289" s="1"/>
      <c r="E289" s="1"/>
      <c r="F289" s="1"/>
      <c r="G289" s="1"/>
      <c r="N289" s="1"/>
      <c r="O289" s="1"/>
    </row>
    <row r="290" spans="3:15" x14ac:dyDescent="0.2">
      <c r="C290" s="1"/>
      <c r="D290" s="1"/>
      <c r="E290" s="1"/>
      <c r="F290" s="1"/>
      <c r="G290" s="1"/>
      <c r="N290" s="1"/>
      <c r="O290" s="1"/>
    </row>
    <row r="291" spans="3:15" x14ac:dyDescent="0.2">
      <c r="C291" s="1"/>
      <c r="D291" s="1"/>
      <c r="E291" s="1"/>
      <c r="F291" s="1"/>
      <c r="G291" s="1"/>
      <c r="N291" s="1"/>
      <c r="O291" s="1"/>
    </row>
    <row r="292" spans="3:15" x14ac:dyDescent="0.2">
      <c r="C292" s="1"/>
      <c r="D292" s="1"/>
      <c r="E292" s="1"/>
      <c r="F292" s="1"/>
      <c r="G292" s="1"/>
      <c r="N292" s="1"/>
      <c r="O292" s="1"/>
    </row>
    <row r="293" spans="3:15" x14ac:dyDescent="0.2">
      <c r="C293" s="1"/>
      <c r="D293" s="1"/>
      <c r="E293" s="1"/>
      <c r="F293" s="1"/>
      <c r="G293" s="1"/>
      <c r="N293" s="1"/>
      <c r="O293" s="1"/>
    </row>
    <row r="294" spans="3:15" x14ac:dyDescent="0.2">
      <c r="C294" s="1"/>
      <c r="D294" s="1"/>
      <c r="E294" s="1"/>
      <c r="F294" s="1"/>
      <c r="G294" s="1"/>
      <c r="N294" s="1"/>
      <c r="O294" s="1"/>
    </row>
    <row r="295" spans="3:15" x14ac:dyDescent="0.2">
      <c r="C295" s="1"/>
      <c r="D295" s="1"/>
      <c r="E295" s="1"/>
      <c r="F295" s="1"/>
      <c r="G295" s="1"/>
      <c r="N295" s="1"/>
      <c r="O295" s="1"/>
    </row>
    <row r="296" spans="3:15" x14ac:dyDescent="0.2">
      <c r="C296" s="1"/>
      <c r="D296" s="1"/>
      <c r="E296" s="1"/>
      <c r="F296" s="1"/>
      <c r="G296" s="1"/>
      <c r="N296" s="1"/>
      <c r="O296" s="1"/>
    </row>
    <row r="297" spans="3:15" x14ac:dyDescent="0.2">
      <c r="C297" s="1"/>
      <c r="D297" s="1"/>
      <c r="E297" s="1"/>
      <c r="F297" s="1"/>
      <c r="G297" s="1"/>
      <c r="N297" s="1"/>
      <c r="O297" s="1"/>
    </row>
    <row r="298" spans="3:15" x14ac:dyDescent="0.2">
      <c r="C298" s="1"/>
      <c r="D298" s="1"/>
      <c r="E298" s="1"/>
      <c r="F298" s="1"/>
      <c r="N298" s="1"/>
      <c r="O298" s="1"/>
    </row>
    <row r="299" spans="3:15" x14ac:dyDescent="0.2">
      <c r="C299" s="1"/>
      <c r="D299" s="1"/>
      <c r="E299" s="1"/>
      <c r="F299" s="1"/>
      <c r="N299" s="1"/>
      <c r="O299" s="1"/>
    </row>
    <row r="300" spans="3:15" x14ac:dyDescent="0.2">
      <c r="C300" s="1"/>
      <c r="D300" s="1"/>
      <c r="E300" s="1"/>
      <c r="F300" s="1"/>
      <c r="N300" s="1"/>
      <c r="O300" s="1"/>
    </row>
    <row r="301" spans="3:15" x14ac:dyDescent="0.2">
      <c r="C301" s="1"/>
      <c r="D301" s="1"/>
      <c r="E301" s="1"/>
      <c r="F301" s="1"/>
      <c r="N301" s="1"/>
      <c r="O301" s="1"/>
    </row>
    <row r="302" spans="3:15" x14ac:dyDescent="0.2">
      <c r="C302" s="1"/>
      <c r="D302" s="1"/>
      <c r="E302" s="1"/>
      <c r="F302" s="1"/>
      <c r="N302" s="1"/>
      <c r="O302" s="1"/>
    </row>
    <row r="303" spans="3:15" x14ac:dyDescent="0.2">
      <c r="C303" s="1"/>
      <c r="D303" s="1"/>
      <c r="E303" s="1"/>
      <c r="F303" s="1"/>
      <c r="N303" s="1"/>
      <c r="O303" s="1"/>
    </row>
    <row r="304" spans="3:15" x14ac:dyDescent="0.2">
      <c r="C304" s="1"/>
      <c r="D304" s="1"/>
      <c r="E304" s="1"/>
      <c r="F304" s="1"/>
      <c r="N304" s="1"/>
      <c r="O304" s="1"/>
    </row>
    <row r="305" spans="3:15" x14ac:dyDescent="0.2">
      <c r="C305" s="1"/>
      <c r="D305" s="1"/>
      <c r="E305" s="1"/>
      <c r="F305" s="1"/>
      <c r="N305" s="1"/>
      <c r="O305" s="1"/>
    </row>
    <row r="306" spans="3:15" x14ac:dyDescent="0.2">
      <c r="C306" s="1"/>
      <c r="D306" s="1"/>
      <c r="E306" s="1"/>
      <c r="F306" s="1"/>
      <c r="N306" s="1"/>
      <c r="O306" s="1"/>
    </row>
    <row r="307" spans="3:15" x14ac:dyDescent="0.2">
      <c r="C307" s="1"/>
      <c r="D307" s="1"/>
      <c r="E307" s="1"/>
      <c r="F307" s="1"/>
      <c r="N307" s="1"/>
      <c r="O307" s="1"/>
    </row>
    <row r="308" spans="3:15" x14ac:dyDescent="0.2">
      <c r="C308" s="1"/>
      <c r="D308" s="1"/>
      <c r="E308" s="1"/>
      <c r="F308" s="1"/>
      <c r="N308" s="1"/>
      <c r="O308" s="1"/>
    </row>
    <row r="309" spans="3:15" x14ac:dyDescent="0.2">
      <c r="C309" s="1"/>
      <c r="D309" s="1"/>
      <c r="E309" s="1"/>
      <c r="F309" s="1"/>
      <c r="N309" s="1"/>
      <c r="O309" s="1"/>
    </row>
    <row r="310" spans="3:15" x14ac:dyDescent="0.2">
      <c r="C310" s="1"/>
      <c r="D310" s="1"/>
      <c r="E310" s="1"/>
      <c r="F310" s="1"/>
      <c r="N310" s="1"/>
      <c r="O310" s="1"/>
    </row>
    <row r="311" spans="3:15" x14ac:dyDescent="0.2">
      <c r="C311" s="1"/>
      <c r="D311" s="1"/>
      <c r="E311" s="1"/>
      <c r="F311" s="1"/>
      <c r="G311" s="1"/>
      <c r="N311" s="1"/>
      <c r="O311" s="1"/>
    </row>
    <row r="312" spans="3:15" x14ac:dyDescent="0.2">
      <c r="C312" s="1"/>
      <c r="D312" s="1"/>
      <c r="E312" s="1"/>
      <c r="F312" s="1"/>
      <c r="G312" s="1"/>
      <c r="N312" s="1"/>
      <c r="O312" s="1"/>
    </row>
  </sheetData>
  <pageMargins left="0.45" right="0.45" top="0.5" bottom="0.5" header="0.3" footer="0.3"/>
  <pageSetup scale="55" fitToHeight="5" orientation="landscape" verticalDpi="599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topLeftCell="A7" zoomScale="80" zoomScaleNormal="80" workbookViewId="0">
      <selection activeCell="H9" sqref="H9"/>
    </sheetView>
  </sheetViews>
  <sheetFormatPr defaultColWidth="9.140625" defaultRowHeight="15" x14ac:dyDescent="0.2"/>
  <cols>
    <col min="1" max="1" width="49.28515625" style="1" customWidth="1"/>
    <col min="2" max="2" width="8.140625" style="1" bestFit="1" customWidth="1"/>
    <col min="3" max="3" width="15" style="97" bestFit="1" customWidth="1"/>
    <col min="4" max="4" width="14.85546875" style="97" bestFit="1" customWidth="1"/>
    <col min="5" max="5" width="2.5703125" style="1" customWidth="1"/>
    <col min="6" max="6" width="11" style="98" bestFit="1" customWidth="1"/>
    <col min="7" max="7" width="14.28515625" style="69" bestFit="1" customWidth="1"/>
    <col min="8" max="8" width="12.28515625" style="1" bestFit="1" customWidth="1"/>
    <col min="9" max="9" width="14.28515625" style="1" bestFit="1" customWidth="1"/>
    <col min="10" max="10" width="8.42578125" style="1" bestFit="1" customWidth="1"/>
    <col min="11" max="11" width="12.28515625" style="1" bestFit="1" customWidth="1"/>
    <col min="12" max="12" width="8.28515625" style="1" bestFit="1" customWidth="1"/>
    <col min="13" max="13" width="9.7109375" style="1" bestFit="1" customWidth="1"/>
    <col min="14" max="14" width="4.85546875" style="1" customWidth="1"/>
    <col min="15" max="15" width="10.85546875" style="99" bestFit="1" customWidth="1"/>
    <col min="16" max="16" width="12.85546875" style="1" bestFit="1" customWidth="1"/>
    <col min="17" max="17" width="14.28515625" style="1" bestFit="1" customWidth="1"/>
    <col min="18" max="19" width="10.85546875" style="1" bestFit="1" customWidth="1"/>
    <col min="20" max="20" width="11.28515625" style="1" bestFit="1" customWidth="1"/>
    <col min="21" max="21" width="9.140625" style="1"/>
    <col min="22" max="22" width="12.85546875" style="1" bestFit="1" customWidth="1"/>
    <col min="23" max="23" width="10.42578125" style="1" bestFit="1" customWidth="1"/>
    <col min="24" max="16384" width="9.140625" style="1"/>
  </cols>
  <sheetData>
    <row r="1" spans="1:20" ht="20.25" x14ac:dyDescent="0.3">
      <c r="A1" s="7" t="s">
        <v>0</v>
      </c>
    </row>
    <row r="2" spans="1:20" ht="15.75" x14ac:dyDescent="0.25">
      <c r="A2" s="8" t="s">
        <v>160</v>
      </c>
      <c r="H2" s="72">
        <f ca="1">+'Revenue &amp; Expense Adj.'!K19-K29</f>
        <v>60.192909332545241</v>
      </c>
    </row>
    <row r="3" spans="1:20" ht="15.75" x14ac:dyDescent="0.25">
      <c r="A3" s="8" t="s">
        <v>159</v>
      </c>
      <c r="C3" s="100"/>
      <c r="D3" s="100"/>
      <c r="E3" s="100"/>
    </row>
    <row r="4" spans="1:20" ht="15.75" x14ac:dyDescent="0.25">
      <c r="C4" s="101"/>
      <c r="D4" s="101"/>
      <c r="E4" s="102"/>
    </row>
    <row r="5" spans="1:20" ht="15.75" x14ac:dyDescent="0.25">
      <c r="G5" s="103"/>
      <c r="H5" s="12"/>
      <c r="I5" s="13" t="s">
        <v>2</v>
      </c>
      <c r="J5" s="13"/>
      <c r="K5" s="13"/>
      <c r="L5" s="13" t="s">
        <v>3</v>
      </c>
      <c r="M5" s="104"/>
      <c r="N5" s="105"/>
      <c r="O5" s="106"/>
      <c r="P5" s="14"/>
      <c r="Q5" s="16" t="s">
        <v>4</v>
      </c>
      <c r="R5" s="17"/>
      <c r="S5" s="14"/>
      <c r="T5" s="18"/>
    </row>
    <row r="6" spans="1:20" ht="15.75" x14ac:dyDescent="0.25">
      <c r="B6" s="19" t="s">
        <v>5</v>
      </c>
      <c r="C6" s="20" t="s">
        <v>134</v>
      </c>
      <c r="D6" s="20" t="s">
        <v>134</v>
      </c>
      <c r="F6" s="107" t="s">
        <v>7</v>
      </c>
      <c r="G6" s="108" t="s">
        <v>8</v>
      </c>
      <c r="H6" s="13" t="s">
        <v>9</v>
      </c>
      <c r="I6" s="13" t="s">
        <v>8</v>
      </c>
      <c r="J6" s="13" t="s">
        <v>10</v>
      </c>
      <c r="K6" s="13" t="s">
        <v>11</v>
      </c>
      <c r="L6" s="13" t="s">
        <v>12</v>
      </c>
      <c r="M6" s="109" t="s">
        <v>21</v>
      </c>
      <c r="N6" s="110"/>
      <c r="O6" s="106" t="s">
        <v>13</v>
      </c>
      <c r="P6" s="111"/>
      <c r="Q6" s="13" t="s">
        <v>15</v>
      </c>
      <c r="R6" s="26" t="s">
        <v>3</v>
      </c>
      <c r="S6" s="112"/>
      <c r="T6" s="113"/>
    </row>
    <row r="7" spans="1:20" s="42" customFormat="1" ht="16.5" thickBot="1" x14ac:dyDescent="0.3">
      <c r="A7" s="45" t="s">
        <v>28</v>
      </c>
      <c r="B7" s="28" t="s">
        <v>17</v>
      </c>
      <c r="C7" s="114" t="s">
        <v>18</v>
      </c>
      <c r="D7" s="114" t="s">
        <v>19</v>
      </c>
      <c r="F7" s="115" t="s">
        <v>135</v>
      </c>
      <c r="G7" s="116" t="s">
        <v>11</v>
      </c>
      <c r="H7" s="33" t="s">
        <v>21</v>
      </c>
      <c r="I7" s="33" t="s">
        <v>11</v>
      </c>
      <c r="J7" s="33" t="s">
        <v>22</v>
      </c>
      <c r="K7" s="33" t="s">
        <v>22</v>
      </c>
      <c r="L7" s="33" t="s">
        <v>23</v>
      </c>
      <c r="M7" s="117" t="s">
        <v>136</v>
      </c>
      <c r="N7" s="118"/>
      <c r="O7" s="119" t="s">
        <v>137</v>
      </c>
      <c r="P7" s="33" t="s">
        <v>25</v>
      </c>
      <c r="Q7" s="37" t="s">
        <v>26</v>
      </c>
      <c r="R7" s="120" t="s">
        <v>15</v>
      </c>
      <c r="S7" s="120" t="s">
        <v>15</v>
      </c>
      <c r="T7" s="121" t="s">
        <v>16</v>
      </c>
    </row>
    <row r="8" spans="1:20" ht="16.5" thickBot="1" x14ac:dyDescent="0.3">
      <c r="A8" s="122" t="s">
        <v>138</v>
      </c>
      <c r="B8" s="51"/>
      <c r="H8" s="198">
        <v>4.2779999999999999E-2</v>
      </c>
      <c r="Q8" s="199">
        <f>+'Gross up Factor'!B6</f>
        <v>134.59</v>
      </c>
    </row>
    <row r="9" spans="1:20" x14ac:dyDescent="0.2">
      <c r="A9" s="52" t="s">
        <v>139</v>
      </c>
      <c r="B9" s="52">
        <v>100</v>
      </c>
      <c r="C9" s="97">
        <v>35</v>
      </c>
      <c r="D9" s="97">
        <v>35</v>
      </c>
      <c r="F9" s="123">
        <v>7.7</v>
      </c>
      <c r="G9" s="124">
        <f>+F9*D9*12</f>
        <v>3234</v>
      </c>
      <c r="H9" s="125">
        <f>ROUND(+F9*(1+$H$8),2)</f>
        <v>8.0299999999999994</v>
      </c>
      <c r="I9" s="69">
        <f>+H9*D9*12</f>
        <v>3372.5999999999995</v>
      </c>
      <c r="J9" s="74">
        <f>+H9-F9</f>
        <v>0.32999999999999918</v>
      </c>
      <c r="K9" s="72">
        <f>+I9-G9</f>
        <v>138.59999999999945</v>
      </c>
      <c r="L9" s="73">
        <f>+J9/F9</f>
        <v>4.2857142857142753E-2</v>
      </c>
      <c r="O9" s="99">
        <f>+O13</f>
        <v>13.600000000000001</v>
      </c>
      <c r="P9" s="96">
        <f>+O9*D9*12/2000</f>
        <v>2.8560000000000003</v>
      </c>
      <c r="Q9" s="69">
        <f>+$Q$8*P9</f>
        <v>384.38904000000008</v>
      </c>
      <c r="R9" s="126">
        <f>+Q9/I9</f>
        <v>0.11397409713574101</v>
      </c>
      <c r="S9" s="98">
        <f>ROUND(+H9*R9,2)</f>
        <v>0.92</v>
      </c>
      <c r="T9" s="74">
        <f>+H9-S9</f>
        <v>7.1099999999999994</v>
      </c>
    </row>
    <row r="10" spans="1:20" x14ac:dyDescent="0.2">
      <c r="A10" s="52" t="s">
        <v>140</v>
      </c>
      <c r="B10" s="52">
        <v>100</v>
      </c>
      <c r="C10" s="97">
        <v>6</v>
      </c>
      <c r="D10" s="97">
        <v>3</v>
      </c>
      <c r="F10" s="123">
        <f>+F9*2</f>
        <v>15.4</v>
      </c>
      <c r="G10" s="124">
        <f t="shared" ref="G10:G28" si="0">+F10*D10*12</f>
        <v>554.40000000000009</v>
      </c>
      <c r="H10" s="125">
        <f t="shared" ref="H10:H28" si="1">ROUND(+F10*(1+$H$8),2)</f>
        <v>16.059999999999999</v>
      </c>
      <c r="I10" s="69">
        <f t="shared" ref="I10:I28" si="2">+H10*D10*12</f>
        <v>578.15999999999985</v>
      </c>
      <c r="J10" s="74">
        <f t="shared" ref="J10:K28" si="3">+H10-F10</f>
        <v>0.65999999999999837</v>
      </c>
      <c r="K10" s="72">
        <f t="shared" si="3"/>
        <v>23.759999999999764</v>
      </c>
      <c r="L10" s="73">
        <f t="shared" ref="L10:L28" si="4">+J10/F10</f>
        <v>4.2857142857142753E-2</v>
      </c>
      <c r="O10" s="99">
        <f>+O9</f>
        <v>13.600000000000001</v>
      </c>
      <c r="P10" s="96">
        <f>+O10*C10*12/2000</f>
        <v>0.48960000000000004</v>
      </c>
      <c r="Q10" s="69">
        <f t="shared" ref="Q10:Q28" si="5">+$Q$8*P10</f>
        <v>65.895264000000012</v>
      </c>
      <c r="R10" s="126">
        <f t="shared" ref="R10:R29" si="6">+Q10/I10</f>
        <v>0.11397409713574103</v>
      </c>
      <c r="S10" s="98">
        <f t="shared" ref="S10:S28" si="7">ROUND(+H10*R10,2)</f>
        <v>1.83</v>
      </c>
      <c r="T10" s="74">
        <f t="shared" ref="T10:T28" si="8">+H10-S10</f>
        <v>14.229999999999999</v>
      </c>
    </row>
    <row r="11" spans="1:20" x14ac:dyDescent="0.2">
      <c r="A11" s="52" t="s">
        <v>141</v>
      </c>
      <c r="B11" s="52">
        <v>100</v>
      </c>
      <c r="C11" s="97">
        <v>215</v>
      </c>
      <c r="D11" s="97">
        <v>215</v>
      </c>
      <c r="F11" s="123">
        <v>8.5</v>
      </c>
      <c r="G11" s="124">
        <f t="shared" si="0"/>
        <v>21930</v>
      </c>
      <c r="H11" s="125">
        <f t="shared" si="1"/>
        <v>8.86</v>
      </c>
      <c r="I11" s="69">
        <f t="shared" si="2"/>
        <v>22858.799999999999</v>
      </c>
      <c r="J11" s="74">
        <f t="shared" si="3"/>
        <v>0.35999999999999943</v>
      </c>
      <c r="K11" s="72">
        <f t="shared" si="3"/>
        <v>928.79999999999927</v>
      </c>
      <c r="L11" s="73">
        <f t="shared" si="4"/>
        <v>4.2352941176470524E-2</v>
      </c>
      <c r="O11" s="99">
        <f>+O15*1.235</f>
        <v>26.873600000000003</v>
      </c>
      <c r="P11" s="96">
        <f>+O11*D11*12/2000</f>
        <v>34.666944000000001</v>
      </c>
      <c r="Q11" s="69">
        <f t="shared" si="5"/>
        <v>4665.8239929600004</v>
      </c>
      <c r="R11" s="126">
        <f t="shared" si="6"/>
        <v>0.20411500135440183</v>
      </c>
      <c r="S11" s="98">
        <f t="shared" si="7"/>
        <v>1.81</v>
      </c>
      <c r="T11" s="74">
        <f t="shared" si="8"/>
        <v>7.0499999999999989</v>
      </c>
    </row>
    <row r="12" spans="1:20" x14ac:dyDescent="0.2">
      <c r="A12" s="52" t="s">
        <v>142</v>
      </c>
      <c r="B12" s="52">
        <v>100</v>
      </c>
      <c r="C12" s="97">
        <v>60</v>
      </c>
      <c r="D12" s="97">
        <v>60</v>
      </c>
      <c r="F12" s="123">
        <v>9.4</v>
      </c>
      <c r="G12" s="124">
        <f t="shared" si="0"/>
        <v>6768</v>
      </c>
      <c r="H12" s="125">
        <f t="shared" si="1"/>
        <v>9.8000000000000007</v>
      </c>
      <c r="I12" s="69">
        <f t="shared" si="2"/>
        <v>7056</v>
      </c>
      <c r="J12" s="74">
        <f t="shared" si="3"/>
        <v>0.40000000000000036</v>
      </c>
      <c r="K12" s="72">
        <f t="shared" si="3"/>
        <v>288</v>
      </c>
      <c r="L12" s="73">
        <f t="shared" si="4"/>
        <v>4.2553191489361736E-2</v>
      </c>
      <c r="O12" s="99">
        <f>+O13/2*1.205</f>
        <v>8.1940000000000008</v>
      </c>
      <c r="P12" s="96">
        <f t="shared" ref="P12:P19" si="9">+O12*D12*52/2000</f>
        <v>12.782640000000001</v>
      </c>
      <c r="Q12" s="69">
        <f t="shared" si="5"/>
        <v>1720.4155176000002</v>
      </c>
      <c r="R12" s="126">
        <f t="shared" si="6"/>
        <v>0.24382306088435377</v>
      </c>
      <c r="S12" s="98">
        <f t="shared" si="7"/>
        <v>2.39</v>
      </c>
      <c r="T12" s="74">
        <f t="shared" si="8"/>
        <v>7.41</v>
      </c>
    </row>
    <row r="13" spans="1:20" x14ac:dyDescent="0.2">
      <c r="A13" s="52" t="s">
        <v>143</v>
      </c>
      <c r="B13" s="52">
        <v>100</v>
      </c>
      <c r="C13" s="97">
        <v>905</v>
      </c>
      <c r="D13" s="97">
        <v>905</v>
      </c>
      <c r="F13" s="123">
        <v>10.7</v>
      </c>
      <c r="G13" s="124">
        <f t="shared" si="0"/>
        <v>116202</v>
      </c>
      <c r="H13" s="125">
        <f t="shared" si="1"/>
        <v>11.16</v>
      </c>
      <c r="I13" s="69">
        <f t="shared" si="2"/>
        <v>121197.59999999999</v>
      </c>
      <c r="J13" s="74">
        <f t="shared" si="3"/>
        <v>0.46000000000000085</v>
      </c>
      <c r="K13" s="72">
        <f t="shared" si="3"/>
        <v>4995.5999999999913</v>
      </c>
      <c r="L13" s="73">
        <f t="shared" si="4"/>
        <v>4.2990654205607562E-2</v>
      </c>
      <c r="O13" s="99">
        <f>+O14</f>
        <v>13.600000000000001</v>
      </c>
      <c r="P13" s="96">
        <f t="shared" si="9"/>
        <v>320.00800000000004</v>
      </c>
      <c r="Q13" s="69">
        <f t="shared" si="5"/>
        <v>43069.876720000007</v>
      </c>
      <c r="R13" s="126">
        <f t="shared" si="6"/>
        <v>0.35536905615292719</v>
      </c>
      <c r="S13" s="98">
        <f t="shared" si="7"/>
        <v>3.97</v>
      </c>
      <c r="T13" s="74">
        <f t="shared" si="8"/>
        <v>7.1899999999999995</v>
      </c>
    </row>
    <row r="14" spans="1:20" x14ac:dyDescent="0.2">
      <c r="A14" s="52" t="s">
        <v>144</v>
      </c>
      <c r="B14" s="52">
        <v>100</v>
      </c>
      <c r="C14" s="97">
        <v>1646</v>
      </c>
      <c r="D14" s="97">
        <v>1646</v>
      </c>
      <c r="F14" s="123">
        <v>12.8</v>
      </c>
      <c r="G14" s="124">
        <f t="shared" si="0"/>
        <v>252825.60000000003</v>
      </c>
      <c r="H14" s="125">
        <f t="shared" si="1"/>
        <v>13.35</v>
      </c>
      <c r="I14" s="69">
        <f t="shared" si="2"/>
        <v>263689.19999999995</v>
      </c>
      <c r="J14" s="74">
        <f t="shared" si="3"/>
        <v>0.54999999999999893</v>
      </c>
      <c r="K14" s="72">
        <f t="shared" si="3"/>
        <v>10863.599999999919</v>
      </c>
      <c r="L14" s="73">
        <f t="shared" si="4"/>
        <v>4.2968749999999917E-2</v>
      </c>
      <c r="O14" s="99">
        <f>20/32*O15</f>
        <v>13.600000000000001</v>
      </c>
      <c r="P14" s="96">
        <f t="shared" si="9"/>
        <v>582.02560000000005</v>
      </c>
      <c r="Q14" s="69">
        <f t="shared" si="5"/>
        <v>78334.825504000008</v>
      </c>
      <c r="R14" s="126">
        <f t="shared" si="6"/>
        <v>0.29707255930087401</v>
      </c>
      <c r="S14" s="98">
        <f t="shared" si="7"/>
        <v>3.97</v>
      </c>
      <c r="T14" s="74">
        <f t="shared" si="8"/>
        <v>9.379999999999999</v>
      </c>
    </row>
    <row r="15" spans="1:20" x14ac:dyDescent="0.2">
      <c r="A15" s="52" t="s">
        <v>145</v>
      </c>
      <c r="B15" s="52">
        <v>100</v>
      </c>
      <c r="C15" s="97">
        <v>3867</v>
      </c>
      <c r="D15" s="97">
        <v>3866</v>
      </c>
      <c r="F15" s="123">
        <v>17.899999999999999</v>
      </c>
      <c r="G15" s="124">
        <f t="shared" si="0"/>
        <v>830416.79999999993</v>
      </c>
      <c r="H15" s="125">
        <f t="shared" si="1"/>
        <v>18.670000000000002</v>
      </c>
      <c r="I15" s="69">
        <f t="shared" si="2"/>
        <v>866138.64</v>
      </c>
      <c r="J15" s="74">
        <f t="shared" si="3"/>
        <v>0.77000000000000313</v>
      </c>
      <c r="K15" s="72">
        <f t="shared" si="3"/>
        <v>35721.840000000084</v>
      </c>
      <c r="L15" s="73">
        <f t="shared" si="4"/>
        <v>4.301675977653649E-2</v>
      </c>
      <c r="O15" s="127">
        <v>21.76</v>
      </c>
      <c r="P15" s="96">
        <f t="shared" si="9"/>
        <v>2187.2281600000001</v>
      </c>
      <c r="Q15" s="69">
        <f t="shared" si="5"/>
        <v>294379.03805440001</v>
      </c>
      <c r="R15" s="126">
        <f t="shared" si="6"/>
        <v>0.33987519371540797</v>
      </c>
      <c r="S15" s="98">
        <f t="shared" si="7"/>
        <v>6.35</v>
      </c>
      <c r="T15" s="74">
        <f t="shared" si="8"/>
        <v>12.320000000000002</v>
      </c>
    </row>
    <row r="16" spans="1:20" x14ac:dyDescent="0.2">
      <c r="A16" s="52" t="s">
        <v>146</v>
      </c>
      <c r="B16" s="52">
        <v>100</v>
      </c>
      <c r="C16" s="97">
        <v>670</v>
      </c>
      <c r="D16" s="97">
        <v>335</v>
      </c>
      <c r="F16" s="123">
        <v>27.3</v>
      </c>
      <c r="G16" s="124">
        <f t="shared" si="0"/>
        <v>109746</v>
      </c>
      <c r="H16" s="125">
        <f t="shared" si="1"/>
        <v>28.47</v>
      </c>
      <c r="I16" s="69">
        <f t="shared" si="2"/>
        <v>114449.4</v>
      </c>
      <c r="J16" s="74">
        <f t="shared" si="3"/>
        <v>1.1699999999999982</v>
      </c>
      <c r="K16" s="72">
        <f t="shared" si="3"/>
        <v>4703.3999999999942</v>
      </c>
      <c r="L16" s="73">
        <f t="shared" si="4"/>
        <v>4.2857142857142788E-2</v>
      </c>
      <c r="M16" s="74">
        <f>+H16-H15</f>
        <v>9.7999999999999972</v>
      </c>
      <c r="O16" s="99">
        <f>+O15*2</f>
        <v>43.52</v>
      </c>
      <c r="P16" s="96">
        <f t="shared" si="9"/>
        <v>379.05920000000003</v>
      </c>
      <c r="Q16" s="69">
        <f t="shared" si="5"/>
        <v>51017.577728000004</v>
      </c>
      <c r="R16" s="126">
        <f t="shared" si="6"/>
        <v>0.44576535768645364</v>
      </c>
      <c r="S16" s="98">
        <f t="shared" si="7"/>
        <v>12.69</v>
      </c>
      <c r="T16" s="74">
        <f t="shared" si="8"/>
        <v>15.78</v>
      </c>
    </row>
    <row r="17" spans="1:23" x14ac:dyDescent="0.2">
      <c r="A17" s="52" t="s">
        <v>147</v>
      </c>
      <c r="B17" s="52">
        <v>100</v>
      </c>
      <c r="C17" s="97">
        <v>42</v>
      </c>
      <c r="D17" s="97">
        <v>14</v>
      </c>
      <c r="F17" s="123">
        <v>36.700000000000003</v>
      </c>
      <c r="G17" s="124">
        <f t="shared" si="0"/>
        <v>6165.6</v>
      </c>
      <c r="H17" s="125">
        <f t="shared" si="1"/>
        <v>38.270000000000003</v>
      </c>
      <c r="I17" s="69">
        <f t="shared" si="2"/>
        <v>6429.3600000000006</v>
      </c>
      <c r="J17" s="74">
        <f t="shared" si="3"/>
        <v>1.5700000000000003</v>
      </c>
      <c r="K17" s="72">
        <f t="shared" si="3"/>
        <v>263.76000000000022</v>
      </c>
      <c r="L17" s="73">
        <f t="shared" si="4"/>
        <v>4.2779291553133522E-2</v>
      </c>
      <c r="M17" s="74">
        <f>+H17-H16</f>
        <v>9.8000000000000043</v>
      </c>
      <c r="O17" s="99">
        <f>+O15*3</f>
        <v>65.28</v>
      </c>
      <c r="P17" s="96">
        <f t="shared" si="9"/>
        <v>23.761920000000003</v>
      </c>
      <c r="Q17" s="69">
        <f t="shared" si="5"/>
        <v>3198.1168128000004</v>
      </c>
      <c r="R17" s="126">
        <f t="shared" si="6"/>
        <v>0.49742382022471909</v>
      </c>
      <c r="S17" s="98">
        <f t="shared" si="7"/>
        <v>19.04</v>
      </c>
      <c r="T17" s="74">
        <f t="shared" si="8"/>
        <v>19.230000000000004</v>
      </c>
    </row>
    <row r="18" spans="1:23" x14ac:dyDescent="0.2">
      <c r="A18" s="52" t="s">
        <v>148</v>
      </c>
      <c r="B18" s="52">
        <v>100</v>
      </c>
      <c r="C18" s="97">
        <v>24</v>
      </c>
      <c r="D18" s="97">
        <v>6</v>
      </c>
      <c r="F18" s="123">
        <v>46.1</v>
      </c>
      <c r="G18" s="124">
        <f t="shared" si="0"/>
        <v>3319.2000000000003</v>
      </c>
      <c r="H18" s="125">
        <f t="shared" si="1"/>
        <v>48.07</v>
      </c>
      <c r="I18" s="69">
        <f t="shared" si="2"/>
        <v>3461.04</v>
      </c>
      <c r="J18" s="74">
        <f t="shared" si="3"/>
        <v>1.9699999999999989</v>
      </c>
      <c r="K18" s="72">
        <f t="shared" si="3"/>
        <v>141.83999999999969</v>
      </c>
      <c r="L18" s="73">
        <f t="shared" si="4"/>
        <v>4.2733188720173509E-2</v>
      </c>
      <c r="M18" s="74">
        <f>+H18-H17</f>
        <v>9.7999999999999972</v>
      </c>
      <c r="O18" s="99">
        <f>+O15*4</f>
        <v>87.04</v>
      </c>
      <c r="P18" s="96">
        <f t="shared" si="9"/>
        <v>13.578239999999999</v>
      </c>
      <c r="Q18" s="69">
        <f t="shared" si="5"/>
        <v>1827.4953215999999</v>
      </c>
      <c r="R18" s="126">
        <f t="shared" si="6"/>
        <v>0.52801912766104986</v>
      </c>
      <c r="S18" s="98">
        <f t="shared" si="7"/>
        <v>25.38</v>
      </c>
      <c r="T18" s="74">
        <f t="shared" si="8"/>
        <v>22.69</v>
      </c>
    </row>
    <row r="19" spans="1:23" x14ac:dyDescent="0.2">
      <c r="A19" s="52" t="s">
        <v>149</v>
      </c>
      <c r="B19" s="52">
        <v>100</v>
      </c>
      <c r="C19" s="97">
        <v>4993</v>
      </c>
      <c r="D19" s="97">
        <v>4993</v>
      </c>
      <c r="F19" s="123">
        <v>19.7</v>
      </c>
      <c r="G19" s="124">
        <f t="shared" si="0"/>
        <v>1180345.2</v>
      </c>
      <c r="H19" s="125">
        <f t="shared" si="1"/>
        <v>20.54</v>
      </c>
      <c r="I19" s="69">
        <f t="shared" si="2"/>
        <v>1230674.6400000001</v>
      </c>
      <c r="J19" s="74">
        <f t="shared" si="3"/>
        <v>0.83999999999999986</v>
      </c>
      <c r="K19" s="72">
        <f t="shared" si="3"/>
        <v>50329.440000000177</v>
      </c>
      <c r="L19" s="73">
        <f t="shared" si="4"/>
        <v>4.2639593908629439E-2</v>
      </c>
      <c r="O19" s="99">
        <f>1.09375*O15</f>
        <v>23.8</v>
      </c>
      <c r="P19" s="96">
        <f t="shared" si="9"/>
        <v>3089.6684000000005</v>
      </c>
      <c r="Q19" s="69">
        <f t="shared" si="5"/>
        <v>415838.4699560001</v>
      </c>
      <c r="R19" s="126">
        <f t="shared" si="6"/>
        <v>0.33789472573839668</v>
      </c>
      <c r="S19" s="98">
        <f t="shared" si="7"/>
        <v>6.94</v>
      </c>
      <c r="T19" s="74">
        <f t="shared" si="8"/>
        <v>13.599999999999998</v>
      </c>
    </row>
    <row r="20" spans="1:23" x14ac:dyDescent="0.2">
      <c r="A20" s="52" t="s">
        <v>150</v>
      </c>
      <c r="B20" s="52">
        <v>100</v>
      </c>
      <c r="C20" s="97">
        <v>6</v>
      </c>
      <c r="D20" s="97">
        <v>3</v>
      </c>
      <c r="F20" s="123">
        <f>+F19*2</f>
        <v>39.4</v>
      </c>
      <c r="G20" s="124">
        <f t="shared" si="0"/>
        <v>1418.3999999999999</v>
      </c>
      <c r="H20" s="125">
        <f t="shared" si="1"/>
        <v>41.09</v>
      </c>
      <c r="I20" s="69">
        <f t="shared" si="2"/>
        <v>1479.2400000000002</v>
      </c>
      <c r="J20" s="74">
        <f t="shared" si="3"/>
        <v>1.6900000000000048</v>
      </c>
      <c r="K20" s="72">
        <f t="shared" si="3"/>
        <v>60.840000000000373</v>
      </c>
      <c r="L20" s="73">
        <f t="shared" si="4"/>
        <v>4.2893401015228552E-2</v>
      </c>
      <c r="O20" s="99">
        <f>+O19</f>
        <v>23.8</v>
      </c>
      <c r="P20" s="96">
        <f>+O20*C20*52/2000</f>
        <v>3.7128000000000001</v>
      </c>
      <c r="Q20" s="69">
        <f t="shared" si="5"/>
        <v>499.70575200000002</v>
      </c>
      <c r="R20" s="126">
        <f t="shared" si="6"/>
        <v>0.3378124929017603</v>
      </c>
      <c r="S20" s="98">
        <f t="shared" si="7"/>
        <v>13.88</v>
      </c>
      <c r="T20" s="74">
        <f t="shared" si="8"/>
        <v>27.21</v>
      </c>
    </row>
    <row r="21" spans="1:23" x14ac:dyDescent="0.2">
      <c r="A21" s="52" t="s">
        <v>151</v>
      </c>
      <c r="B21" s="52">
        <v>100</v>
      </c>
      <c r="C21" s="97">
        <v>2910</v>
      </c>
      <c r="D21" s="97">
        <v>2910</v>
      </c>
      <c r="F21" s="123">
        <v>29.1</v>
      </c>
      <c r="G21" s="124">
        <f t="shared" si="0"/>
        <v>1016172</v>
      </c>
      <c r="H21" s="125">
        <f t="shared" si="1"/>
        <v>30.34</v>
      </c>
      <c r="I21" s="69">
        <f t="shared" si="2"/>
        <v>1059472.7999999998</v>
      </c>
      <c r="J21" s="74">
        <f t="shared" si="3"/>
        <v>1.2399999999999984</v>
      </c>
      <c r="K21" s="72">
        <f t="shared" si="3"/>
        <v>43300.799999999814</v>
      </c>
      <c r="L21" s="73">
        <f t="shared" si="4"/>
        <v>4.2611683848797197E-2</v>
      </c>
      <c r="M21" s="74">
        <f>+H21-H19</f>
        <v>9.8000000000000007</v>
      </c>
      <c r="O21" s="99">
        <f>+O15*2</f>
        <v>43.52</v>
      </c>
      <c r="P21" s="96">
        <f t="shared" ref="P21:P27" si="10">+O21*C21*52/2000</f>
        <v>3292.7232000000004</v>
      </c>
      <c r="Q21" s="69">
        <f t="shared" si="5"/>
        <v>443167.61548800004</v>
      </c>
      <c r="R21" s="126">
        <f t="shared" si="6"/>
        <v>0.41829069655020884</v>
      </c>
      <c r="S21" s="98">
        <f t="shared" si="7"/>
        <v>12.69</v>
      </c>
      <c r="T21" s="74">
        <f t="shared" si="8"/>
        <v>17.649999999999999</v>
      </c>
    </row>
    <row r="22" spans="1:23" x14ac:dyDescent="0.2">
      <c r="A22" s="52" t="s">
        <v>152</v>
      </c>
      <c r="B22" s="52">
        <v>100</v>
      </c>
      <c r="C22" s="97">
        <v>26</v>
      </c>
      <c r="D22" s="97">
        <v>13</v>
      </c>
      <c r="F22" s="123">
        <f>+F21*2</f>
        <v>58.2</v>
      </c>
      <c r="G22" s="124">
        <f t="shared" si="0"/>
        <v>9079.2000000000007</v>
      </c>
      <c r="H22" s="125">
        <f t="shared" si="1"/>
        <v>60.69</v>
      </c>
      <c r="I22" s="69">
        <f t="shared" si="2"/>
        <v>9467.64</v>
      </c>
      <c r="J22" s="74">
        <f t="shared" si="3"/>
        <v>2.4899999999999949</v>
      </c>
      <c r="K22" s="72">
        <f t="shared" si="3"/>
        <v>388.43999999999869</v>
      </c>
      <c r="L22" s="73">
        <f t="shared" si="4"/>
        <v>4.2783505154639086E-2</v>
      </c>
      <c r="O22" s="99">
        <f>+O21</f>
        <v>43.52</v>
      </c>
      <c r="P22" s="96">
        <f t="shared" si="10"/>
        <v>29.419520000000002</v>
      </c>
      <c r="Q22" s="69">
        <f t="shared" si="5"/>
        <v>3959.5731968000005</v>
      </c>
      <c r="R22" s="126">
        <f t="shared" si="6"/>
        <v>0.41822177404295058</v>
      </c>
      <c r="S22" s="98">
        <f t="shared" si="7"/>
        <v>25.38</v>
      </c>
      <c r="T22" s="74">
        <f t="shared" si="8"/>
        <v>35.31</v>
      </c>
    </row>
    <row r="23" spans="1:23" x14ac:dyDescent="0.2">
      <c r="A23" s="52" t="s">
        <v>153</v>
      </c>
      <c r="B23" s="52">
        <v>100</v>
      </c>
      <c r="C23" s="97">
        <v>3</v>
      </c>
      <c r="D23" s="97">
        <v>1</v>
      </c>
      <c r="F23" s="123">
        <f>+F21*3</f>
        <v>87.300000000000011</v>
      </c>
      <c r="G23" s="124">
        <f t="shared" si="0"/>
        <v>1047.6000000000001</v>
      </c>
      <c r="H23" s="125">
        <f t="shared" si="1"/>
        <v>91.03</v>
      </c>
      <c r="I23" s="69">
        <f t="shared" si="2"/>
        <v>1092.3600000000001</v>
      </c>
      <c r="J23" s="74">
        <f t="shared" si="3"/>
        <v>3.7299999999999898</v>
      </c>
      <c r="K23" s="72">
        <f t="shared" si="3"/>
        <v>44.759999999999991</v>
      </c>
      <c r="L23" s="73">
        <f t="shared" si="4"/>
        <v>4.2726231386025076E-2</v>
      </c>
      <c r="O23" s="99">
        <f>+O21</f>
        <v>43.52</v>
      </c>
      <c r="P23" s="96">
        <f t="shared" si="10"/>
        <v>3.3945599999999998</v>
      </c>
      <c r="Q23" s="69">
        <f t="shared" si="5"/>
        <v>456.87383039999997</v>
      </c>
      <c r="R23" s="126">
        <f t="shared" si="6"/>
        <v>0.41824474568823455</v>
      </c>
      <c r="S23" s="98">
        <f t="shared" si="7"/>
        <v>38.07</v>
      </c>
      <c r="T23" s="74">
        <f t="shared" si="8"/>
        <v>52.96</v>
      </c>
    </row>
    <row r="24" spans="1:23" x14ac:dyDescent="0.2">
      <c r="A24" s="52" t="s">
        <v>154</v>
      </c>
      <c r="B24" s="52">
        <v>100</v>
      </c>
      <c r="C24" s="97">
        <v>4</v>
      </c>
      <c r="D24" s="97">
        <v>1</v>
      </c>
      <c r="F24" s="123">
        <f>+F21*4</f>
        <v>116.4</v>
      </c>
      <c r="G24" s="124">
        <f t="shared" si="0"/>
        <v>1396.8000000000002</v>
      </c>
      <c r="H24" s="125">
        <f t="shared" si="1"/>
        <v>121.38</v>
      </c>
      <c r="I24" s="69">
        <f t="shared" si="2"/>
        <v>1456.56</v>
      </c>
      <c r="J24" s="74">
        <f t="shared" si="3"/>
        <v>4.9799999999999898</v>
      </c>
      <c r="K24" s="72">
        <f t="shared" si="3"/>
        <v>59.759999999999764</v>
      </c>
      <c r="L24" s="73">
        <f t="shared" si="4"/>
        <v>4.2783505154639086E-2</v>
      </c>
      <c r="O24" s="99">
        <f>+O21</f>
        <v>43.52</v>
      </c>
      <c r="P24" s="96">
        <f t="shared" si="10"/>
        <v>4.5260800000000003</v>
      </c>
      <c r="Q24" s="69">
        <f t="shared" si="5"/>
        <v>609.16510720000008</v>
      </c>
      <c r="R24" s="126">
        <f t="shared" si="6"/>
        <v>0.41822177404295058</v>
      </c>
      <c r="S24" s="98">
        <f t="shared" si="7"/>
        <v>50.76</v>
      </c>
      <c r="T24" s="74">
        <f t="shared" si="8"/>
        <v>70.62</v>
      </c>
    </row>
    <row r="25" spans="1:23" x14ac:dyDescent="0.2">
      <c r="A25" s="52" t="s">
        <v>155</v>
      </c>
      <c r="B25" s="52">
        <v>100</v>
      </c>
      <c r="C25" s="97">
        <v>582</v>
      </c>
      <c r="D25" s="97">
        <v>582</v>
      </c>
      <c r="F25" s="123">
        <v>39.799999999999997</v>
      </c>
      <c r="G25" s="124">
        <f t="shared" si="0"/>
        <v>277963.19999999995</v>
      </c>
      <c r="H25" s="125">
        <f t="shared" si="1"/>
        <v>41.5</v>
      </c>
      <c r="I25" s="69">
        <f t="shared" si="2"/>
        <v>289836</v>
      </c>
      <c r="J25" s="74">
        <f t="shared" si="3"/>
        <v>1.7000000000000028</v>
      </c>
      <c r="K25" s="72">
        <f t="shared" si="3"/>
        <v>11872.800000000047</v>
      </c>
      <c r="L25" s="73">
        <f t="shared" si="4"/>
        <v>4.2713567839196054E-2</v>
      </c>
      <c r="M25" s="74">
        <f>+H25-H21</f>
        <v>11.16</v>
      </c>
      <c r="O25" s="99">
        <f>+O15*3</f>
        <v>65.28</v>
      </c>
      <c r="P25" s="96">
        <f t="shared" si="10"/>
        <v>987.81695999999999</v>
      </c>
      <c r="Q25" s="69">
        <f t="shared" si="5"/>
        <v>132950.28464639999</v>
      </c>
      <c r="R25" s="126">
        <f t="shared" si="6"/>
        <v>0.45870866506024094</v>
      </c>
      <c r="S25" s="98">
        <f t="shared" si="7"/>
        <v>19.04</v>
      </c>
      <c r="T25" s="74">
        <f t="shared" si="8"/>
        <v>22.46</v>
      </c>
    </row>
    <row r="26" spans="1:23" x14ac:dyDescent="0.2">
      <c r="A26" s="52" t="s">
        <v>156</v>
      </c>
      <c r="B26" s="52">
        <v>100</v>
      </c>
      <c r="C26" s="97">
        <v>32</v>
      </c>
      <c r="D26" s="97">
        <v>16</v>
      </c>
      <c r="F26" s="123">
        <f>+F25*2</f>
        <v>79.599999999999994</v>
      </c>
      <c r="G26" s="124">
        <f t="shared" si="0"/>
        <v>15283.199999999999</v>
      </c>
      <c r="H26" s="125">
        <f t="shared" si="1"/>
        <v>83.01</v>
      </c>
      <c r="I26" s="69">
        <f t="shared" si="2"/>
        <v>15937.920000000002</v>
      </c>
      <c r="J26" s="74">
        <f t="shared" si="3"/>
        <v>3.4100000000000108</v>
      </c>
      <c r="K26" s="72">
        <f t="shared" si="3"/>
        <v>654.72000000000298</v>
      </c>
      <c r="L26" s="73">
        <f t="shared" si="4"/>
        <v>4.2839195979899637E-2</v>
      </c>
      <c r="O26" s="99">
        <f>+O25</f>
        <v>65.28</v>
      </c>
      <c r="P26" s="96">
        <f t="shared" si="10"/>
        <v>54.312959999999997</v>
      </c>
      <c r="Q26" s="69">
        <f t="shared" si="5"/>
        <v>7309.9812863999996</v>
      </c>
      <c r="R26" s="126">
        <f t="shared" si="6"/>
        <v>0.45865340561378137</v>
      </c>
      <c r="S26" s="98">
        <f t="shared" si="7"/>
        <v>38.07</v>
      </c>
      <c r="T26" s="74">
        <f t="shared" si="8"/>
        <v>44.940000000000005</v>
      </c>
    </row>
    <row r="27" spans="1:23" x14ac:dyDescent="0.2">
      <c r="A27" s="52" t="s">
        <v>157</v>
      </c>
      <c r="B27" s="52">
        <v>100</v>
      </c>
      <c r="C27" s="97">
        <v>3</v>
      </c>
      <c r="D27" s="97">
        <v>1</v>
      </c>
      <c r="F27" s="123">
        <f>+F25*3</f>
        <v>119.39999999999999</v>
      </c>
      <c r="G27" s="124">
        <f t="shared" si="0"/>
        <v>1432.8</v>
      </c>
      <c r="H27" s="125">
        <f t="shared" si="1"/>
        <v>124.51</v>
      </c>
      <c r="I27" s="69">
        <f t="shared" si="2"/>
        <v>1494.1200000000001</v>
      </c>
      <c r="J27" s="74">
        <f t="shared" si="3"/>
        <v>5.1100000000000136</v>
      </c>
      <c r="K27" s="72">
        <f t="shared" si="3"/>
        <v>61.320000000000164</v>
      </c>
      <c r="L27" s="73">
        <f t="shared" si="4"/>
        <v>4.2797319932998443E-2</v>
      </c>
      <c r="O27" s="99">
        <f>+O26</f>
        <v>65.28</v>
      </c>
      <c r="P27" s="96">
        <f t="shared" si="10"/>
        <v>5.0918400000000004</v>
      </c>
      <c r="Q27" s="69">
        <f t="shared" si="5"/>
        <v>685.31074560000002</v>
      </c>
      <c r="R27" s="126">
        <f t="shared" si="6"/>
        <v>0.45867182394988354</v>
      </c>
      <c r="S27" s="98">
        <f t="shared" si="7"/>
        <v>57.11</v>
      </c>
      <c r="T27" s="74">
        <f t="shared" si="8"/>
        <v>67.400000000000006</v>
      </c>
    </row>
    <row r="28" spans="1:23" ht="17.25" x14ac:dyDescent="0.35">
      <c r="A28" s="52" t="s">
        <v>158</v>
      </c>
      <c r="B28" s="52">
        <v>100</v>
      </c>
      <c r="C28" s="128">
        <v>2512</v>
      </c>
      <c r="D28" s="128">
        <v>2512</v>
      </c>
      <c r="F28" s="123">
        <v>5</v>
      </c>
      <c r="G28" s="129">
        <f t="shared" si="0"/>
        <v>150720</v>
      </c>
      <c r="H28" s="125">
        <f t="shared" si="1"/>
        <v>5.21</v>
      </c>
      <c r="I28" s="77">
        <f t="shared" si="2"/>
        <v>157050.23999999999</v>
      </c>
      <c r="J28" s="74">
        <f t="shared" si="3"/>
        <v>0.20999999999999996</v>
      </c>
      <c r="K28" s="82">
        <f t="shared" si="3"/>
        <v>6330.2399999999907</v>
      </c>
      <c r="L28" s="91">
        <f t="shared" si="4"/>
        <v>4.1999999999999996E-2</v>
      </c>
      <c r="O28" s="99">
        <f>+O15</f>
        <v>21.76</v>
      </c>
      <c r="P28" s="130">
        <f>+O28*C28*12/2000</f>
        <v>327.96672000000001</v>
      </c>
      <c r="Q28" s="77">
        <f t="shared" si="5"/>
        <v>44141.040844800002</v>
      </c>
      <c r="R28" s="131">
        <f t="shared" si="6"/>
        <v>0.28106318618042231</v>
      </c>
      <c r="S28" s="98">
        <f t="shared" si="7"/>
        <v>1.46</v>
      </c>
      <c r="T28" s="74">
        <f t="shared" si="8"/>
        <v>3.75</v>
      </c>
    </row>
    <row r="29" spans="1:23" ht="20.25" x14ac:dyDescent="0.55000000000000004">
      <c r="A29" s="52"/>
      <c r="B29" s="52"/>
      <c r="C29" s="132">
        <f>SUM(C9:C27)</f>
        <v>16029</v>
      </c>
      <c r="D29" s="132">
        <f>SUM(D9:D27)</f>
        <v>15605</v>
      </c>
      <c r="F29" s="123"/>
      <c r="G29" s="58">
        <f>SUM(G9:G28)</f>
        <v>4006020</v>
      </c>
      <c r="I29" s="58">
        <f>SUM(I9:I28)</f>
        <v>4177192.3200000003</v>
      </c>
      <c r="K29" s="58">
        <f>SUM(K9:K28)</f>
        <v>171172.32000000004</v>
      </c>
      <c r="L29" s="85">
        <f>+K29/G29</f>
        <v>4.2728773196339519E-2</v>
      </c>
      <c r="P29" s="133">
        <f>SUM(P9:P28)</f>
        <v>11355.089343999998</v>
      </c>
      <c r="Q29" s="64">
        <f>SUM(Q8:Q28)</f>
        <v>1528416.0648089598</v>
      </c>
      <c r="R29" s="134">
        <f t="shared" si="6"/>
        <v>0.36589554603245072</v>
      </c>
      <c r="S29" s="98"/>
      <c r="T29" s="74"/>
      <c r="V29" s="96"/>
      <c r="W29" s="135"/>
    </row>
    <row r="30" spans="1:23" x14ac:dyDescent="0.2">
      <c r="A30" s="52"/>
      <c r="B30" s="52"/>
      <c r="F30" s="123"/>
    </row>
    <row r="31" spans="1:23" ht="15.75" x14ac:dyDescent="0.25">
      <c r="A31" s="122"/>
      <c r="B31" s="52"/>
      <c r="F31" s="123"/>
      <c r="H31" s="69"/>
      <c r="I31" s="69"/>
      <c r="P31" s="96">
        <f>+'Revenue &amp; Expense Adj.'!D19</f>
        <v>11355.20043665591</v>
      </c>
      <c r="Q31" s="5">
        <f>+'Revenue &amp; Expense Adj.'!H20</f>
        <v>1528296.426769519</v>
      </c>
    </row>
  </sheetData>
  <pageMargins left="0.45" right="0.45" top="0.5" bottom="0.5" header="0.3" footer="0.3"/>
  <pageSetup scale="58" orientation="landscape" verticalDpi="599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0" workbookViewId="0">
      <selection activeCell="G12" sqref="G12"/>
    </sheetView>
  </sheetViews>
  <sheetFormatPr defaultRowHeight="15" x14ac:dyDescent="0.25"/>
  <cols>
    <col min="4" max="4" width="10.28515625" bestFit="1" customWidth="1"/>
    <col min="6" max="6" width="11.5703125" bestFit="1" customWidth="1"/>
    <col min="8" max="8" width="11.5703125" bestFit="1" customWidth="1"/>
    <col min="9" max="9" width="10.5703125" bestFit="1" customWidth="1"/>
    <col min="11" max="11" width="10.5703125" bestFit="1" customWidth="1"/>
  </cols>
  <sheetData>
    <row r="1" spans="1:11" ht="23.25" x14ac:dyDescent="0.35">
      <c r="A1" s="201" t="s">
        <v>0</v>
      </c>
    </row>
    <row r="2" spans="1:11" ht="18.75" x14ac:dyDescent="0.3">
      <c r="A2" s="200" t="s">
        <v>190</v>
      </c>
    </row>
    <row r="3" spans="1:11" ht="15.75" x14ac:dyDescent="0.25">
      <c r="A3" s="8" t="s">
        <v>159</v>
      </c>
    </row>
    <row r="6" spans="1:11" x14ac:dyDescent="0.25">
      <c r="D6" s="136"/>
      <c r="E6" s="136"/>
      <c r="F6" s="136"/>
      <c r="H6" s="136"/>
      <c r="I6" s="137" t="s">
        <v>2</v>
      </c>
      <c r="K6" s="137" t="s">
        <v>2</v>
      </c>
    </row>
    <row r="7" spans="1:11" x14ac:dyDescent="0.25">
      <c r="D7" s="137" t="s">
        <v>161</v>
      </c>
      <c r="E7" s="136"/>
      <c r="F7" s="136"/>
      <c r="G7" s="138" t="s">
        <v>9</v>
      </c>
      <c r="H7" s="137" t="s">
        <v>2</v>
      </c>
      <c r="I7" s="137" t="s">
        <v>162</v>
      </c>
      <c r="J7" s="138" t="s">
        <v>163</v>
      </c>
      <c r="K7" s="137" t="s">
        <v>11</v>
      </c>
    </row>
    <row r="8" spans="1:11" x14ac:dyDescent="0.25">
      <c r="D8" s="139" t="s">
        <v>25</v>
      </c>
      <c r="E8" s="139" t="s">
        <v>21</v>
      </c>
      <c r="F8" s="139" t="s">
        <v>164</v>
      </c>
      <c r="G8" s="139" t="s">
        <v>21</v>
      </c>
      <c r="H8" s="139" t="s">
        <v>164</v>
      </c>
      <c r="I8" s="139" t="s">
        <v>165</v>
      </c>
      <c r="J8" s="140" t="s">
        <v>166</v>
      </c>
      <c r="K8" s="139" t="s">
        <v>165</v>
      </c>
    </row>
    <row r="9" spans="1:11" x14ac:dyDescent="0.25">
      <c r="A9" s="141" t="s">
        <v>167</v>
      </c>
      <c r="D9" s="142"/>
      <c r="E9" s="142"/>
      <c r="F9" s="142"/>
      <c r="G9" s="142"/>
      <c r="H9" s="142"/>
    </row>
    <row r="10" spans="1:11" x14ac:dyDescent="0.25">
      <c r="A10" s="141"/>
      <c r="D10" s="142"/>
      <c r="E10" s="142"/>
      <c r="F10" s="142"/>
      <c r="G10" s="142"/>
      <c r="H10" s="142"/>
    </row>
    <row r="11" spans="1:11" x14ac:dyDescent="0.25">
      <c r="A11" s="143" t="s">
        <v>168</v>
      </c>
      <c r="B11" s="143"/>
      <c r="C11" s="143"/>
      <c r="D11" s="142"/>
      <c r="E11" s="142"/>
      <c r="F11" s="142"/>
      <c r="G11" s="142"/>
      <c r="H11" s="142"/>
    </row>
    <row r="12" spans="1:11" ht="17.25" x14ac:dyDescent="0.4">
      <c r="B12" s="144" t="s">
        <v>169</v>
      </c>
      <c r="D12" s="145">
        <v>14393.170227638017</v>
      </c>
      <c r="E12" s="146">
        <v>120.17</v>
      </c>
      <c r="F12" s="147">
        <f>+D12*E12</f>
        <v>1729627.2662552604</v>
      </c>
      <c r="G12" s="146">
        <f>+'Gross up Factor'!B6</f>
        <v>134.59</v>
      </c>
      <c r="H12" s="148">
        <f>+G12*D12</f>
        <v>1937176.7809378006</v>
      </c>
      <c r="I12" s="149">
        <f>+H12-F12</f>
        <v>207549.5146825402</v>
      </c>
      <c r="J12" s="194">
        <f ca="1">+'Gross up Factor'!G15</f>
        <v>0.95625525500101416</v>
      </c>
      <c r="K12" s="150">
        <f ca="1">+I12/J12</f>
        <v>217044.05136295967</v>
      </c>
    </row>
    <row r="13" spans="1:11" s="141" customFormat="1" ht="12.75" x14ac:dyDescent="0.2">
      <c r="D13" s="151">
        <f>SUM(D12:D12)</f>
        <v>14393.170227638017</v>
      </c>
      <c r="E13" s="152"/>
      <c r="F13" s="153">
        <f>SUM(F12:F12)</f>
        <v>1729627.2662552604</v>
      </c>
      <c r="G13" s="154"/>
      <c r="H13" s="153">
        <f>SUM(H12:H12)</f>
        <v>1937176.7809378006</v>
      </c>
      <c r="I13" s="153">
        <f>SUM(I12:I12)</f>
        <v>207549.5146825402</v>
      </c>
      <c r="K13" s="153">
        <f ca="1">SUM(K12:K12)</f>
        <v>217044.05136295967</v>
      </c>
    </row>
    <row r="14" spans="1:11" x14ac:dyDescent="0.25">
      <c r="D14" s="142"/>
      <c r="E14" s="155"/>
      <c r="F14" s="156"/>
      <c r="G14" s="142"/>
      <c r="H14" s="142"/>
    </row>
    <row r="15" spans="1:11" x14ac:dyDescent="0.25">
      <c r="D15" s="142"/>
      <c r="E15" s="155"/>
      <c r="F15" s="156"/>
      <c r="G15" s="142"/>
      <c r="H15" s="142"/>
    </row>
    <row r="16" spans="1:11" x14ac:dyDescent="0.25">
      <c r="A16" s="141" t="s">
        <v>170</v>
      </c>
      <c r="D16" s="142"/>
      <c r="E16" s="155"/>
      <c r="F16" s="156"/>
      <c r="G16" s="142"/>
      <c r="H16" s="142"/>
    </row>
    <row r="17" spans="1:11" x14ac:dyDescent="0.25">
      <c r="A17" s="141"/>
      <c r="D17" s="142"/>
      <c r="E17" s="155"/>
      <c r="F17" s="156"/>
      <c r="G17" s="142"/>
      <c r="H17" s="142"/>
    </row>
    <row r="18" spans="1:11" x14ac:dyDescent="0.25">
      <c r="A18" s="143" t="s">
        <v>168</v>
      </c>
      <c r="D18" s="142"/>
      <c r="E18" s="155"/>
      <c r="F18" s="156"/>
      <c r="G18" s="142"/>
      <c r="H18" s="142"/>
    </row>
    <row r="19" spans="1:11" ht="17.25" x14ac:dyDescent="0.4">
      <c r="B19" s="144" t="s">
        <v>169</v>
      </c>
      <c r="D19" s="145">
        <v>11355.20043665591</v>
      </c>
      <c r="E19" s="146">
        <v>120.17</v>
      </c>
      <c r="F19" s="157">
        <f>+E19*D19</f>
        <v>1364554.4364729407</v>
      </c>
      <c r="G19" s="146">
        <f>+G12</f>
        <v>134.59</v>
      </c>
      <c r="H19" s="148">
        <f>+G19*D19</f>
        <v>1528296.426769519</v>
      </c>
      <c r="I19" s="149">
        <f>+H19-F19</f>
        <v>163741.99029657827</v>
      </c>
      <c r="J19">
        <f ca="1">+J12</f>
        <v>0.95625525500101416</v>
      </c>
      <c r="K19" s="150">
        <f ca="1">+I19/J19</f>
        <v>171232.51290933258</v>
      </c>
    </row>
    <row r="20" spans="1:11" s="141" customFormat="1" ht="12.75" x14ac:dyDescent="0.2">
      <c r="D20" s="151">
        <f>SUM(D19:D19)</f>
        <v>11355.20043665591</v>
      </c>
      <c r="E20" s="152"/>
      <c r="F20" s="153">
        <f>SUM(F19:F19)</f>
        <v>1364554.4364729407</v>
      </c>
      <c r="G20" s="154"/>
      <c r="H20" s="153">
        <f>SUM(H19:H19)</f>
        <v>1528296.426769519</v>
      </c>
      <c r="I20" s="153">
        <f>SUM(I19:I19)</f>
        <v>163741.99029657827</v>
      </c>
      <c r="K20" s="153">
        <f ca="1">SUM(K19:K19)</f>
        <v>171232.51290933258</v>
      </c>
    </row>
    <row r="21" spans="1:11" x14ac:dyDescent="0.25">
      <c r="D21" s="142"/>
      <c r="E21" s="155"/>
      <c r="F21" s="156"/>
      <c r="G21" s="142"/>
      <c r="H21" s="142"/>
    </row>
    <row r="22" spans="1:11" ht="17.25" x14ac:dyDescent="0.4">
      <c r="D22" s="158">
        <f>+D20+D13</f>
        <v>25748.370664293929</v>
      </c>
      <c r="E22" s="158"/>
      <c r="F22" s="159">
        <f t="shared" ref="F22:I22" si="0">+F20+F13</f>
        <v>3094181.7027282012</v>
      </c>
      <c r="G22" s="159"/>
      <c r="H22" s="159">
        <f t="shared" si="0"/>
        <v>3465473.2077073194</v>
      </c>
      <c r="I22" s="159">
        <f t="shared" si="0"/>
        <v>371291.50497911847</v>
      </c>
      <c r="K22" s="159">
        <f t="shared" ref="K22" ca="1" si="1">+K20+K13</f>
        <v>388276.56427229225</v>
      </c>
    </row>
    <row r="23" spans="1:11" x14ac:dyDescent="0.25">
      <c r="D23" s="142"/>
      <c r="E23" s="155"/>
      <c r="F23" s="156"/>
      <c r="G23" s="142"/>
      <c r="H23" s="142"/>
    </row>
    <row r="24" spans="1:11" x14ac:dyDescent="0.25">
      <c r="D24" s="142"/>
      <c r="E24" s="155"/>
      <c r="F24" s="156"/>
      <c r="G24" s="142"/>
      <c r="H24" s="142"/>
    </row>
    <row r="25" spans="1:11" x14ac:dyDescent="0.25">
      <c r="A25" s="141" t="s">
        <v>171</v>
      </c>
      <c r="D25" s="142"/>
      <c r="E25" s="155"/>
      <c r="F25" s="156"/>
      <c r="G25" s="142"/>
      <c r="H25" s="142"/>
    </row>
    <row r="26" spans="1:11" x14ac:dyDescent="0.25">
      <c r="A26" s="141"/>
      <c r="D26" s="142"/>
      <c r="E26" s="155"/>
      <c r="F26" s="156"/>
      <c r="G26" s="142"/>
      <c r="H26" s="142"/>
    </row>
    <row r="27" spans="1:11" x14ac:dyDescent="0.25">
      <c r="A27" s="143" t="s">
        <v>168</v>
      </c>
      <c r="D27" s="142"/>
      <c r="E27" s="155"/>
      <c r="F27" s="156"/>
      <c r="G27" s="142"/>
      <c r="H27" s="142"/>
    </row>
    <row r="28" spans="1:11" ht="17.25" x14ac:dyDescent="0.4">
      <c r="B28" s="144" t="s">
        <v>169</v>
      </c>
      <c r="D28" s="145">
        <v>4222.854372971623</v>
      </c>
      <c r="E28" s="146">
        <v>120.17</v>
      </c>
      <c r="F28" s="157">
        <f>+E28*D28</f>
        <v>507460.40999999992</v>
      </c>
      <c r="G28" s="146">
        <f>+G12</f>
        <v>134.59</v>
      </c>
      <c r="H28" s="148">
        <f>+G28*D28</f>
        <v>568353.97005825071</v>
      </c>
      <c r="I28" s="149">
        <f>+H28-F28</f>
        <v>60893.56005825079</v>
      </c>
      <c r="J28" s="160">
        <v>1</v>
      </c>
      <c r="K28" s="150">
        <f>+I28/J28</f>
        <v>60893.56005825079</v>
      </c>
    </row>
    <row r="29" spans="1:11" s="141" customFormat="1" x14ac:dyDescent="0.35">
      <c r="D29" s="161">
        <f>SUM(D28:D28)</f>
        <v>4222.854372971623</v>
      </c>
      <c r="E29" s="162"/>
      <c r="F29" s="163">
        <f>SUM(F28:F28)</f>
        <v>507460.40999999992</v>
      </c>
      <c r="G29" s="162"/>
      <c r="H29" s="164">
        <f>SUM(H28:H28)</f>
        <v>568353.97005825071</v>
      </c>
      <c r="I29" s="164">
        <f>SUM(I28:I28)</f>
        <v>60893.56005825079</v>
      </c>
      <c r="J29" s="165"/>
      <c r="K29" s="164">
        <f>SUM(K28:K28)</f>
        <v>60893.56005825079</v>
      </c>
    </row>
    <row r="30" spans="1:11" x14ac:dyDescent="0.25">
      <c r="D30" s="142"/>
      <c r="E30" s="142"/>
      <c r="F30" s="156"/>
      <c r="H30" s="142"/>
    </row>
    <row r="31" spans="1:11" x14ac:dyDescent="0.25">
      <c r="A31" s="143"/>
      <c r="D31" s="142"/>
      <c r="E31" s="142"/>
      <c r="F31" s="156"/>
      <c r="H31" s="142"/>
    </row>
    <row r="32" spans="1:11" s="166" customFormat="1" ht="12.75" x14ac:dyDescent="0.2">
      <c r="D32" s="167">
        <f>+D29+D22</f>
        <v>29971.225037265551</v>
      </c>
      <c r="E32" s="167"/>
      <c r="F32" s="168">
        <f t="shared" ref="F32:K32" si="2">+F29+F22</f>
        <v>3601642.1127282009</v>
      </c>
      <c r="G32" s="167"/>
      <c r="H32" s="168">
        <f t="shared" si="2"/>
        <v>4033827.1777655701</v>
      </c>
      <c r="I32" s="168">
        <f t="shared" si="2"/>
        <v>432185.06503736926</v>
      </c>
      <c r="J32" s="168"/>
      <c r="K32" s="168">
        <f t="shared" ca="1" si="2"/>
        <v>449170.12433054304</v>
      </c>
    </row>
  </sheetData>
  <pageMargins left="0.7" right="0.7" top="0.5" bottom="0.5" header="0.3" footer="0.3"/>
  <pageSetup orientation="landscape" verticalDpi="599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A2" sqref="A2"/>
    </sheetView>
  </sheetViews>
  <sheetFormatPr defaultRowHeight="15" x14ac:dyDescent="0.25"/>
  <cols>
    <col min="1" max="1" width="52" bestFit="1" customWidth="1"/>
    <col min="2" max="2" width="11.5703125" bestFit="1" customWidth="1"/>
    <col min="3" max="3" width="15.140625" bestFit="1" customWidth="1"/>
    <col min="4" max="4" width="7.140625" bestFit="1" customWidth="1"/>
    <col min="5" max="5" width="3.7109375" customWidth="1"/>
    <col min="7" max="7" width="8.5703125" bestFit="1" customWidth="1"/>
    <col min="8" max="8" width="10" bestFit="1" customWidth="1"/>
  </cols>
  <sheetData>
    <row r="1" spans="1:8" ht="23.25" x14ac:dyDescent="0.35">
      <c r="A1" s="201" t="s">
        <v>0</v>
      </c>
    </row>
    <row r="2" spans="1:8" x14ac:dyDescent="0.25">
      <c r="A2" s="138" t="s">
        <v>196</v>
      </c>
    </row>
    <row r="3" spans="1:8" x14ac:dyDescent="0.25">
      <c r="A3" s="169"/>
      <c r="B3" s="169"/>
      <c r="C3" s="169"/>
      <c r="D3" s="169"/>
      <c r="E3" s="169"/>
      <c r="F3" s="169"/>
      <c r="G3" s="169"/>
      <c r="H3" s="169"/>
    </row>
    <row r="4" spans="1:8" x14ac:dyDescent="0.25">
      <c r="A4" s="170" t="s">
        <v>168</v>
      </c>
      <c r="B4" s="171" t="s">
        <v>172</v>
      </c>
      <c r="C4" s="171" t="s">
        <v>173</v>
      </c>
      <c r="D4" s="169"/>
      <c r="E4" s="169"/>
      <c r="F4" s="207" t="s">
        <v>174</v>
      </c>
      <c r="G4" s="207"/>
      <c r="H4" s="169"/>
    </row>
    <row r="5" spans="1:8" x14ac:dyDescent="0.25">
      <c r="A5" s="172" t="s">
        <v>175</v>
      </c>
      <c r="B5" s="173">
        <v>120.17</v>
      </c>
      <c r="C5" s="174">
        <f>B5/2000</f>
        <v>6.0085E-2</v>
      </c>
      <c r="D5" s="169"/>
      <c r="E5" s="169"/>
      <c r="F5" s="169" t="s">
        <v>176</v>
      </c>
      <c r="G5" s="175">
        <f>0.015</f>
        <v>1.4999999999999999E-2</v>
      </c>
      <c r="H5" s="169"/>
    </row>
    <row r="6" spans="1:8" x14ac:dyDescent="0.25">
      <c r="A6" s="172" t="s">
        <v>177</v>
      </c>
      <c r="B6" s="202">
        <v>134.59</v>
      </c>
      <c r="C6" s="176">
        <f>B6/2000</f>
        <v>6.7295000000000008E-2</v>
      </c>
      <c r="D6" s="169"/>
      <c r="E6" s="169"/>
      <c r="F6" s="169" t="s">
        <v>178</v>
      </c>
      <c r="G6" s="177">
        <f>0.004275</f>
        <v>4.2750000000000002E-3</v>
      </c>
      <c r="H6" s="169"/>
    </row>
    <row r="7" spans="1:8" x14ac:dyDescent="0.25">
      <c r="A7" s="178" t="s">
        <v>179</v>
      </c>
      <c r="B7" s="173">
        <f>B6-B5</f>
        <v>14.420000000000002</v>
      </c>
      <c r="C7" s="179">
        <f>C6-C5</f>
        <v>7.2100000000000081E-3</v>
      </c>
      <c r="D7" s="180">
        <f>+B7/B5</f>
        <v>0.11999667138220856</v>
      </c>
      <c r="E7" s="169"/>
      <c r="F7" s="169" t="s">
        <v>180</v>
      </c>
      <c r="G7" s="181">
        <v>1.8339999999999999E-2</v>
      </c>
      <c r="H7" s="169"/>
    </row>
    <row r="8" spans="1:8" x14ac:dyDescent="0.25">
      <c r="A8" s="169"/>
      <c r="B8" s="169"/>
      <c r="C8" s="169"/>
      <c r="D8" s="169"/>
      <c r="E8" s="169"/>
      <c r="G8" s="182">
        <f>SUM(G5:G7)</f>
        <v>3.7614999999999996E-2</v>
      </c>
      <c r="H8" s="169"/>
    </row>
    <row r="9" spans="1:8" x14ac:dyDescent="0.25">
      <c r="A9" s="169"/>
      <c r="C9" s="183" t="s">
        <v>181</v>
      </c>
      <c r="D9" s="169"/>
      <c r="E9" s="169"/>
      <c r="H9" s="169"/>
    </row>
    <row r="10" spans="1:8" x14ac:dyDescent="0.25">
      <c r="A10" s="169" t="s">
        <v>182</v>
      </c>
      <c r="C10" s="184">
        <f>B7</f>
        <v>14.420000000000002</v>
      </c>
      <c r="D10" s="169"/>
      <c r="E10" s="169"/>
      <c r="F10" s="169" t="s">
        <v>171</v>
      </c>
      <c r="G10" s="185">
        <f ca="1">+B20</f>
        <v>6.1297449989858978E-3</v>
      </c>
      <c r="H10" s="169"/>
    </row>
    <row r="11" spans="1:8" x14ac:dyDescent="0.25">
      <c r="A11" s="169" t="s">
        <v>183</v>
      </c>
      <c r="C11" s="184">
        <f ca="1">C10/$G$15</f>
        <v>15.07965569296109</v>
      </c>
      <c r="D11" s="169"/>
      <c r="E11" s="169"/>
      <c r="F11" s="169" t="s">
        <v>184</v>
      </c>
      <c r="G11" s="186">
        <f ca="1">+G10+G8</f>
        <v>4.3744744998985896E-2</v>
      </c>
      <c r="H11" s="169"/>
    </row>
    <row r="12" spans="1:8" x14ac:dyDescent="0.25">
      <c r="A12" s="169" t="s">
        <v>185</v>
      </c>
      <c r="C12" s="187">
        <f>+'Revenue &amp; Expense Adj.'!D22</f>
        <v>25748.370664293929</v>
      </c>
      <c r="D12" s="169"/>
      <c r="E12" s="169"/>
      <c r="F12" s="169"/>
      <c r="G12" s="169"/>
      <c r="H12" s="169"/>
    </row>
    <row r="13" spans="1:8" ht="17.25" x14ac:dyDescent="0.4">
      <c r="A13" s="138" t="s">
        <v>186</v>
      </c>
      <c r="C13" s="188">
        <f ca="1">C11*C12</f>
        <v>388276.56427229225</v>
      </c>
      <c r="D13" s="169"/>
      <c r="E13" s="169"/>
      <c r="F13" s="169" t="s">
        <v>166</v>
      </c>
      <c r="G13" s="189">
        <f>1-G8</f>
        <v>0.96238500000000005</v>
      </c>
      <c r="H13" s="169" t="s">
        <v>187</v>
      </c>
    </row>
    <row r="14" spans="1:8" x14ac:dyDescent="0.25">
      <c r="A14" s="169"/>
      <c r="B14" s="169"/>
      <c r="C14" s="169"/>
      <c r="D14" s="169"/>
      <c r="E14" s="169"/>
      <c r="F14" s="169"/>
      <c r="G14" s="169"/>
      <c r="H14" s="169"/>
    </row>
    <row r="15" spans="1:8" x14ac:dyDescent="0.25">
      <c r="A15" s="169" t="s">
        <v>171</v>
      </c>
      <c r="B15" s="190">
        <f>+'Revenue &amp; Expense Adj.'!K28</f>
        <v>60893.56005825079</v>
      </c>
      <c r="F15" s="169" t="s">
        <v>166</v>
      </c>
      <c r="G15" s="189">
        <f ca="1">1-G11</f>
        <v>0.95625525500101416</v>
      </c>
      <c r="H15" t="s">
        <v>188</v>
      </c>
    </row>
    <row r="16" spans="1:8" ht="17.25" x14ac:dyDescent="0.4">
      <c r="A16" s="169" t="s">
        <v>189</v>
      </c>
      <c r="B16" s="191">
        <f>+G13</f>
        <v>0.96238500000000005</v>
      </c>
      <c r="C16" s="150"/>
    </row>
    <row r="17" spans="1:3" ht="17.25" x14ac:dyDescent="0.4">
      <c r="A17" s="138"/>
      <c r="B17" s="190">
        <f>+B15/B16</f>
        <v>63273.596386322301</v>
      </c>
      <c r="C17" s="188"/>
    </row>
    <row r="18" spans="1:3" ht="17.25" x14ac:dyDescent="0.4">
      <c r="A18" s="138"/>
      <c r="B18" s="192"/>
      <c r="C18" s="188"/>
    </row>
    <row r="19" spans="1:3" ht="17.25" x14ac:dyDescent="0.4">
      <c r="A19" s="169" t="s">
        <v>191</v>
      </c>
      <c r="B19" s="193">
        <f>+B17-B15</f>
        <v>2380.0363280715101</v>
      </c>
      <c r="C19" s="188"/>
    </row>
    <row r="20" spans="1:3" ht="17.25" x14ac:dyDescent="0.4">
      <c r="A20" s="169" t="s">
        <v>166</v>
      </c>
      <c r="B20" s="186">
        <f ca="1">+B19/C13</f>
        <v>6.1297449989858978E-3</v>
      </c>
      <c r="C20" s="188"/>
    </row>
    <row r="22" spans="1:3" ht="48.75" customHeight="1" x14ac:dyDescent="0.25">
      <c r="A22" s="208" t="s">
        <v>192</v>
      </c>
      <c r="B22" s="208"/>
    </row>
    <row r="24" spans="1:3" ht="17.25" x14ac:dyDescent="0.4">
      <c r="C24" s="188">
        <f ca="1">+C13+B15</f>
        <v>449170.12433054304</v>
      </c>
    </row>
    <row r="27" spans="1:3" x14ac:dyDescent="0.25">
      <c r="A27" t="s">
        <v>193</v>
      </c>
      <c r="C27" s="203">
        <f>+'Com''l Priceout'!K153</f>
        <v>217103.22548811452</v>
      </c>
    </row>
    <row r="28" spans="1:3" x14ac:dyDescent="0.25">
      <c r="A28" t="s">
        <v>194</v>
      </c>
      <c r="C28" s="203">
        <f>+'Res''l Priceout'!K29</f>
        <v>171172.32000000004</v>
      </c>
    </row>
    <row r="29" spans="1:3" ht="17.25" x14ac:dyDescent="0.4">
      <c r="A29" t="s">
        <v>195</v>
      </c>
      <c r="C29" s="150">
        <f>+'Revenue &amp; Expense Adj.'!K28</f>
        <v>60893.56005825079</v>
      </c>
    </row>
    <row r="30" spans="1:3" ht="17.25" x14ac:dyDescent="0.4">
      <c r="C30" s="188">
        <f>SUM(C27:C29)</f>
        <v>449169.10554636538</v>
      </c>
    </row>
  </sheetData>
  <mergeCells count="2">
    <mergeCell ref="F4:G4"/>
    <mergeCell ref="A22:B22"/>
  </mergeCells>
  <pageMargins left="0.7" right="0.7" top="0.75" bottom="0.75" header="0.3" footer="0.3"/>
  <pageSetup orientation="landscape" verticalDpi="599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20F1ACBACEA9408CBBF030C41AC869" ma:contentTypeVersion="104" ma:contentTypeDescription="" ma:contentTypeScope="" ma:versionID="921bd8ce90fd0d1777af09cbe31c88f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2016-10-14T07:00:00+00:00</OpenedDate>
    <Date1 xmlns="dc463f71-b30c-4ab2-9473-d307f9d35888">2016-10-14T07:00:00+00:00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Management of Washington, Inc.</CaseCompanyNames>
    <DocketNumber xmlns="dc463f71-b30c-4ab2-9473-d307f9d35888">161134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51B80B5-1BDD-4635-965C-97AFFCB44DAD}"/>
</file>

<file path=customXml/itemProps2.xml><?xml version="1.0" encoding="utf-8"?>
<ds:datastoreItem xmlns:ds="http://schemas.openxmlformats.org/officeDocument/2006/customXml" ds:itemID="{22530809-8A06-43BB-860A-E30F77E1E533}"/>
</file>

<file path=customXml/itemProps3.xml><?xml version="1.0" encoding="utf-8"?>
<ds:datastoreItem xmlns:ds="http://schemas.openxmlformats.org/officeDocument/2006/customXml" ds:itemID="{E02EDC31-408A-43CF-B5EB-08DFC2A6A91A}"/>
</file>

<file path=customXml/itemProps4.xml><?xml version="1.0" encoding="utf-8"?>
<ds:datastoreItem xmlns:ds="http://schemas.openxmlformats.org/officeDocument/2006/customXml" ds:itemID="{7FA5D116-70AE-4FD9-BB0B-BD17E814E6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Com'l Priceout</vt:lpstr>
      <vt:lpstr>Res'l Priceout</vt:lpstr>
      <vt:lpstr>Revenue &amp; Expense Adj.</vt:lpstr>
      <vt:lpstr>Gross up Factor</vt:lpstr>
      <vt:lpstr>'Com''l Priceout'!Print_Area</vt:lpstr>
      <vt:lpstr>'Gross up Factor'!Print_Area</vt:lpstr>
      <vt:lpstr>'Res''l Priceout'!Print_Area</vt:lpstr>
      <vt:lpstr>'Revenue &amp; Expense Adj.'!Print_Area</vt:lpstr>
      <vt:lpstr>'Com''l Priceout'!Print_Titles</vt:lpstr>
    </vt:vector>
  </TitlesOfParts>
  <Company>Waste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Weinstein, Mike</cp:lastModifiedBy>
  <cp:lastPrinted>2016-10-13T15:21:20Z</cp:lastPrinted>
  <dcterms:created xsi:type="dcterms:W3CDTF">2016-09-23T16:56:42Z</dcterms:created>
  <dcterms:modified xsi:type="dcterms:W3CDTF">2016-10-13T15:21:25Z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0x0101006E56B4D1795A2E4DB2F0B01679ED314A004920F1ACBACEA9408CBBF030C41AC869</vt:lpwstr>
  </property>
  <property fmtid="{D5CDD505-2E9C-101B-9397-08002B2CF9AE}" pid="3" name="_docset_NoMedatataSyncRequired">
    <vt:lpwstr>False</vt:lpwstr>
  </property>
</Properties>
</file>