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wyse\Documents\"/>
    </mc:Choice>
  </mc:AlternateContent>
  <bookViews>
    <workbookView xWindow="11240" yWindow="0" windowWidth="13520" windowHeight="8580" tabRatio="500"/>
  </bookViews>
  <sheets>
    <sheet name="Tonnage" sheetId="4" r:id="rId1"/>
    <sheet name="Priceout" sheetId="3" r:id="rId2"/>
  </sheets>
  <calcPr calcId="152511" iterateDelta="1E-4"/>
</workbook>
</file>

<file path=xl/calcChain.xml><?xml version="1.0" encoding="utf-8"?>
<calcChain xmlns="http://schemas.openxmlformats.org/spreadsheetml/2006/main">
  <c r="Q27" i="3" l="1"/>
  <c r="Q49" i="3"/>
  <c r="Q67" i="3"/>
  <c r="E28" i="3"/>
  <c r="M54" i="3" l="1"/>
  <c r="M55" i="3" s="1"/>
  <c r="K2" i="3"/>
  <c r="D30" i="4"/>
  <c r="B30" i="4"/>
  <c r="I46" i="3"/>
  <c r="I45" i="3"/>
  <c r="I44" i="3"/>
  <c r="I43" i="3"/>
  <c r="I42" i="3"/>
  <c r="I39" i="3"/>
  <c r="I38" i="3"/>
  <c r="I37" i="3"/>
  <c r="I36" i="3"/>
  <c r="I33" i="3"/>
  <c r="I30" i="3"/>
  <c r="I29" i="3"/>
  <c r="I28" i="3"/>
  <c r="I7" i="3"/>
  <c r="I12" i="3"/>
  <c r="I13" i="3"/>
  <c r="I16" i="3"/>
  <c r="I18" i="3"/>
  <c r="I20" i="3"/>
  <c r="I21" i="3"/>
  <c r="I22" i="3"/>
  <c r="I23" i="3"/>
  <c r="I24" i="3"/>
  <c r="I25" i="3"/>
  <c r="I26" i="3"/>
  <c r="H31" i="3"/>
  <c r="I31" i="3" s="1"/>
  <c r="H19" i="3"/>
  <c r="I19" i="3" s="1"/>
  <c r="H17" i="3"/>
  <c r="I17" i="3" s="1"/>
  <c r="H15" i="3"/>
  <c r="I15" i="3" s="1"/>
  <c r="H14" i="3"/>
  <c r="I14" i="3" s="1"/>
  <c r="H11" i="3"/>
  <c r="I11" i="3" s="1"/>
  <c r="H10" i="3"/>
  <c r="I10" i="3" s="1"/>
  <c r="H9" i="3"/>
  <c r="I9" i="3" s="1"/>
  <c r="H8" i="3"/>
  <c r="I8" i="3" s="1"/>
  <c r="H6" i="3"/>
  <c r="I6" i="3" s="1"/>
  <c r="F23" i="4"/>
  <c r="F27" i="4" s="1"/>
  <c r="F22" i="4"/>
  <c r="E22" i="4"/>
  <c r="D22" i="4"/>
  <c r="C22" i="4"/>
  <c r="B22" i="4"/>
  <c r="B23" i="4" s="1"/>
  <c r="E11" i="4"/>
  <c r="E12" i="4" s="1"/>
  <c r="D11" i="4"/>
  <c r="C11" i="4"/>
  <c r="C12" i="4" s="1"/>
  <c r="B11" i="4"/>
  <c r="F11" i="4"/>
  <c r="F26" i="4" s="1"/>
  <c r="H32" i="3" l="1"/>
  <c r="H41" i="3" s="1"/>
  <c r="I41" i="3" s="1"/>
  <c r="H40" i="3"/>
  <c r="I40" i="3" s="1"/>
  <c r="I32" i="3"/>
  <c r="C26" i="4"/>
  <c r="D26" i="4"/>
  <c r="C23" i="4"/>
  <c r="E26" i="4"/>
  <c r="D23" i="4"/>
  <c r="D27" i="4" s="1"/>
  <c r="D32" i="4" s="1"/>
  <c r="E23" i="4"/>
  <c r="E27" i="4" s="1"/>
  <c r="C27" i="4"/>
  <c r="B26" i="4"/>
  <c r="B12" i="4"/>
  <c r="B27" i="4" s="1"/>
  <c r="B32" i="4" l="1"/>
  <c r="I52" i="3"/>
  <c r="I50" i="3"/>
  <c r="I51" i="3" s="1"/>
  <c r="F75" i="3"/>
  <c r="P75" i="3" s="1"/>
  <c r="Q75" i="3" s="1"/>
  <c r="F74" i="3"/>
  <c r="P74" i="3" s="1"/>
  <c r="Q74" i="3" s="1"/>
  <c r="F73" i="3"/>
  <c r="P73" i="3" s="1"/>
  <c r="Q73" i="3" s="1"/>
  <c r="F72" i="3"/>
  <c r="P72" i="3" s="1"/>
  <c r="Q72" i="3" s="1"/>
  <c r="F71" i="3"/>
  <c r="P71" i="3" s="1"/>
  <c r="Q71" i="3" s="1"/>
  <c r="F70" i="3"/>
  <c r="P70" i="3" s="1"/>
  <c r="Q70" i="3" s="1"/>
  <c r="F69" i="3"/>
  <c r="P69" i="3" s="1"/>
  <c r="Q69" i="3" s="1"/>
  <c r="F68" i="3"/>
  <c r="P68" i="3" s="1"/>
  <c r="Q68" i="3" s="1"/>
  <c r="F66" i="3"/>
  <c r="P66" i="3" s="1"/>
  <c r="Q66" i="3" s="1"/>
  <c r="F65" i="3"/>
  <c r="P65" i="3" s="1"/>
  <c r="Q65" i="3" s="1"/>
  <c r="F64" i="3"/>
  <c r="P64" i="3" s="1"/>
  <c r="Q64" i="3" s="1"/>
  <c r="F63" i="3"/>
  <c r="P63" i="3" s="1"/>
  <c r="Q63" i="3" s="1"/>
  <c r="F62" i="3"/>
  <c r="P62" i="3" s="1"/>
  <c r="Q62" i="3" s="1"/>
  <c r="F61" i="3"/>
  <c r="P61" i="3" s="1"/>
  <c r="Q61" i="3" s="1"/>
  <c r="F60" i="3"/>
  <c r="P60" i="3" s="1"/>
  <c r="Q60" i="3" s="1"/>
  <c r="F59" i="3"/>
  <c r="P59" i="3" s="1"/>
  <c r="Q59" i="3" s="1"/>
  <c r="F58" i="3"/>
  <c r="P58" i="3" s="1"/>
  <c r="Q58" i="3" s="1"/>
  <c r="F57" i="3"/>
  <c r="P57" i="3" s="1"/>
  <c r="Q57" i="3" s="1"/>
  <c r="F56" i="3"/>
  <c r="P56" i="3" s="1"/>
  <c r="Q56" i="3" s="1"/>
  <c r="F55" i="3"/>
  <c r="P55" i="3" s="1"/>
  <c r="Q55" i="3" s="1"/>
  <c r="F54" i="3"/>
  <c r="P54" i="3" s="1"/>
  <c r="Q54" i="3" s="1"/>
  <c r="F53" i="3"/>
  <c r="P53" i="3" s="1"/>
  <c r="Q53" i="3" s="1"/>
  <c r="F52" i="3"/>
  <c r="P52" i="3" s="1"/>
  <c r="Q52" i="3" s="1"/>
  <c r="F51" i="3"/>
  <c r="P51" i="3" s="1"/>
  <c r="Q51" i="3" s="1"/>
  <c r="F50" i="3"/>
  <c r="P50" i="3" s="1"/>
  <c r="Q50" i="3" s="1"/>
  <c r="F48" i="3"/>
  <c r="P48" i="3" s="1"/>
  <c r="Q48" i="3" s="1"/>
  <c r="F47" i="3"/>
  <c r="P47" i="3" s="1"/>
  <c r="Q47" i="3" s="1"/>
  <c r="F46" i="3"/>
  <c r="F45" i="3"/>
  <c r="F44" i="3"/>
  <c r="F43" i="3"/>
  <c r="F42" i="3"/>
  <c r="F41" i="3"/>
  <c r="F40" i="3"/>
  <c r="F39" i="3"/>
  <c r="F38" i="3"/>
  <c r="F37" i="3"/>
  <c r="F36" i="3"/>
  <c r="F35" i="3"/>
  <c r="P35" i="3" s="1"/>
  <c r="Q35" i="3" s="1"/>
  <c r="F34" i="3"/>
  <c r="P34" i="3" s="1"/>
  <c r="Q34" i="3" s="1"/>
  <c r="F33" i="3"/>
  <c r="F32" i="3"/>
  <c r="F31" i="3"/>
  <c r="F30" i="3"/>
  <c r="F29" i="3"/>
  <c r="F28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6" i="3"/>
  <c r="F77" i="3" l="1"/>
  <c r="I53" i="3"/>
  <c r="J8" i="3" l="1"/>
  <c r="K8" i="3" s="1"/>
  <c r="L8" i="3" s="1"/>
  <c r="M8" i="3" s="1"/>
  <c r="N8" i="3" s="1"/>
  <c r="J25" i="3"/>
  <c r="K25" i="3" s="1"/>
  <c r="L25" i="3" s="1"/>
  <c r="M25" i="3" s="1"/>
  <c r="N25" i="3" s="1"/>
  <c r="J21" i="3"/>
  <c r="K21" i="3" s="1"/>
  <c r="L21" i="3" s="1"/>
  <c r="M21" i="3" s="1"/>
  <c r="N21" i="3" s="1"/>
  <c r="J44" i="3"/>
  <c r="K44" i="3" s="1"/>
  <c r="L44" i="3" s="1"/>
  <c r="M44" i="3" s="1"/>
  <c r="N44" i="3" s="1"/>
  <c r="P44" i="3" s="1"/>
  <c r="Q44" i="3" s="1"/>
  <c r="J39" i="3"/>
  <c r="K39" i="3" s="1"/>
  <c r="L39" i="3" s="1"/>
  <c r="M39" i="3" s="1"/>
  <c r="N39" i="3" s="1"/>
  <c r="P39" i="3" s="1"/>
  <c r="Q39" i="3" s="1"/>
  <c r="J22" i="3"/>
  <c r="K22" i="3" s="1"/>
  <c r="L22" i="3" s="1"/>
  <c r="M22" i="3" s="1"/>
  <c r="N22" i="3" s="1"/>
  <c r="J37" i="3"/>
  <c r="K37" i="3" s="1"/>
  <c r="L37" i="3" s="1"/>
  <c r="M37" i="3" s="1"/>
  <c r="N37" i="3" s="1"/>
  <c r="P37" i="3" s="1"/>
  <c r="Q37" i="3" s="1"/>
  <c r="J30" i="3"/>
  <c r="K30" i="3" s="1"/>
  <c r="L30" i="3" s="1"/>
  <c r="M30" i="3" s="1"/>
  <c r="N30" i="3" s="1"/>
  <c r="P30" i="3" s="1"/>
  <c r="Q30" i="3" s="1"/>
  <c r="J32" i="3"/>
  <c r="K32" i="3" s="1"/>
  <c r="L32" i="3" s="1"/>
  <c r="M32" i="3" s="1"/>
  <c r="N32" i="3" s="1"/>
  <c r="P32" i="3" s="1"/>
  <c r="Q32" i="3" s="1"/>
  <c r="J42" i="3"/>
  <c r="K42" i="3" s="1"/>
  <c r="L42" i="3" s="1"/>
  <c r="M42" i="3" s="1"/>
  <c r="N42" i="3" s="1"/>
  <c r="P42" i="3" s="1"/>
  <c r="Q42" i="3" s="1"/>
  <c r="J38" i="3"/>
  <c r="K38" i="3" s="1"/>
  <c r="L38" i="3" s="1"/>
  <c r="M38" i="3" s="1"/>
  <c r="N38" i="3" s="1"/>
  <c r="P38" i="3" s="1"/>
  <c r="Q38" i="3" s="1"/>
  <c r="J11" i="3"/>
  <c r="K11" i="3" s="1"/>
  <c r="L11" i="3" s="1"/>
  <c r="M11" i="3" s="1"/>
  <c r="N11" i="3" s="1"/>
  <c r="J16" i="3"/>
  <c r="K16" i="3" s="1"/>
  <c r="L16" i="3" s="1"/>
  <c r="M16" i="3" s="1"/>
  <c r="N16" i="3" s="1"/>
  <c r="J33" i="3"/>
  <c r="K33" i="3" s="1"/>
  <c r="L33" i="3" s="1"/>
  <c r="M33" i="3" s="1"/>
  <c r="N33" i="3" s="1"/>
  <c r="P33" i="3" s="1"/>
  <c r="Q33" i="3" s="1"/>
  <c r="J18" i="3"/>
  <c r="K18" i="3" s="1"/>
  <c r="L18" i="3" s="1"/>
  <c r="M18" i="3" s="1"/>
  <c r="N18" i="3" s="1"/>
  <c r="J28" i="3"/>
  <c r="K28" i="3" s="1"/>
  <c r="L28" i="3" s="1"/>
  <c r="M28" i="3" s="1"/>
  <c r="N28" i="3" s="1"/>
  <c r="P28" i="3" s="1"/>
  <c r="Q28" i="3" s="1"/>
  <c r="J7" i="3"/>
  <c r="K7" i="3" s="1"/>
  <c r="L7" i="3" s="1"/>
  <c r="M7" i="3" s="1"/>
  <c r="N7" i="3" s="1"/>
  <c r="J12" i="3"/>
  <c r="K12" i="3" s="1"/>
  <c r="L12" i="3" s="1"/>
  <c r="M12" i="3" s="1"/>
  <c r="N12" i="3" s="1"/>
  <c r="J9" i="3"/>
  <c r="K9" i="3" s="1"/>
  <c r="L9" i="3" s="1"/>
  <c r="M9" i="3" s="1"/>
  <c r="N9" i="3" s="1"/>
  <c r="J17" i="3"/>
  <c r="K17" i="3" s="1"/>
  <c r="L17" i="3" s="1"/>
  <c r="M17" i="3" s="1"/>
  <c r="N17" i="3" s="1"/>
  <c r="J14" i="3"/>
  <c r="K14" i="3" s="1"/>
  <c r="L14" i="3" s="1"/>
  <c r="M14" i="3" s="1"/>
  <c r="N14" i="3" s="1"/>
  <c r="J24" i="3"/>
  <c r="K24" i="3" s="1"/>
  <c r="L24" i="3" s="1"/>
  <c r="M24" i="3" s="1"/>
  <c r="N24" i="3" s="1"/>
  <c r="J31" i="3"/>
  <c r="K31" i="3" s="1"/>
  <c r="L31" i="3" s="1"/>
  <c r="M31" i="3" s="1"/>
  <c r="N31" i="3" s="1"/>
  <c r="P31" i="3" s="1"/>
  <c r="Q31" i="3" s="1"/>
  <c r="J19" i="3"/>
  <c r="K19" i="3" s="1"/>
  <c r="L19" i="3" s="1"/>
  <c r="M19" i="3" s="1"/>
  <c r="N19" i="3" s="1"/>
  <c r="J46" i="3"/>
  <c r="K46" i="3" s="1"/>
  <c r="L46" i="3" s="1"/>
  <c r="M46" i="3" s="1"/>
  <c r="N46" i="3" s="1"/>
  <c r="P46" i="3" s="1"/>
  <c r="Q46" i="3" s="1"/>
  <c r="J15" i="3"/>
  <c r="K15" i="3" s="1"/>
  <c r="L15" i="3" s="1"/>
  <c r="M15" i="3" s="1"/>
  <c r="N15" i="3" s="1"/>
  <c r="J20" i="3"/>
  <c r="K20" i="3" s="1"/>
  <c r="L20" i="3" s="1"/>
  <c r="M20" i="3" s="1"/>
  <c r="N20" i="3" s="1"/>
  <c r="J43" i="3"/>
  <c r="K43" i="3" s="1"/>
  <c r="L43" i="3" s="1"/>
  <c r="M43" i="3" s="1"/>
  <c r="N43" i="3" s="1"/>
  <c r="P43" i="3" s="1"/>
  <c r="Q43" i="3" s="1"/>
  <c r="J29" i="3"/>
  <c r="K29" i="3" s="1"/>
  <c r="L29" i="3" s="1"/>
  <c r="M29" i="3" s="1"/>
  <c r="N29" i="3" s="1"/>
  <c r="P29" i="3" s="1"/>
  <c r="Q29" i="3" s="1"/>
  <c r="J6" i="3"/>
  <c r="J41" i="3"/>
  <c r="K41" i="3" s="1"/>
  <c r="L41" i="3" s="1"/>
  <c r="M41" i="3" s="1"/>
  <c r="N41" i="3" s="1"/>
  <c r="P41" i="3" s="1"/>
  <c r="Q41" i="3" s="1"/>
  <c r="J36" i="3"/>
  <c r="K36" i="3" s="1"/>
  <c r="L36" i="3" s="1"/>
  <c r="M36" i="3" s="1"/>
  <c r="N36" i="3" s="1"/>
  <c r="P36" i="3" s="1"/>
  <c r="Q36" i="3" s="1"/>
  <c r="J10" i="3"/>
  <c r="K10" i="3" s="1"/>
  <c r="L10" i="3" s="1"/>
  <c r="M10" i="3" s="1"/>
  <c r="N10" i="3" s="1"/>
  <c r="J13" i="3"/>
  <c r="K13" i="3" s="1"/>
  <c r="L13" i="3" s="1"/>
  <c r="M13" i="3" s="1"/>
  <c r="N13" i="3" s="1"/>
  <c r="J23" i="3"/>
  <c r="K23" i="3" s="1"/>
  <c r="L23" i="3" s="1"/>
  <c r="M23" i="3" s="1"/>
  <c r="N23" i="3" s="1"/>
  <c r="J45" i="3"/>
  <c r="K45" i="3" s="1"/>
  <c r="L45" i="3" s="1"/>
  <c r="M45" i="3" s="1"/>
  <c r="N45" i="3" s="1"/>
  <c r="P45" i="3" s="1"/>
  <c r="Q45" i="3" s="1"/>
  <c r="J40" i="3"/>
  <c r="K40" i="3" s="1"/>
  <c r="L40" i="3" s="1"/>
  <c r="M40" i="3" s="1"/>
  <c r="N40" i="3" s="1"/>
  <c r="P40" i="3" s="1"/>
  <c r="Q40" i="3" s="1"/>
  <c r="J26" i="3"/>
  <c r="K26" i="3" s="1"/>
  <c r="L26" i="3" s="1"/>
  <c r="M26" i="3" s="1"/>
  <c r="N26" i="3" s="1"/>
  <c r="K6" i="3" l="1"/>
  <c r="L6" i="3" s="1"/>
  <c r="M6" i="3" s="1"/>
  <c r="N6" i="3" s="1"/>
  <c r="J50" i="3"/>
  <c r="J51" i="3" s="1"/>
  <c r="P15" i="3"/>
  <c r="Q15" i="3" s="1"/>
  <c r="O15" i="3"/>
  <c r="O19" i="3"/>
  <c r="P19" i="3"/>
  <c r="Q19" i="3" s="1"/>
  <c r="P24" i="3"/>
  <c r="Q24" i="3" s="1"/>
  <c r="O24" i="3"/>
  <c r="P17" i="3"/>
  <c r="Q17" i="3" s="1"/>
  <c r="O17" i="3"/>
  <c r="O12" i="3"/>
  <c r="P12" i="3"/>
  <c r="Q12" i="3" s="1"/>
  <c r="P11" i="3"/>
  <c r="Q11" i="3" s="1"/>
  <c r="O11" i="3"/>
  <c r="P22" i="3"/>
  <c r="Q22" i="3" s="1"/>
  <c r="O22" i="3"/>
  <c r="O25" i="3"/>
  <c r="P25" i="3"/>
  <c r="Q25" i="3" s="1"/>
  <c r="O26" i="3"/>
  <c r="P26" i="3"/>
  <c r="Q26" i="3" s="1"/>
  <c r="O13" i="3"/>
  <c r="P13" i="3"/>
  <c r="Q13" i="3" s="1"/>
  <c r="P23" i="3"/>
  <c r="Q23" i="3" s="1"/>
  <c r="O23" i="3"/>
  <c r="O10" i="3"/>
  <c r="P10" i="3"/>
  <c r="Q10" i="3" s="1"/>
  <c r="O20" i="3"/>
  <c r="P20" i="3"/>
  <c r="Q20" i="3" s="1"/>
  <c r="P14" i="3"/>
  <c r="Q14" i="3" s="1"/>
  <c r="O14" i="3"/>
  <c r="O9" i="3"/>
  <c r="P9" i="3"/>
  <c r="Q9" i="3" s="1"/>
  <c r="P7" i="3"/>
  <c r="Q7" i="3" s="1"/>
  <c r="O7" i="3"/>
  <c r="P18" i="3"/>
  <c r="Q18" i="3" s="1"/>
  <c r="O18" i="3"/>
  <c r="O16" i="3"/>
  <c r="P16" i="3"/>
  <c r="Q16" i="3" s="1"/>
  <c r="P21" i="3"/>
  <c r="Q21" i="3" s="1"/>
  <c r="O21" i="3"/>
  <c r="P8" i="3"/>
  <c r="Q8" i="3" s="1"/>
  <c r="O8" i="3"/>
  <c r="O6" i="3" l="1"/>
  <c r="P6" i="3"/>
  <c r="Q6" i="3" l="1"/>
  <c r="P77" i="3"/>
  <c r="P79" i="3" s="1"/>
  <c r="O79" i="3" s="1"/>
</calcChain>
</file>

<file path=xl/comments1.xml><?xml version="1.0" encoding="utf-8"?>
<comments xmlns="http://schemas.openxmlformats.org/spreadsheetml/2006/main">
  <authors>
    <author>John Lloyd</author>
  </authors>
  <commentList>
    <comment ref="D30" authorId="0" shapeId="0">
      <text>
        <r>
          <rPr>
            <b/>
            <sz val="9"/>
            <color indexed="81"/>
            <rFont val="Tahoma"/>
            <family val="2"/>
          </rPr>
          <t>John Lloyd:</t>
        </r>
        <r>
          <rPr>
            <sz val="9"/>
            <color indexed="81"/>
            <rFont val="Tahoma"/>
            <family val="2"/>
          </rPr>
          <t xml:space="preserve">
Increase is compared to $64.50 since tariff wasn't changed 1-1-15.</t>
        </r>
      </text>
    </comment>
  </commentList>
</comments>
</file>

<file path=xl/comments2.xml><?xml version="1.0" encoding="utf-8"?>
<comments xmlns="http://schemas.openxmlformats.org/spreadsheetml/2006/main">
  <authors>
    <author>John Lloyd</author>
  </authors>
  <commentList>
    <comment ref="C5" authorId="0" shapeId="0">
      <text>
        <r>
          <rPr>
            <b/>
            <sz val="9"/>
            <color indexed="81"/>
            <rFont val="Tahoma"/>
            <charset val="1"/>
          </rPr>
          <t>John Lloyd:</t>
        </r>
        <r>
          <rPr>
            <sz val="9"/>
            <color indexed="81"/>
            <rFont val="Tahoma"/>
            <charset val="1"/>
          </rPr>
          <t xml:space="preserve">
Revenue from Couse Sanitation.  Rates changed 9/1/14.</t>
        </r>
      </text>
    </comment>
    <comment ref="D5" authorId="0" shapeId="0">
      <text>
        <r>
          <rPr>
            <b/>
            <sz val="9"/>
            <color indexed="81"/>
            <rFont val="Tahoma"/>
            <charset val="1"/>
          </rPr>
          <t>John Lloyd:</t>
        </r>
        <r>
          <rPr>
            <sz val="9"/>
            <color indexed="81"/>
            <rFont val="Tahoma"/>
            <charset val="1"/>
          </rPr>
          <t xml:space="preserve">
Actual Annual Units, at both previous and current rates</t>
        </r>
      </text>
    </comment>
    <comment ref="G12" authorId="0" shapeId="0">
      <text>
        <r>
          <rPr>
            <b/>
            <sz val="9"/>
            <color indexed="81"/>
            <rFont val="Tahoma"/>
            <charset val="1"/>
          </rPr>
          <t>John Lloyd:</t>
        </r>
        <r>
          <rPr>
            <sz val="9"/>
            <color indexed="81"/>
            <rFont val="Tahoma"/>
            <charset val="1"/>
          </rPr>
          <t xml:space="preserve">
45 Gal Can does not have meeks weight, so I split diff between 64 gallon and 32 gallon.</t>
        </r>
      </text>
    </comment>
    <comment ref="E28" authorId="0" shapeId="0">
      <text>
        <r>
          <rPr>
            <b/>
            <sz val="9"/>
            <color indexed="81"/>
            <rFont val="Tahoma"/>
            <charset val="1"/>
          </rPr>
          <t>John Lloyd:</t>
        </r>
        <r>
          <rPr>
            <sz val="9"/>
            <color indexed="81"/>
            <rFont val="Tahoma"/>
            <charset val="1"/>
          </rPr>
          <t xml:space="preserve">
Prev Rate +9.6% from last case</t>
        </r>
      </text>
    </comment>
    <comment ref="E29" authorId="0" shapeId="0">
      <text>
        <r>
          <rPr>
            <b/>
            <sz val="9"/>
            <color indexed="81"/>
            <rFont val="Tahoma"/>
            <charset val="1"/>
          </rPr>
          <t>John Lloyd:</t>
        </r>
        <r>
          <rPr>
            <sz val="9"/>
            <color indexed="81"/>
            <rFont val="Tahoma"/>
            <charset val="1"/>
          </rPr>
          <t xml:space="preserve">
Staff Proposed Rate from last case, later removed</t>
        </r>
      </text>
    </comment>
  </commentList>
</comments>
</file>

<file path=xl/sharedStrings.xml><?xml version="1.0" encoding="utf-8"?>
<sst xmlns="http://schemas.openxmlformats.org/spreadsheetml/2006/main" count="203" uniqueCount="130">
  <si>
    <t>Units</t>
  </si>
  <si>
    <t>2YD + RENT 1XWK</t>
  </si>
  <si>
    <t>SA HR TRUCK RATE</t>
  </si>
  <si>
    <t>1 CAN WK</t>
  </si>
  <si>
    <t>2YD BIN</t>
  </si>
  <si>
    <t>UNLOCK CHG</t>
  </si>
  <si>
    <t>COMM CAN-G</t>
  </si>
  <si>
    <t>COMM CAN</t>
  </si>
  <si>
    <t>4YD BIN</t>
  </si>
  <si>
    <t>6YD BIN</t>
  </si>
  <si>
    <t>EXTRA CAN</t>
  </si>
  <si>
    <t>EXTRA BAG</t>
  </si>
  <si>
    <t>DRIVE-IN</t>
  </si>
  <si>
    <t>1 CAN MO</t>
  </si>
  <si>
    <t>LOOSE YARD</t>
  </si>
  <si>
    <t>45/55 GAL CANS</t>
  </si>
  <si>
    <t>EXTRA BOX</t>
  </si>
  <si>
    <t>45/55 GAL CAN  NTAX</t>
  </si>
  <si>
    <t>ROLL OUT FEE</t>
  </si>
  <si>
    <t>1 YD BIN</t>
  </si>
  <si>
    <t>SERVICE CHANGE ADJUST</t>
  </si>
  <si>
    <t>RO HR TRUCK RATE</t>
  </si>
  <si>
    <t>TRANS STA INV</t>
  </si>
  <si>
    <t>20YD MONTHLY RENT</t>
  </si>
  <si>
    <t>LANDFILL INV</t>
  </si>
  <si>
    <t>O/W-O/F YARDAGE FEE</t>
  </si>
  <si>
    <t>4 YD BIN</t>
  </si>
  <si>
    <t>6 YD BIN</t>
  </si>
  <si>
    <t>OVERWEIGHT FEE</t>
  </si>
  <si>
    <t>30YD DAILY RENT</t>
  </si>
  <si>
    <t>2 CANS WK</t>
  </si>
  <si>
    <t>3 CANS WK</t>
  </si>
  <si>
    <t>4 CANS WK</t>
  </si>
  <si>
    <t>5 CANS WK</t>
  </si>
  <si>
    <t>6 CANS WK</t>
  </si>
  <si>
    <t>1 CAN EOW</t>
  </si>
  <si>
    <t>64 GAL 1XMO</t>
  </si>
  <si>
    <t>64 GAL 1XWK</t>
  </si>
  <si>
    <t>1YD BIN+RENT</t>
  </si>
  <si>
    <t>2YD + RENT</t>
  </si>
  <si>
    <t>2YD + RENT 2XWK</t>
  </si>
  <si>
    <t>2YD MONTHLY RENT</t>
  </si>
  <si>
    <t>3YD + RENT</t>
  </si>
  <si>
    <t>4YD + RENT</t>
  </si>
  <si>
    <t>4YD + RENT 1XWK</t>
  </si>
  <si>
    <t>6YD + RENT</t>
  </si>
  <si>
    <t>6YD + RENT 1XWK</t>
  </si>
  <si>
    <t>14YD MONTHLY RENT</t>
  </si>
  <si>
    <t>30YD MONTHLY RENT</t>
  </si>
  <si>
    <t>40YD MONTHLY RENT</t>
  </si>
  <si>
    <t>96 GAL 1XWK</t>
  </si>
  <si>
    <t>20 YD BIN RENT NO S/T</t>
  </si>
  <si>
    <t>FINANCE CHARGE</t>
  </si>
  <si>
    <t>BALANCE ADJUST</t>
  </si>
  <si>
    <t>NSF CHECK CHARGE</t>
  </si>
  <si>
    <t>RESTART ADJUST</t>
  </si>
  <si>
    <t>SARO HR TRUCK RATE</t>
  </si>
  <si>
    <t>12YD MONTHLY RENT</t>
  </si>
  <si>
    <t>20YD DAILY RENT</t>
  </si>
  <si>
    <t>12YD DAILY RENT</t>
  </si>
  <si>
    <t>2YD DAILY RENT</t>
  </si>
  <si>
    <t>RATE ADJUSTMENT</t>
  </si>
  <si>
    <t>FINANCE CHG CREDIT</t>
  </si>
  <si>
    <t>6YD + RENT 2XWK</t>
  </si>
  <si>
    <t>96 GAL 1XMO</t>
  </si>
  <si>
    <t>OW 64 GAL CART</t>
  </si>
  <si>
    <t>OW 96 GAL CART</t>
  </si>
  <si>
    <t>OVERWEIGHT/FULL</t>
  </si>
  <si>
    <t>Rate</t>
  </si>
  <si>
    <t>Service</t>
  </si>
  <si>
    <t>Revenue</t>
  </si>
  <si>
    <t>Curr Rate</t>
  </si>
  <si>
    <t>Pro Forma</t>
  </si>
  <si>
    <t>Total</t>
  </si>
  <si>
    <t>Type</t>
  </si>
  <si>
    <t>Can</t>
  </si>
  <si>
    <t>Cont</t>
  </si>
  <si>
    <t>Rolloff</t>
  </si>
  <si>
    <t>can</t>
  </si>
  <si>
    <t>cont</t>
  </si>
  <si>
    <t>Other</t>
  </si>
  <si>
    <t>Lbs/</t>
  </si>
  <si>
    <t>Monthly</t>
  </si>
  <si>
    <t>Expected</t>
  </si>
  <si>
    <t>Actual</t>
  </si>
  <si>
    <t>Gross</t>
  </si>
  <si>
    <t>Proposed</t>
  </si>
  <si>
    <t>PU</t>
  </si>
  <si>
    <t>PUs</t>
  </si>
  <si>
    <t>Lbs</t>
  </si>
  <si>
    <t>Up (Down)</t>
  </si>
  <si>
    <t>Tariff</t>
  </si>
  <si>
    <t>TONNAGES</t>
  </si>
  <si>
    <t>FERRY COUNTY</t>
  </si>
  <si>
    <t>STEVENS COUNTY</t>
  </si>
  <si>
    <t>MONTH</t>
  </si>
  <si>
    <t>RURAL</t>
  </si>
  <si>
    <t>DROP BOX</t>
  </si>
  <si>
    <t>COL CEDAR DB</t>
  </si>
  <si>
    <t>COST/TON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</si>
  <si>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</si>
  <si>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</si>
  <si>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</si>
  <si>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</si>
  <si>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</si>
  <si>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</si>
  <si>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</si>
  <si>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</si>
  <si>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</si>
  <si>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</si>
  <si>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</si>
  <si>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</si>
  <si>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2014 TONS</t>
  </si>
  <si>
    <t>2015 Tons</t>
  </si>
  <si>
    <t>Total Expense</t>
  </si>
  <si>
    <t>Total Tons</t>
  </si>
  <si>
    <t>Total Exp Lbs:</t>
  </si>
  <si>
    <t>Total Exp Tons:</t>
  </si>
  <si>
    <t>Actual Tons:</t>
  </si>
  <si>
    <t>% Adjustment:</t>
  </si>
  <si>
    <t>Increase</t>
  </si>
  <si>
    <t>Jan 1 Rate</t>
  </si>
  <si>
    <t>PF Increase</t>
  </si>
  <si>
    <t>Increase/Lb</t>
  </si>
  <si>
    <t>Total PF Route Increase</t>
  </si>
  <si>
    <t>B&amp;O</t>
  </si>
  <si>
    <t>Bad Debt</t>
  </si>
  <si>
    <t>GrossUp:</t>
  </si>
  <si>
    <t>UTC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</si>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</sst>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_(\$* #,##0.00_);_(\$* \(#,##0.00\);_(\$* \-??_);_(@_)"/>
    <numFmt numFmtId="166" formatCode="0.0%"/>
  </numFmts>
  <fonts count="11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0"/>
      <color indexed="8"/>
      <name val="ARIAL"/>
      <charset val="1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>
      <alignment vertical="top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5" fontId="5" fillId="0" borderId="0" applyFill="0" applyBorder="0" applyAlignment="0" applyProtection="0"/>
    <xf numFmtId="0" fontId="5" fillId="0" borderId="0"/>
  </cellStyleXfs>
  <cellXfs count="26">
    <xf numFmtId="0" fontId="0" fillId="0" borderId="0" xfId="0">
      <alignment vertical="top"/>
    </xf>
    <xf numFmtId="43" fontId="0" fillId="0" borderId="0" xfId="1" applyFont="1" applyAlignment="1">
      <alignment vertical="top"/>
    </xf>
    <xf numFmtId="164" fontId="0" fillId="0" borderId="0" xfId="1" applyNumberFormat="1" applyFont="1" applyAlignment="1">
      <alignment vertical="top"/>
    </xf>
    <xf numFmtId="0" fontId="0" fillId="0" borderId="1" xfId="0" applyBorder="1">
      <alignment vertical="top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top"/>
    </xf>
    <xf numFmtId="164" fontId="0" fillId="0" borderId="0" xfId="0" applyNumberFormat="1">
      <alignment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>
      <alignment vertical="top"/>
    </xf>
    <xf numFmtId="0" fontId="4" fillId="0" borderId="1" xfId="0" applyFont="1" applyBorder="1" applyAlignment="1">
      <alignment horizontal="center" vertical="top"/>
    </xf>
    <xf numFmtId="0" fontId="4" fillId="0" borderId="1" xfId="0" quotePrefix="1" applyFont="1" applyBorder="1" applyAlignment="1">
      <alignment horizontal="center" vertical="top"/>
    </xf>
    <xf numFmtId="0" fontId="4" fillId="0" borderId="1" xfId="0" applyFont="1" applyBorder="1">
      <alignment vertical="top"/>
    </xf>
    <xf numFmtId="0" fontId="1" fillId="0" borderId="0" xfId="3"/>
    <xf numFmtId="8" fontId="1" fillId="0" borderId="0" xfId="3" applyNumberFormat="1"/>
    <xf numFmtId="43" fontId="1" fillId="0" borderId="0" xfId="1" applyFont="1"/>
    <xf numFmtId="43" fontId="1" fillId="0" borderId="0" xfId="3" applyNumberFormat="1"/>
    <xf numFmtId="0" fontId="1" fillId="0" borderId="1" xfId="3" applyBorder="1" applyAlignment="1">
      <alignment horizontal="center"/>
    </xf>
    <xf numFmtId="0" fontId="3" fillId="0" borderId="0" xfId="3" applyFont="1" applyAlignment="1">
      <alignment horizontal="center"/>
    </xf>
    <xf numFmtId="43" fontId="8" fillId="0" borderId="0" xfId="1" applyFont="1" applyAlignment="1">
      <alignment horizontal="right" vertical="top"/>
    </xf>
    <xf numFmtId="43" fontId="0" fillId="0" borderId="0" xfId="0" applyNumberFormat="1">
      <alignment vertical="top"/>
    </xf>
    <xf numFmtId="10" fontId="0" fillId="0" borderId="0" xfId="2" applyNumberFormat="1" applyFont="1" applyAlignment="1">
      <alignment vertical="top"/>
    </xf>
    <xf numFmtId="0" fontId="4" fillId="0" borderId="0" xfId="0" applyFont="1">
      <alignment vertical="top"/>
    </xf>
    <xf numFmtId="0" fontId="0" fillId="0" borderId="0" xfId="0" applyBorder="1">
      <alignment vertical="top"/>
    </xf>
    <xf numFmtId="10" fontId="0" fillId="0" borderId="0" xfId="2" applyNumberFormat="1" applyFont="1" applyBorder="1" applyAlignment="1">
      <alignment vertical="top"/>
    </xf>
    <xf numFmtId="166" fontId="0" fillId="0" borderId="0" xfId="2" applyNumberFormat="1" applyFont="1" applyAlignment="1">
      <alignment vertical="top"/>
    </xf>
    <xf numFmtId="0" fontId="1" fillId="0" borderId="0" xfId="3" applyAlignment="1">
      <alignment horizontal="center"/>
    </xf>
  </cellXfs>
  <cellStyles count="6">
    <cellStyle name="Comma" xfId="1" builtinId="3"/>
    <cellStyle name="Currency 2" xfId="4"/>
    <cellStyle name="Normal" xfId="0" builtinId="0"/>
    <cellStyle name="Normal 2" xfId="3"/>
    <cellStyle name="Normal 2 2" xfId="5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2"/>
  <sheetViews>
    <sheetView tabSelected="1" topLeftCell="A4" workbookViewId="0">
      <selection activeCell="F21" sqref="F21"/>
    </sheetView>
  </sheetViews>
  <sheetFormatPr defaultColWidth="9.1796875" defaultRowHeight="14.5" x14ac:dyDescent="0.35"/>
  <cols>
    <col min="1" max="1" width="13.453125" style="12" bestFit="1" customWidth="1"/>
    <col min="2" max="2" width="12.1796875" style="12" customWidth="1"/>
    <col min="3" max="3" width="10.7265625" style="12" customWidth="1"/>
    <col min="4" max="4" width="11.1796875" style="12" customWidth="1"/>
    <col min="5" max="5" width="11" style="12" customWidth="1"/>
    <col min="6" max="6" width="13.7265625" style="12" bestFit="1" customWidth="1"/>
    <col min="7" max="7" width="6" style="12" customWidth="1"/>
    <col min="8" max="8" width="14.7265625" style="12" customWidth="1"/>
    <col min="9" max="9" width="12.453125" style="12" customWidth="1"/>
    <col min="10" max="16384" width="9.1796875" style="12"/>
  </cols>
  <sheetData>
    <row r="1" spans="1:6" x14ac:dyDescent="0.35">
      <c r="A1" s="12" t="s">
        <v>92</v>
      </c>
    </row>
    <row r="2" spans="1:6" x14ac:dyDescent="0.35">
      <c r="A2" s="17">
        <v>2014</v>
      </c>
      <c r="B2" s="25" t="s">
        <v>93</v>
      </c>
      <c r="C2" s="25"/>
      <c r="D2" s="25" t="s">
        <v>94</v>
      </c>
      <c r="E2" s="25"/>
    </row>
    <row r="3" spans="1:6" ht="15" thickBot="1" x14ac:dyDescent="0.4">
      <c r="A3" s="12" t="s">
        <v>95</v>
      </c>
      <c r="B3" s="16" t="s">
        <v>96</v>
      </c>
      <c r="C3" s="16" t="s">
        <v>97</v>
      </c>
      <c r="D3" s="16" t="s">
        <v>96</v>
      </c>
      <c r="E3" s="16" t="s">
        <v>97</v>
      </c>
      <c r="F3" s="16" t="s">
        <v>98</v>
      </c>
    </row>
    <row r="4" spans="1:6" x14ac:dyDescent="0.35">
      <c r="A4" s="12" t="s">
        <v>99</v>
      </c>
      <c r="B4" s="14">
        <v>134</v>
      </c>
      <c r="C4" s="14">
        <v>134</v>
      </c>
      <c r="D4" s="14">
        <v>64.5</v>
      </c>
      <c r="E4" s="14">
        <v>64.5</v>
      </c>
      <c r="F4" s="14">
        <v>80.63</v>
      </c>
    </row>
    <row r="5" spans="1:6" x14ac:dyDescent="0.35">
      <c r="A5" s="12" t="s">
        <v>100</v>
      </c>
      <c r="B5" s="13">
        <v>5243.6</v>
      </c>
      <c r="C5" s="13">
        <v>1536.98</v>
      </c>
      <c r="D5" s="13">
        <v>780.46</v>
      </c>
      <c r="F5" s="13">
        <v>847.42</v>
      </c>
    </row>
    <row r="6" spans="1:6" x14ac:dyDescent="0.35">
      <c r="A6" s="12" t="s">
        <v>101</v>
      </c>
      <c r="B6" s="13">
        <v>4377.6000000000004</v>
      </c>
      <c r="C6" s="13">
        <v>4053.5</v>
      </c>
      <c r="D6" s="13">
        <v>675.33</v>
      </c>
      <c r="F6" s="13">
        <v>1082.06</v>
      </c>
    </row>
    <row r="7" spans="1:6" x14ac:dyDescent="0.35">
      <c r="A7" s="12" t="s">
        <v>102</v>
      </c>
      <c r="B7" s="13">
        <v>5810.24</v>
      </c>
      <c r="C7" s="13">
        <v>1748.7</v>
      </c>
      <c r="D7" s="13">
        <v>567.57000000000005</v>
      </c>
      <c r="F7" s="13">
        <v>1292.5</v>
      </c>
    </row>
    <row r="8" spans="1:6" x14ac:dyDescent="0.35">
      <c r="A8" s="12" t="s">
        <v>103</v>
      </c>
      <c r="B8" s="13">
        <v>5096.0200000000004</v>
      </c>
      <c r="C8" s="13">
        <v>5664.18</v>
      </c>
      <c r="D8" s="13">
        <v>705</v>
      </c>
      <c r="F8" s="13">
        <v>888.54</v>
      </c>
    </row>
    <row r="9" spans="1:6" x14ac:dyDescent="0.35">
      <c r="A9" s="12" t="s">
        <v>104</v>
      </c>
      <c r="B9" s="13">
        <v>4302.74</v>
      </c>
      <c r="C9" s="13">
        <v>1707.16</v>
      </c>
      <c r="D9" s="13">
        <v>498.59</v>
      </c>
      <c r="F9" s="13">
        <v>686.16</v>
      </c>
    </row>
    <row r="10" spans="1:6" x14ac:dyDescent="0.35">
      <c r="A10" s="12" t="s">
        <v>105</v>
      </c>
      <c r="B10" s="13">
        <v>4530.54</v>
      </c>
      <c r="C10" s="13">
        <v>469</v>
      </c>
      <c r="D10" s="13">
        <v>631.46</v>
      </c>
      <c r="F10" s="13">
        <v>1114.31</v>
      </c>
    </row>
    <row r="11" spans="1:6" x14ac:dyDescent="0.35">
      <c r="B11" s="13">
        <f>SUM(B5:B10)</f>
        <v>29360.739999999998</v>
      </c>
      <c r="C11" s="13">
        <f>SUM(C5:C10)</f>
        <v>15179.52</v>
      </c>
      <c r="D11" s="13">
        <f>SUM(D5:D10)</f>
        <v>3858.4100000000003</v>
      </c>
      <c r="E11" s="13">
        <f>SUM(E5:E10)</f>
        <v>0</v>
      </c>
      <c r="F11" s="13">
        <f>SUM(F5:F10)</f>
        <v>5910.99</v>
      </c>
    </row>
    <row r="12" spans="1:6" x14ac:dyDescent="0.35">
      <c r="A12" s="12" t="s">
        <v>112</v>
      </c>
      <c r="B12" s="15">
        <f>+B11/B4</f>
        <v>219.10999999999999</v>
      </c>
      <c r="C12" s="15">
        <f>+C11/C4</f>
        <v>113.28</v>
      </c>
      <c r="D12" s="12">
        <v>116.68</v>
      </c>
      <c r="E12" s="15">
        <f>+E11/E4</f>
        <v>0</v>
      </c>
      <c r="F12" s="12">
        <v>127.66</v>
      </c>
    </row>
    <row r="13" spans="1:6" x14ac:dyDescent="0.35">
      <c r="A13" s="17">
        <v>2015</v>
      </c>
    </row>
    <row r="14" spans="1:6" x14ac:dyDescent="0.35">
      <c r="A14" s="12" t="s">
        <v>99</v>
      </c>
      <c r="B14" s="14">
        <v>134</v>
      </c>
      <c r="C14" s="14">
        <v>134</v>
      </c>
      <c r="D14" s="14">
        <v>68</v>
      </c>
      <c r="E14" s="14">
        <v>68</v>
      </c>
      <c r="F14" s="14">
        <v>85</v>
      </c>
    </row>
    <row r="15" spans="1:6" x14ac:dyDescent="0.35">
      <c r="A15" s="12" t="s">
        <v>106</v>
      </c>
      <c r="B15" s="13">
        <v>4488.0600000000004</v>
      </c>
      <c r="C15" s="13">
        <v>1076.96</v>
      </c>
      <c r="D15" s="13">
        <v>544.67999999999995</v>
      </c>
      <c r="F15" s="13">
        <v>1065.05</v>
      </c>
    </row>
    <row r="16" spans="1:6" x14ac:dyDescent="0.35">
      <c r="A16" s="12" t="s">
        <v>107</v>
      </c>
      <c r="B16" s="13">
        <v>4466.22</v>
      </c>
      <c r="C16" s="13">
        <v>1153.74</v>
      </c>
      <c r="D16" s="13">
        <v>513.4</v>
      </c>
      <c r="F16" s="13">
        <v>789.65</v>
      </c>
    </row>
    <row r="17" spans="1:6" x14ac:dyDescent="0.35">
      <c r="A17" s="12" t="s">
        <v>108</v>
      </c>
      <c r="B17" s="13">
        <v>5355.98</v>
      </c>
      <c r="C17" s="13">
        <v>1475.34</v>
      </c>
      <c r="D17" s="13">
        <v>527</v>
      </c>
      <c r="F17" s="13">
        <v>997.05</v>
      </c>
    </row>
    <row r="18" spans="1:6" x14ac:dyDescent="0.35">
      <c r="A18" s="12" t="s">
        <v>109</v>
      </c>
      <c r="B18" s="13">
        <v>4683.3</v>
      </c>
      <c r="C18" s="13">
        <v>2068.96</v>
      </c>
      <c r="D18" s="13">
        <v>723.52</v>
      </c>
      <c r="E18" s="13">
        <v>185.9</v>
      </c>
      <c r="F18" s="13">
        <v>1027.6500000000001</v>
      </c>
    </row>
    <row r="19" spans="1:6" x14ac:dyDescent="0.35">
      <c r="A19" s="12" t="s">
        <v>110</v>
      </c>
      <c r="B19" s="13">
        <v>5118.7</v>
      </c>
      <c r="C19" s="13">
        <v>2580.84</v>
      </c>
      <c r="D19" s="13">
        <v>643.87</v>
      </c>
      <c r="E19" s="13">
        <v>394.15</v>
      </c>
      <c r="F19" s="13">
        <v>482.8</v>
      </c>
    </row>
    <row r="20" spans="1:6" x14ac:dyDescent="0.35">
      <c r="A20" s="12" t="s">
        <v>111</v>
      </c>
      <c r="B20" s="13">
        <v>5739.22</v>
      </c>
      <c r="C20" s="13">
        <v>1251.56</v>
      </c>
      <c r="D20" s="13">
        <v>611.32000000000005</v>
      </c>
      <c r="E20" s="13">
        <v>93.16</v>
      </c>
      <c r="F20" s="13">
        <v>604.35</v>
      </c>
    </row>
    <row r="22" spans="1:6" x14ac:dyDescent="0.35">
      <c r="B22" s="13">
        <f>SUM(B15:B21)</f>
        <v>29851.480000000003</v>
      </c>
      <c r="C22" s="13">
        <f>SUM(C15:C21)</f>
        <v>9607.4</v>
      </c>
      <c r="D22" s="13">
        <f>SUM(D15:D21)</f>
        <v>3563.79</v>
      </c>
      <c r="E22" s="13">
        <f>SUM(E15:E21)</f>
        <v>673.20999999999992</v>
      </c>
      <c r="F22" s="13">
        <f>SUM(F15:F21)</f>
        <v>4966.55</v>
      </c>
    </row>
    <row r="23" spans="1:6" x14ac:dyDescent="0.35">
      <c r="A23" s="12" t="s">
        <v>113</v>
      </c>
      <c r="B23" s="15">
        <f>+B22/B14</f>
        <v>222.77223880597018</v>
      </c>
      <c r="C23" s="15">
        <f>+C22/C14</f>
        <v>71.697014925373125</v>
      </c>
      <c r="D23" s="15">
        <f>+D22/D14</f>
        <v>52.408676470588233</v>
      </c>
      <c r="E23" s="15">
        <f>+E22/E14</f>
        <v>9.9001470588235279</v>
      </c>
      <c r="F23" s="15">
        <f>+F22/F14</f>
        <v>58.43</v>
      </c>
    </row>
    <row r="26" spans="1:6" x14ac:dyDescent="0.35">
      <c r="A26" s="12" t="s">
        <v>114</v>
      </c>
      <c r="B26" s="13">
        <f t="shared" ref="B26:F27" si="0">B11+B22</f>
        <v>59212.22</v>
      </c>
      <c r="C26" s="13">
        <f t="shared" si="0"/>
        <v>24786.92</v>
      </c>
      <c r="D26" s="13">
        <f t="shared" si="0"/>
        <v>7422.2000000000007</v>
      </c>
      <c r="E26" s="13">
        <f t="shared" si="0"/>
        <v>673.20999999999992</v>
      </c>
      <c r="F26" s="13">
        <f t="shared" si="0"/>
        <v>10877.54</v>
      </c>
    </row>
    <row r="27" spans="1:6" x14ac:dyDescent="0.35">
      <c r="A27" s="12" t="s">
        <v>115</v>
      </c>
      <c r="B27" s="14">
        <f t="shared" si="0"/>
        <v>441.88223880597013</v>
      </c>
      <c r="C27" s="14">
        <f t="shared" si="0"/>
        <v>184.97701492537311</v>
      </c>
      <c r="D27" s="14">
        <f t="shared" si="0"/>
        <v>169.08867647058824</v>
      </c>
      <c r="E27" s="14">
        <f t="shared" si="0"/>
        <v>9.9001470588235279</v>
      </c>
      <c r="F27" s="14">
        <f t="shared" si="0"/>
        <v>186.09</v>
      </c>
    </row>
    <row r="29" spans="1:6" x14ac:dyDescent="0.35">
      <c r="A29" s="12" t="s">
        <v>121</v>
      </c>
      <c r="B29" s="14">
        <v>141</v>
      </c>
      <c r="C29" s="14"/>
      <c r="D29" s="14">
        <v>71.5</v>
      </c>
      <c r="E29" s="14"/>
    </row>
    <row r="30" spans="1:6" x14ac:dyDescent="0.35">
      <c r="A30" s="12" t="s">
        <v>122</v>
      </c>
      <c r="B30" s="14">
        <f>+B29-B4</f>
        <v>7</v>
      </c>
      <c r="C30" s="14"/>
      <c r="D30" s="14">
        <f>+D29-D4</f>
        <v>7</v>
      </c>
      <c r="E30" s="14"/>
    </row>
    <row r="31" spans="1:6" x14ac:dyDescent="0.35">
      <c r="B31" s="14"/>
      <c r="C31" s="14"/>
      <c r="D31" s="14"/>
      <c r="E31" s="14"/>
    </row>
    <row r="32" spans="1:6" x14ac:dyDescent="0.35">
      <c r="A32" s="12" t="s">
        <v>124</v>
      </c>
      <c r="B32" s="15">
        <f>+B30*B27</f>
        <v>3093.1756716417908</v>
      </c>
      <c r="D32" s="15">
        <f>+D30*D27</f>
        <v>1183.6207352941176</v>
      </c>
    </row>
  </sheetData>
  <mergeCells count="2">
    <mergeCell ref="D2:E2"/>
    <mergeCell ref="B2:C2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79"/>
  <sheetViews>
    <sheetView zoomScale="90" zoomScaleNormal="90" workbookViewId="0">
      <pane xSplit="2" ySplit="5" topLeftCell="C45" activePane="bottomRight" state="frozen"/>
      <selection pane="topRight" activeCell="C1" sqref="C1"/>
      <selection pane="bottomLeft" activeCell="A6" sqref="A6"/>
      <selection pane="bottomRight" activeCell="O79" sqref="O79"/>
    </sheetView>
  </sheetViews>
  <sheetFormatPr defaultRowHeight="12.5" x14ac:dyDescent="0.25"/>
  <cols>
    <col min="1" max="1" width="6.7265625" bestFit="1" customWidth="1"/>
    <col min="2" max="2" width="26.1796875" bestFit="1" customWidth="1"/>
    <col min="3" max="3" width="8.81640625" bestFit="1" customWidth="1"/>
    <col min="4" max="4" width="8.453125" bestFit="1" customWidth="1"/>
    <col min="5" max="5" width="9.54296875" bestFit="1" customWidth="1"/>
    <col min="6" max="6" width="10.26953125" bestFit="1" customWidth="1"/>
    <col min="7" max="7" width="5.7265625" bestFit="1" customWidth="1"/>
    <col min="8" max="8" width="16.26953125" bestFit="1" customWidth="1"/>
    <col min="9" max="9" width="11.1796875" bestFit="1" customWidth="1"/>
    <col min="10" max="10" width="11.453125" bestFit="1" customWidth="1"/>
    <col min="11" max="11" width="8.81640625" bestFit="1" customWidth="1"/>
    <col min="12" max="12" width="9.54296875" bestFit="1" customWidth="1"/>
    <col min="13" max="13" width="10.453125" bestFit="1" customWidth="1"/>
    <col min="14" max="16" width="9.7265625" bestFit="1" customWidth="1"/>
  </cols>
  <sheetData>
    <row r="2" spans="1:17" x14ac:dyDescent="0.25">
      <c r="J2" s="21" t="s">
        <v>123</v>
      </c>
      <c r="K2">
        <f>7/2000</f>
        <v>3.5000000000000001E-3</v>
      </c>
    </row>
    <row r="4" spans="1:17" x14ac:dyDescent="0.25">
      <c r="C4" s="4"/>
      <c r="D4" s="4"/>
      <c r="E4" s="4"/>
      <c r="F4" s="4" t="s">
        <v>72</v>
      </c>
      <c r="G4" s="7" t="s">
        <v>81</v>
      </c>
      <c r="H4" s="7" t="s">
        <v>82</v>
      </c>
      <c r="I4" s="7" t="s">
        <v>83</v>
      </c>
      <c r="J4" s="7" t="s">
        <v>84</v>
      </c>
      <c r="K4" s="7" t="s">
        <v>70</v>
      </c>
      <c r="L4" s="7" t="s">
        <v>68</v>
      </c>
      <c r="M4" s="7" t="s">
        <v>85</v>
      </c>
      <c r="N4" s="7" t="s">
        <v>86</v>
      </c>
      <c r="O4" s="7" t="s">
        <v>86</v>
      </c>
      <c r="P4" s="7" t="s">
        <v>86</v>
      </c>
    </row>
    <row r="5" spans="1:17" ht="13" thickBot="1" x14ac:dyDescent="0.3">
      <c r="A5" s="3" t="s">
        <v>74</v>
      </c>
      <c r="B5" s="3" t="s">
        <v>69</v>
      </c>
      <c r="C5" s="5" t="s">
        <v>70</v>
      </c>
      <c r="D5" s="5" t="s">
        <v>0</v>
      </c>
      <c r="E5" s="5" t="s">
        <v>71</v>
      </c>
      <c r="F5" s="5" t="s">
        <v>70</v>
      </c>
      <c r="G5" s="9" t="s">
        <v>87</v>
      </c>
      <c r="H5" s="10" t="s">
        <v>88</v>
      </c>
      <c r="I5" s="9" t="s">
        <v>89</v>
      </c>
      <c r="J5" s="9" t="s">
        <v>89</v>
      </c>
      <c r="K5" s="9" t="s">
        <v>120</v>
      </c>
      <c r="L5" s="11" t="s">
        <v>120</v>
      </c>
      <c r="M5" s="9" t="s">
        <v>90</v>
      </c>
      <c r="N5" s="9" t="s">
        <v>68</v>
      </c>
      <c r="O5" s="9" t="s">
        <v>91</v>
      </c>
      <c r="P5" s="9" t="s">
        <v>70</v>
      </c>
      <c r="Q5" s="21" t="s">
        <v>120</v>
      </c>
    </row>
    <row r="6" spans="1:17" x14ac:dyDescent="0.25">
      <c r="A6" t="s">
        <v>75</v>
      </c>
      <c r="B6" t="s">
        <v>35</v>
      </c>
      <c r="C6" s="2">
        <v>8141.7100000000537</v>
      </c>
      <c r="D6" s="2">
        <v>521.4996539792387</v>
      </c>
      <c r="E6" s="1">
        <v>15.84</v>
      </c>
      <c r="F6" s="2">
        <f>+D6*E6</f>
        <v>8260.5545190311404</v>
      </c>
      <c r="G6" s="2">
        <v>34</v>
      </c>
      <c r="H6" s="1">
        <f>26/12</f>
        <v>2.1666666666666665</v>
      </c>
      <c r="I6" s="2">
        <f>+H6*G6*D6</f>
        <v>38417.141176470577</v>
      </c>
      <c r="J6" s="2">
        <f>+I6*$I$53</f>
        <v>29180.248425564001</v>
      </c>
      <c r="K6" s="1">
        <f>+J6*$K$2</f>
        <v>102.13086948947401</v>
      </c>
      <c r="L6" s="19">
        <f>+K6/D6</f>
        <v>0.19584072340255074</v>
      </c>
      <c r="M6" s="1">
        <f>ROUND(L6/$M$55,2)</f>
        <v>0.2</v>
      </c>
      <c r="N6" s="19">
        <f>+M6+E6</f>
        <v>16.04</v>
      </c>
      <c r="O6" s="19">
        <f>+N6</f>
        <v>16.04</v>
      </c>
      <c r="P6" s="2">
        <f>+N6*D6</f>
        <v>8364.8544498269875</v>
      </c>
      <c r="Q6" s="6">
        <f>+P6-F6</f>
        <v>104.2999307958471</v>
      </c>
    </row>
    <row r="7" spans="1:17" x14ac:dyDescent="0.25">
      <c r="A7" t="s">
        <v>75</v>
      </c>
      <c r="B7" t="s">
        <v>13</v>
      </c>
      <c r="C7" s="2">
        <v>2267.0999999999904</v>
      </c>
      <c r="D7" s="2">
        <v>223</v>
      </c>
      <c r="E7" s="1">
        <v>10.35</v>
      </c>
      <c r="F7" s="2">
        <f t="shared" ref="F7:F48" si="0">+D7*E7</f>
        <v>2308.0499999999997</v>
      </c>
      <c r="G7" s="2">
        <v>34</v>
      </c>
      <c r="H7" s="1">
        <v>1</v>
      </c>
      <c r="I7" s="2">
        <f t="shared" ref="I7:I33" si="1">+H7*G7*D7</f>
        <v>7582</v>
      </c>
      <c r="J7" s="2">
        <f t="shared" ref="J7:J33" si="2">+I7*$I$53</f>
        <v>5759.0085255519325</v>
      </c>
      <c r="K7" s="1">
        <f t="shared" ref="K7:K33" si="3">+J7*$K$2</f>
        <v>20.156529839431766</v>
      </c>
      <c r="L7" s="19">
        <f t="shared" ref="L7:L26" si="4">+K7/D7</f>
        <v>9.0388026185792669E-2</v>
      </c>
      <c r="M7" s="1">
        <f t="shared" ref="M7:M33" si="5">ROUND(L7/$M$55,2)</f>
        <v>0.09</v>
      </c>
      <c r="N7" s="19">
        <f t="shared" ref="N7:N33" si="6">+M7+E7</f>
        <v>10.44</v>
      </c>
      <c r="O7" s="19">
        <f t="shared" ref="O7:O26" si="7">+N7</f>
        <v>10.44</v>
      </c>
      <c r="P7" s="2">
        <f t="shared" ref="P7:P33" si="8">+N7*D7</f>
        <v>2328.12</v>
      </c>
      <c r="Q7" s="6">
        <f t="shared" ref="Q7:Q70" si="9">+P7-F7</f>
        <v>20.070000000000164</v>
      </c>
    </row>
    <row r="8" spans="1:17" x14ac:dyDescent="0.25">
      <c r="A8" t="s">
        <v>75</v>
      </c>
      <c r="B8" t="s">
        <v>3</v>
      </c>
      <c r="C8" s="2">
        <v>46114.139999999461</v>
      </c>
      <c r="D8" s="2">
        <v>2097</v>
      </c>
      <c r="E8" s="1">
        <v>22.32</v>
      </c>
      <c r="F8" s="2">
        <f t="shared" si="0"/>
        <v>46805.04</v>
      </c>
      <c r="G8" s="2">
        <v>34</v>
      </c>
      <c r="H8" s="1">
        <f>13/3</f>
        <v>4.333333333333333</v>
      </c>
      <c r="I8" s="2">
        <f t="shared" si="1"/>
        <v>308957.99999999994</v>
      </c>
      <c r="J8" s="2">
        <f t="shared" si="2"/>
        <v>234673.14112865648</v>
      </c>
      <c r="K8" s="1">
        <f t="shared" si="3"/>
        <v>821.35599395029772</v>
      </c>
      <c r="L8" s="19">
        <f t="shared" si="4"/>
        <v>0.39168144680510142</v>
      </c>
      <c r="M8" s="1">
        <f t="shared" si="5"/>
        <v>0.4</v>
      </c>
      <c r="N8" s="19">
        <f t="shared" si="6"/>
        <v>22.72</v>
      </c>
      <c r="O8" s="19">
        <f t="shared" si="7"/>
        <v>22.72</v>
      </c>
      <c r="P8" s="2">
        <f t="shared" si="8"/>
        <v>47643.839999999997</v>
      </c>
      <c r="Q8" s="6">
        <f t="shared" si="9"/>
        <v>838.79999999999563</v>
      </c>
    </row>
    <row r="9" spans="1:17" x14ac:dyDescent="0.25">
      <c r="A9" t="s">
        <v>75</v>
      </c>
      <c r="B9" t="s">
        <v>30</v>
      </c>
      <c r="C9" s="2">
        <v>34005.109999999986</v>
      </c>
      <c r="D9" s="2">
        <v>1186.8267445857682</v>
      </c>
      <c r="E9" s="1">
        <v>29.09</v>
      </c>
      <c r="F9" s="2">
        <f t="shared" si="0"/>
        <v>34524.789999999994</v>
      </c>
      <c r="G9" s="2">
        <v>51</v>
      </c>
      <c r="H9" s="1">
        <f>13/3</f>
        <v>4.333333333333333</v>
      </c>
      <c r="I9" s="2">
        <f t="shared" si="1"/>
        <v>262288.71055345476</v>
      </c>
      <c r="J9" s="2">
        <f t="shared" si="2"/>
        <v>199224.86418271816</v>
      </c>
      <c r="K9" s="1">
        <f t="shared" si="3"/>
        <v>697.28702463951356</v>
      </c>
      <c r="L9" s="19">
        <f t="shared" si="4"/>
        <v>0.58752217020765229</v>
      </c>
      <c r="M9" s="1">
        <f t="shared" si="5"/>
        <v>0.6</v>
      </c>
      <c r="N9" s="19">
        <f t="shared" si="6"/>
        <v>29.69</v>
      </c>
      <c r="O9" s="19">
        <f t="shared" si="7"/>
        <v>29.69</v>
      </c>
      <c r="P9" s="2">
        <f t="shared" si="8"/>
        <v>35236.886046751461</v>
      </c>
      <c r="Q9" s="6">
        <f t="shared" si="9"/>
        <v>712.09604675146693</v>
      </c>
    </row>
    <row r="10" spans="1:17" x14ac:dyDescent="0.25">
      <c r="A10" t="s">
        <v>75</v>
      </c>
      <c r="B10" t="s">
        <v>31</v>
      </c>
      <c r="C10" s="2">
        <v>3369.58</v>
      </c>
      <c r="D10" s="2">
        <v>96.499718309859162</v>
      </c>
      <c r="E10" s="1">
        <v>35.5</v>
      </c>
      <c r="F10" s="2">
        <f t="shared" si="0"/>
        <v>3425.7400000000002</v>
      </c>
      <c r="G10" s="2">
        <v>77</v>
      </c>
      <c r="H10" s="1">
        <f>13/3</f>
        <v>4.333333333333333</v>
      </c>
      <c r="I10" s="2">
        <f t="shared" si="1"/>
        <v>32198.739342723002</v>
      </c>
      <c r="J10" s="2">
        <f t="shared" si="2"/>
        <v>24456.978948399654</v>
      </c>
      <c r="K10" s="1">
        <f t="shared" si="3"/>
        <v>85.599426319398788</v>
      </c>
      <c r="L10" s="19">
        <f t="shared" si="4"/>
        <v>0.88704327658802384</v>
      </c>
      <c r="M10" s="1">
        <f t="shared" si="5"/>
        <v>0.91</v>
      </c>
      <c r="N10" s="19">
        <f t="shared" si="6"/>
        <v>36.409999999999997</v>
      </c>
      <c r="O10" s="19">
        <f t="shared" si="7"/>
        <v>36.409999999999997</v>
      </c>
      <c r="P10" s="2">
        <f t="shared" si="8"/>
        <v>3513.5547436619718</v>
      </c>
      <c r="Q10" s="6">
        <f t="shared" si="9"/>
        <v>87.814743661971534</v>
      </c>
    </row>
    <row r="11" spans="1:17" x14ac:dyDescent="0.25">
      <c r="A11" t="s">
        <v>75</v>
      </c>
      <c r="B11" t="s">
        <v>32</v>
      </c>
      <c r="C11" s="2">
        <v>2645.8800000000024</v>
      </c>
      <c r="D11" s="2">
        <v>64.287976961843043</v>
      </c>
      <c r="E11" s="1">
        <v>42.67</v>
      </c>
      <c r="F11" s="2">
        <f t="shared" si="0"/>
        <v>2743.1679769618427</v>
      </c>
      <c r="G11" s="2">
        <v>97</v>
      </c>
      <c r="H11" s="1">
        <f>13/3</f>
        <v>4.333333333333333</v>
      </c>
      <c r="I11" s="2">
        <f t="shared" si="1"/>
        <v>27022.379649628023</v>
      </c>
      <c r="J11" s="2">
        <f t="shared" si="2"/>
        <v>20525.206381285785</v>
      </c>
      <c r="K11" s="1">
        <f t="shared" si="3"/>
        <v>71.838222334500244</v>
      </c>
      <c r="L11" s="19">
        <f t="shared" si="4"/>
        <v>1.1174441276498484</v>
      </c>
      <c r="M11" s="1">
        <f t="shared" si="5"/>
        <v>1.1499999999999999</v>
      </c>
      <c r="N11" s="19">
        <f t="shared" si="6"/>
        <v>43.82</v>
      </c>
      <c r="O11" s="19">
        <f t="shared" si="7"/>
        <v>43.82</v>
      </c>
      <c r="P11" s="2">
        <f t="shared" si="8"/>
        <v>2817.0991504679623</v>
      </c>
      <c r="Q11" s="6">
        <f t="shared" si="9"/>
        <v>73.931173506119649</v>
      </c>
    </row>
    <row r="12" spans="1:17" x14ac:dyDescent="0.25">
      <c r="A12" t="s">
        <v>75</v>
      </c>
      <c r="B12" t="s">
        <v>17</v>
      </c>
      <c r="C12" s="2">
        <v>698.03999999999985</v>
      </c>
      <c r="D12" s="2">
        <v>44.207726409119701</v>
      </c>
      <c r="E12" s="1">
        <v>15.79</v>
      </c>
      <c r="F12" s="2">
        <f t="shared" si="0"/>
        <v>698.04000000000008</v>
      </c>
      <c r="G12" s="2">
        <v>40</v>
      </c>
      <c r="H12" s="1">
        <v>1</v>
      </c>
      <c r="I12" s="2">
        <f t="shared" si="1"/>
        <v>1768.3090563647879</v>
      </c>
      <c r="J12" s="2">
        <f t="shared" si="2"/>
        <v>1343.1425654728971</v>
      </c>
      <c r="K12" s="1">
        <f t="shared" si="3"/>
        <v>4.7009989791551403</v>
      </c>
      <c r="L12" s="19">
        <f t="shared" si="4"/>
        <v>0.10633885433622665</v>
      </c>
      <c r="M12" s="1">
        <f t="shared" si="5"/>
        <v>0.11</v>
      </c>
      <c r="N12" s="19">
        <f t="shared" si="6"/>
        <v>15.899999999999999</v>
      </c>
      <c r="O12" s="19">
        <f t="shared" si="7"/>
        <v>15.899999999999999</v>
      </c>
      <c r="P12" s="2">
        <f t="shared" si="8"/>
        <v>702.90284990500322</v>
      </c>
      <c r="Q12" s="6">
        <f t="shared" si="9"/>
        <v>4.8628499050031451</v>
      </c>
    </row>
    <row r="13" spans="1:17" x14ac:dyDescent="0.25">
      <c r="A13" t="s">
        <v>75</v>
      </c>
      <c r="B13" t="s">
        <v>15</v>
      </c>
      <c r="C13" s="2">
        <v>1674.7399999999977</v>
      </c>
      <c r="D13" s="2">
        <v>107.82393920202659</v>
      </c>
      <c r="E13" s="1">
        <v>15.79</v>
      </c>
      <c r="F13" s="2">
        <f t="shared" si="0"/>
        <v>1702.5399999999997</v>
      </c>
      <c r="G13" s="2">
        <v>40</v>
      </c>
      <c r="H13" s="1">
        <v>1</v>
      </c>
      <c r="I13" s="2">
        <f t="shared" si="1"/>
        <v>4312.957568081064</v>
      </c>
      <c r="J13" s="2">
        <f t="shared" si="2"/>
        <v>3275.96404707499</v>
      </c>
      <c r="K13" s="1">
        <f t="shared" si="3"/>
        <v>11.465874164762466</v>
      </c>
      <c r="L13" s="19">
        <f t="shared" si="4"/>
        <v>0.10633885433622667</v>
      </c>
      <c r="M13" s="1">
        <f t="shared" si="5"/>
        <v>0.11</v>
      </c>
      <c r="N13" s="19">
        <f t="shared" si="6"/>
        <v>15.899999999999999</v>
      </c>
      <c r="O13" s="19">
        <f t="shared" si="7"/>
        <v>15.899999999999999</v>
      </c>
      <c r="P13" s="2">
        <f t="shared" si="8"/>
        <v>1714.4006333122227</v>
      </c>
      <c r="Q13" s="6">
        <f t="shared" si="9"/>
        <v>11.860633312222944</v>
      </c>
    </row>
    <row r="14" spans="1:17" x14ac:dyDescent="0.25">
      <c r="A14" t="s">
        <v>75</v>
      </c>
      <c r="B14" t="s">
        <v>33</v>
      </c>
      <c r="C14" s="2">
        <v>791.52999999999986</v>
      </c>
      <c r="D14" s="2">
        <v>15.500105820105819</v>
      </c>
      <c r="E14" s="1">
        <v>51.8</v>
      </c>
      <c r="F14" s="2">
        <f t="shared" si="0"/>
        <v>802.90548148148139</v>
      </c>
      <c r="G14" s="2">
        <v>117</v>
      </c>
      <c r="H14" s="1">
        <f>13/3</f>
        <v>4.333333333333333</v>
      </c>
      <c r="I14" s="2">
        <f t="shared" si="1"/>
        <v>7858.5536507936495</v>
      </c>
      <c r="J14" s="2">
        <f t="shared" si="2"/>
        <v>5969.0685140369151</v>
      </c>
      <c r="K14" s="1">
        <f t="shared" si="3"/>
        <v>20.891739799129205</v>
      </c>
      <c r="L14" s="19">
        <f t="shared" si="4"/>
        <v>1.3478449787116729</v>
      </c>
      <c r="M14" s="1">
        <f t="shared" si="5"/>
        <v>1.38</v>
      </c>
      <c r="N14" s="19">
        <f t="shared" si="6"/>
        <v>53.18</v>
      </c>
      <c r="O14" s="19">
        <f t="shared" si="7"/>
        <v>53.18</v>
      </c>
      <c r="P14" s="2">
        <f t="shared" si="8"/>
        <v>824.29562751322749</v>
      </c>
      <c r="Q14" s="6">
        <f t="shared" si="9"/>
        <v>21.390146031746099</v>
      </c>
    </row>
    <row r="15" spans="1:17" x14ac:dyDescent="0.25">
      <c r="A15" t="s">
        <v>75</v>
      </c>
      <c r="B15" t="s">
        <v>34</v>
      </c>
      <c r="C15" s="2">
        <v>97.18</v>
      </c>
      <c r="D15" s="2">
        <v>2</v>
      </c>
      <c r="E15" s="1">
        <v>59.67</v>
      </c>
      <c r="F15" s="2">
        <f t="shared" si="0"/>
        <v>119.34</v>
      </c>
      <c r="G15" s="2">
        <v>137</v>
      </c>
      <c r="H15" s="1">
        <f>13/3</f>
        <v>4.333333333333333</v>
      </c>
      <c r="I15" s="2">
        <f t="shared" si="1"/>
        <v>1187.3333333333333</v>
      </c>
      <c r="J15" s="2">
        <f t="shared" si="2"/>
        <v>901.85475987056986</v>
      </c>
      <c r="K15" s="1">
        <f t="shared" si="3"/>
        <v>3.1564916595469947</v>
      </c>
      <c r="L15" s="19">
        <f t="shared" si="4"/>
        <v>1.5782458297734974</v>
      </c>
      <c r="M15" s="1">
        <f t="shared" si="5"/>
        <v>1.62</v>
      </c>
      <c r="N15" s="19">
        <f t="shared" si="6"/>
        <v>61.29</v>
      </c>
      <c r="O15" s="19">
        <f t="shared" si="7"/>
        <v>61.29</v>
      </c>
      <c r="P15" s="2">
        <f t="shared" si="8"/>
        <v>122.58</v>
      </c>
      <c r="Q15" s="6">
        <f t="shared" si="9"/>
        <v>3.2399999999999949</v>
      </c>
    </row>
    <row r="16" spans="1:17" x14ac:dyDescent="0.25">
      <c r="A16" t="s">
        <v>75</v>
      </c>
      <c r="B16" t="s">
        <v>36</v>
      </c>
      <c r="C16" s="2">
        <v>325.3</v>
      </c>
      <c r="D16" s="2">
        <v>18</v>
      </c>
      <c r="E16" s="1">
        <v>18.25</v>
      </c>
      <c r="F16" s="2">
        <f t="shared" si="0"/>
        <v>328.5</v>
      </c>
      <c r="G16" s="2">
        <v>47</v>
      </c>
      <c r="H16" s="1">
        <v>1</v>
      </c>
      <c r="I16" s="2">
        <f t="shared" si="1"/>
        <v>846</v>
      </c>
      <c r="J16" s="2">
        <f t="shared" si="2"/>
        <v>642.59050548891253</v>
      </c>
      <c r="K16" s="1">
        <f t="shared" si="3"/>
        <v>2.2490667692111939</v>
      </c>
      <c r="L16" s="19">
        <f t="shared" si="4"/>
        <v>0.12494815384506633</v>
      </c>
      <c r="M16" s="1">
        <f t="shared" si="5"/>
        <v>0.13</v>
      </c>
      <c r="N16" s="19">
        <f t="shared" si="6"/>
        <v>18.38</v>
      </c>
      <c r="O16" s="19">
        <f t="shared" si="7"/>
        <v>18.38</v>
      </c>
      <c r="P16" s="2">
        <f t="shared" si="8"/>
        <v>330.84</v>
      </c>
      <c r="Q16" s="6">
        <f t="shared" si="9"/>
        <v>2.339999999999975</v>
      </c>
    </row>
    <row r="17" spans="1:17" x14ac:dyDescent="0.25">
      <c r="A17" t="s">
        <v>75</v>
      </c>
      <c r="B17" t="s">
        <v>37</v>
      </c>
      <c r="C17" s="2">
        <v>1845.8000000000011</v>
      </c>
      <c r="D17" s="2">
        <v>57.746268656716417</v>
      </c>
      <c r="E17" s="1">
        <v>32.159999999999997</v>
      </c>
      <c r="F17" s="2">
        <f t="shared" si="0"/>
        <v>1857.1199999999997</v>
      </c>
      <c r="G17" s="2">
        <v>47</v>
      </c>
      <c r="H17" s="1">
        <f>13/3</f>
        <v>4.333333333333333</v>
      </c>
      <c r="I17" s="2">
        <f t="shared" si="1"/>
        <v>11760.990049751243</v>
      </c>
      <c r="J17" s="2">
        <f t="shared" si="2"/>
        <v>8933.2157696450613</v>
      </c>
      <c r="K17" s="1">
        <f t="shared" si="3"/>
        <v>31.266255193757715</v>
      </c>
      <c r="L17" s="19">
        <f t="shared" si="4"/>
        <v>0.54144199999528742</v>
      </c>
      <c r="M17" s="1">
        <f t="shared" si="5"/>
        <v>0.55000000000000004</v>
      </c>
      <c r="N17" s="19">
        <f t="shared" si="6"/>
        <v>32.709999999999994</v>
      </c>
      <c r="O17" s="19">
        <f t="shared" si="7"/>
        <v>32.709999999999994</v>
      </c>
      <c r="P17" s="2">
        <f t="shared" si="8"/>
        <v>1888.8804477611936</v>
      </c>
      <c r="Q17" s="6">
        <f t="shared" si="9"/>
        <v>31.760447761193973</v>
      </c>
    </row>
    <row r="18" spans="1:17" x14ac:dyDescent="0.25">
      <c r="A18" t="s">
        <v>75</v>
      </c>
      <c r="B18" t="s">
        <v>64</v>
      </c>
      <c r="C18" s="2">
        <v>253.99</v>
      </c>
      <c r="D18" s="2">
        <v>11</v>
      </c>
      <c r="E18" s="1">
        <v>23.09</v>
      </c>
      <c r="F18" s="2">
        <f t="shared" si="0"/>
        <v>253.99</v>
      </c>
      <c r="G18" s="2">
        <v>67</v>
      </c>
      <c r="H18" s="1">
        <v>1</v>
      </c>
      <c r="I18" s="2">
        <f t="shared" si="1"/>
        <v>737</v>
      </c>
      <c r="J18" s="2">
        <f t="shared" si="2"/>
        <v>559.79811175570751</v>
      </c>
      <c r="K18" s="1">
        <f t="shared" si="3"/>
        <v>1.9592933911449764</v>
      </c>
      <c r="L18" s="19">
        <f t="shared" si="4"/>
        <v>0.17811758101317968</v>
      </c>
      <c r="M18" s="1">
        <f t="shared" si="5"/>
        <v>0.18</v>
      </c>
      <c r="N18" s="19">
        <f t="shared" si="6"/>
        <v>23.27</v>
      </c>
      <c r="O18" s="19">
        <f t="shared" si="7"/>
        <v>23.27</v>
      </c>
      <c r="P18" s="2">
        <f t="shared" si="8"/>
        <v>255.97</v>
      </c>
      <c r="Q18" s="6">
        <f t="shared" si="9"/>
        <v>1.9799999999999898</v>
      </c>
    </row>
    <row r="19" spans="1:17" x14ac:dyDescent="0.25">
      <c r="A19" t="s">
        <v>75</v>
      </c>
      <c r="B19" t="s">
        <v>50</v>
      </c>
      <c r="C19" s="2">
        <v>5006.8800000000056</v>
      </c>
      <c r="D19" s="2">
        <v>143.5</v>
      </c>
      <c r="E19" s="1">
        <v>35.28</v>
      </c>
      <c r="F19" s="2">
        <f t="shared" si="0"/>
        <v>5062.68</v>
      </c>
      <c r="G19" s="2">
        <v>67</v>
      </c>
      <c r="H19" s="1">
        <f>13/3</f>
        <v>4.333333333333333</v>
      </c>
      <c r="I19" s="2">
        <f t="shared" si="1"/>
        <v>41662.833333333328</v>
      </c>
      <c r="J19" s="2">
        <f t="shared" si="2"/>
        <v>31645.556893341582</v>
      </c>
      <c r="K19" s="1">
        <f t="shared" si="3"/>
        <v>110.75944912669554</v>
      </c>
      <c r="L19" s="19">
        <f t="shared" si="4"/>
        <v>0.77184285105711181</v>
      </c>
      <c r="M19" s="1">
        <f t="shared" si="5"/>
        <v>0.79</v>
      </c>
      <c r="N19" s="19">
        <f t="shared" si="6"/>
        <v>36.07</v>
      </c>
      <c r="O19" s="19">
        <f t="shared" si="7"/>
        <v>36.07</v>
      </c>
      <c r="P19" s="2">
        <f t="shared" si="8"/>
        <v>5176.0450000000001</v>
      </c>
      <c r="Q19" s="6">
        <f t="shared" si="9"/>
        <v>113.36499999999978</v>
      </c>
    </row>
    <row r="20" spans="1:17" x14ac:dyDescent="0.25">
      <c r="A20" t="s">
        <v>75</v>
      </c>
      <c r="B20" t="s">
        <v>7</v>
      </c>
      <c r="C20" s="2">
        <v>768.90000000000236</v>
      </c>
      <c r="D20" s="2">
        <v>151</v>
      </c>
      <c r="E20" s="1">
        <v>5.22</v>
      </c>
      <c r="F20" s="2">
        <f t="shared" si="0"/>
        <v>788.21999999999991</v>
      </c>
      <c r="G20" s="2">
        <v>29</v>
      </c>
      <c r="H20" s="1">
        <v>1</v>
      </c>
      <c r="I20" s="2">
        <f t="shared" si="1"/>
        <v>4379</v>
      </c>
      <c r="J20" s="2">
        <f t="shared" si="2"/>
        <v>3326.1274509881182</v>
      </c>
      <c r="K20" s="1">
        <f t="shared" si="3"/>
        <v>11.641446078458413</v>
      </c>
      <c r="L20" s="19">
        <f t="shared" si="4"/>
        <v>7.7095669393764332E-2</v>
      </c>
      <c r="M20" s="1">
        <f t="shared" si="5"/>
        <v>0.08</v>
      </c>
      <c r="N20" s="19">
        <f t="shared" si="6"/>
        <v>5.3</v>
      </c>
      <c r="O20" s="19">
        <f t="shared" si="7"/>
        <v>5.3</v>
      </c>
      <c r="P20" s="2">
        <f t="shared" si="8"/>
        <v>800.3</v>
      </c>
      <c r="Q20" s="6">
        <f t="shared" si="9"/>
        <v>12.080000000000041</v>
      </c>
    </row>
    <row r="21" spans="1:17" x14ac:dyDescent="0.25">
      <c r="A21" t="s">
        <v>75</v>
      </c>
      <c r="B21" t="s">
        <v>6</v>
      </c>
      <c r="C21" s="2">
        <v>921.66000000000247</v>
      </c>
      <c r="D21" s="2">
        <v>180</v>
      </c>
      <c r="E21" s="1">
        <v>5.22</v>
      </c>
      <c r="F21" s="2">
        <f t="shared" si="0"/>
        <v>939.59999999999991</v>
      </c>
      <c r="G21" s="2">
        <v>29</v>
      </c>
      <c r="H21" s="1">
        <v>1</v>
      </c>
      <c r="I21" s="2">
        <f t="shared" si="1"/>
        <v>5220</v>
      </c>
      <c r="J21" s="2">
        <f t="shared" si="2"/>
        <v>3964.9201402507369</v>
      </c>
      <c r="K21" s="1">
        <f t="shared" si="3"/>
        <v>13.87722049087758</v>
      </c>
      <c r="L21" s="19">
        <f t="shared" si="4"/>
        <v>7.7095669393764332E-2</v>
      </c>
      <c r="M21" s="1">
        <f t="shared" si="5"/>
        <v>0.08</v>
      </c>
      <c r="N21" s="19">
        <f t="shared" si="6"/>
        <v>5.3</v>
      </c>
      <c r="O21" s="19">
        <f t="shared" si="7"/>
        <v>5.3</v>
      </c>
      <c r="P21" s="2">
        <f t="shared" si="8"/>
        <v>954</v>
      </c>
      <c r="Q21" s="6">
        <f t="shared" si="9"/>
        <v>14.400000000000091</v>
      </c>
    </row>
    <row r="22" spans="1:17" x14ac:dyDescent="0.25">
      <c r="A22" t="s">
        <v>75</v>
      </c>
      <c r="B22" t="s">
        <v>11</v>
      </c>
      <c r="C22" s="2">
        <v>409.78999999999951</v>
      </c>
      <c r="D22" s="2">
        <v>86</v>
      </c>
      <c r="E22" s="1">
        <v>4.84</v>
      </c>
      <c r="F22" s="2">
        <f t="shared" si="0"/>
        <v>416.24</v>
      </c>
      <c r="G22" s="2">
        <v>34</v>
      </c>
      <c r="H22" s="1">
        <v>1</v>
      </c>
      <c r="I22" s="2">
        <f t="shared" si="1"/>
        <v>2924</v>
      </c>
      <c r="J22" s="2">
        <f t="shared" si="2"/>
        <v>2220.9629291366196</v>
      </c>
      <c r="K22" s="1">
        <f t="shared" si="3"/>
        <v>7.7733702519781689</v>
      </c>
      <c r="L22" s="19">
        <f t="shared" si="4"/>
        <v>9.0388026185792655E-2</v>
      </c>
      <c r="M22" s="1">
        <f t="shared" si="5"/>
        <v>0.09</v>
      </c>
      <c r="N22" s="19">
        <f t="shared" si="6"/>
        <v>4.93</v>
      </c>
      <c r="O22" s="19">
        <f t="shared" si="7"/>
        <v>4.93</v>
      </c>
      <c r="P22" s="2">
        <f t="shared" si="8"/>
        <v>423.97999999999996</v>
      </c>
      <c r="Q22" s="6">
        <f t="shared" si="9"/>
        <v>7.7399999999999523</v>
      </c>
    </row>
    <row r="23" spans="1:17" x14ac:dyDescent="0.25">
      <c r="A23" t="s">
        <v>75</v>
      </c>
      <c r="B23" t="s">
        <v>16</v>
      </c>
      <c r="C23" s="2">
        <v>55.070000000000007</v>
      </c>
      <c r="D23" s="2">
        <v>12</v>
      </c>
      <c r="E23" s="1">
        <v>4.84</v>
      </c>
      <c r="F23" s="2">
        <f t="shared" si="0"/>
        <v>58.08</v>
      </c>
      <c r="G23" s="2">
        <v>34</v>
      </c>
      <c r="H23" s="1">
        <v>1</v>
      </c>
      <c r="I23" s="2">
        <f t="shared" si="1"/>
        <v>408</v>
      </c>
      <c r="J23" s="2">
        <f t="shared" si="2"/>
        <v>309.90180406557482</v>
      </c>
      <c r="K23" s="1">
        <f t="shared" si="3"/>
        <v>1.0846563142295118</v>
      </c>
      <c r="L23" s="19">
        <f t="shared" si="4"/>
        <v>9.0388026185792655E-2</v>
      </c>
      <c r="M23" s="1">
        <f t="shared" si="5"/>
        <v>0.09</v>
      </c>
      <c r="N23" s="19">
        <f t="shared" si="6"/>
        <v>4.93</v>
      </c>
      <c r="O23" s="19">
        <f t="shared" si="7"/>
        <v>4.93</v>
      </c>
      <c r="P23" s="2">
        <f t="shared" si="8"/>
        <v>59.16</v>
      </c>
      <c r="Q23" s="6">
        <f t="shared" si="9"/>
        <v>1.0799999999999983</v>
      </c>
    </row>
    <row r="24" spans="1:17" x14ac:dyDescent="0.25">
      <c r="A24" t="s">
        <v>75</v>
      </c>
      <c r="B24" t="s">
        <v>10</v>
      </c>
      <c r="C24" s="2">
        <v>2193.7299999999923</v>
      </c>
      <c r="D24" s="2">
        <v>464</v>
      </c>
      <c r="E24" s="1">
        <v>4.84</v>
      </c>
      <c r="F24" s="2">
        <f t="shared" si="0"/>
        <v>2245.7599999999998</v>
      </c>
      <c r="G24" s="2">
        <v>34</v>
      </c>
      <c r="H24" s="1">
        <v>1</v>
      </c>
      <c r="I24" s="2">
        <f t="shared" si="1"/>
        <v>15776</v>
      </c>
      <c r="J24" s="2">
        <f t="shared" si="2"/>
        <v>11982.869757202227</v>
      </c>
      <c r="K24" s="1">
        <f t="shared" si="3"/>
        <v>41.940044150207797</v>
      </c>
      <c r="L24" s="19">
        <f t="shared" si="4"/>
        <v>9.0388026185792669E-2</v>
      </c>
      <c r="M24" s="1">
        <f t="shared" si="5"/>
        <v>0.09</v>
      </c>
      <c r="N24" s="19">
        <f t="shared" si="6"/>
        <v>4.93</v>
      </c>
      <c r="O24" s="19">
        <f t="shared" si="7"/>
        <v>4.93</v>
      </c>
      <c r="P24" s="2">
        <f t="shared" si="8"/>
        <v>2287.52</v>
      </c>
      <c r="Q24" s="6">
        <f t="shared" si="9"/>
        <v>41.760000000000218</v>
      </c>
    </row>
    <row r="25" spans="1:17" x14ac:dyDescent="0.25">
      <c r="A25" t="s">
        <v>78</v>
      </c>
      <c r="B25" t="s">
        <v>65</v>
      </c>
      <c r="C25" s="2">
        <v>50.25</v>
      </c>
      <c r="D25" s="2">
        <v>5</v>
      </c>
      <c r="E25" s="1">
        <v>10.050000000000001</v>
      </c>
      <c r="F25" s="2">
        <f t="shared" si="0"/>
        <v>50.25</v>
      </c>
      <c r="G25" s="2">
        <v>34</v>
      </c>
      <c r="H25" s="1">
        <v>1</v>
      </c>
      <c r="I25" s="2">
        <f t="shared" si="1"/>
        <v>170</v>
      </c>
      <c r="J25" s="2">
        <f t="shared" si="2"/>
        <v>129.12575169398951</v>
      </c>
      <c r="K25" s="1">
        <f t="shared" si="3"/>
        <v>0.45194013092896329</v>
      </c>
      <c r="L25" s="19">
        <f t="shared" si="4"/>
        <v>9.0388026185792655E-2</v>
      </c>
      <c r="M25" s="1">
        <f t="shared" si="5"/>
        <v>0.09</v>
      </c>
      <c r="N25" s="19">
        <f t="shared" si="6"/>
        <v>10.14</v>
      </c>
      <c r="O25" s="19">
        <f t="shared" si="7"/>
        <v>10.14</v>
      </c>
      <c r="P25" s="2">
        <f t="shared" si="8"/>
        <v>50.7</v>
      </c>
      <c r="Q25" s="6">
        <f t="shared" si="9"/>
        <v>0.45000000000000284</v>
      </c>
    </row>
    <row r="26" spans="1:17" x14ac:dyDescent="0.25">
      <c r="A26" t="s">
        <v>78</v>
      </c>
      <c r="B26" t="s">
        <v>66</v>
      </c>
      <c r="C26" s="2">
        <v>15.08</v>
      </c>
      <c r="D26" s="2">
        <v>1</v>
      </c>
      <c r="E26" s="1">
        <v>15.08</v>
      </c>
      <c r="F26" s="2">
        <f t="shared" si="0"/>
        <v>15.08</v>
      </c>
      <c r="G26" s="2">
        <v>34</v>
      </c>
      <c r="H26" s="1">
        <v>1</v>
      </c>
      <c r="I26" s="2">
        <f t="shared" si="1"/>
        <v>34</v>
      </c>
      <c r="J26" s="2">
        <f t="shared" si="2"/>
        <v>25.825150338797904</v>
      </c>
      <c r="K26" s="1">
        <f t="shared" si="3"/>
        <v>9.0388026185792669E-2</v>
      </c>
      <c r="L26" s="19">
        <f t="shared" si="4"/>
        <v>9.0388026185792669E-2</v>
      </c>
      <c r="M26" s="1">
        <f t="shared" si="5"/>
        <v>0.09</v>
      </c>
      <c r="N26" s="19">
        <f t="shared" si="6"/>
        <v>15.17</v>
      </c>
      <c r="O26" s="19">
        <f t="shared" si="7"/>
        <v>15.17</v>
      </c>
      <c r="P26" s="2">
        <f t="shared" si="8"/>
        <v>15.17</v>
      </c>
      <c r="Q26" s="6">
        <f t="shared" si="9"/>
        <v>8.9999999999999858E-2</v>
      </c>
    </row>
    <row r="27" spans="1:17" x14ac:dyDescent="0.25">
      <c r="C27" s="2"/>
      <c r="D27" s="2"/>
      <c r="E27" s="1"/>
      <c r="H27" s="1"/>
      <c r="Q27" s="6">
        <f t="shared" si="9"/>
        <v>0</v>
      </c>
    </row>
    <row r="28" spans="1:17" x14ac:dyDescent="0.25">
      <c r="A28" t="s">
        <v>76</v>
      </c>
      <c r="B28" t="s">
        <v>19</v>
      </c>
      <c r="C28" s="2">
        <v>22.4</v>
      </c>
      <c r="D28" s="2">
        <v>1</v>
      </c>
      <c r="E28" s="1">
        <f>22.4*1.096</f>
        <v>24.5504</v>
      </c>
      <c r="F28" s="2">
        <f t="shared" si="0"/>
        <v>24.5504</v>
      </c>
      <c r="G28" s="2">
        <v>175</v>
      </c>
      <c r="H28" s="1">
        <v>1</v>
      </c>
      <c r="I28" s="2">
        <f t="shared" si="1"/>
        <v>175</v>
      </c>
      <c r="J28" s="2">
        <f t="shared" si="2"/>
        <v>132.92356792028332</v>
      </c>
      <c r="K28" s="1">
        <f t="shared" si="3"/>
        <v>0.46523248772099163</v>
      </c>
      <c r="L28" s="19">
        <f t="shared" ref="L28:L33" si="10">+K28/D28</f>
        <v>0.46523248772099163</v>
      </c>
      <c r="M28" s="1">
        <f t="shared" si="5"/>
        <v>0.48</v>
      </c>
      <c r="N28" s="19">
        <f t="shared" si="6"/>
        <v>25.0304</v>
      </c>
      <c r="P28" s="2">
        <f t="shared" si="8"/>
        <v>25.0304</v>
      </c>
      <c r="Q28" s="6">
        <f t="shared" si="9"/>
        <v>0.48000000000000043</v>
      </c>
    </row>
    <row r="29" spans="1:17" x14ac:dyDescent="0.25">
      <c r="A29" t="s">
        <v>76</v>
      </c>
      <c r="B29" t="s">
        <v>38</v>
      </c>
      <c r="C29" s="2">
        <v>470.39999999999992</v>
      </c>
      <c r="D29" s="2">
        <v>12</v>
      </c>
      <c r="E29" s="1">
        <v>42.98</v>
      </c>
      <c r="F29" s="2">
        <f t="shared" si="0"/>
        <v>515.76</v>
      </c>
      <c r="G29" s="2">
        <v>175</v>
      </c>
      <c r="H29" s="1">
        <v>1</v>
      </c>
      <c r="I29" s="2">
        <f t="shared" si="1"/>
        <v>2100</v>
      </c>
      <c r="J29" s="2">
        <f t="shared" si="2"/>
        <v>1595.0828150433999</v>
      </c>
      <c r="K29" s="1">
        <f t="shared" si="3"/>
        <v>5.5827898526519002</v>
      </c>
      <c r="L29" s="19">
        <f t="shared" si="10"/>
        <v>0.46523248772099168</v>
      </c>
      <c r="M29" s="1">
        <f t="shared" si="5"/>
        <v>0.48</v>
      </c>
      <c r="N29" s="19">
        <f t="shared" si="6"/>
        <v>43.459999999999994</v>
      </c>
      <c r="P29" s="2">
        <f t="shared" si="8"/>
        <v>521.52</v>
      </c>
      <c r="Q29" s="6">
        <f t="shared" si="9"/>
        <v>5.7599999999999909</v>
      </c>
    </row>
    <row r="30" spans="1:17" x14ac:dyDescent="0.25">
      <c r="A30" t="s">
        <v>76</v>
      </c>
      <c r="B30" t="s">
        <v>39</v>
      </c>
      <c r="C30" s="2">
        <v>14230.539999999972</v>
      </c>
      <c r="D30" s="2">
        <v>229</v>
      </c>
      <c r="E30" s="1">
        <v>63.16</v>
      </c>
      <c r="F30" s="2">
        <f t="shared" si="0"/>
        <v>14463.64</v>
      </c>
      <c r="G30" s="2">
        <v>324</v>
      </c>
      <c r="H30" s="1">
        <v>1</v>
      </c>
      <c r="I30" s="2">
        <f t="shared" si="1"/>
        <v>74196</v>
      </c>
      <c r="J30" s="2">
        <f t="shared" si="2"/>
        <v>56356.554545219093</v>
      </c>
      <c r="K30" s="1">
        <f t="shared" si="3"/>
        <v>197.24794090826683</v>
      </c>
      <c r="L30" s="19">
        <f t="shared" si="10"/>
        <v>0.86134472012343588</v>
      </c>
      <c r="M30" s="1">
        <f t="shared" si="5"/>
        <v>0.88</v>
      </c>
      <c r="N30" s="19">
        <f t="shared" si="6"/>
        <v>64.039999999999992</v>
      </c>
      <c r="P30" s="2">
        <f t="shared" si="8"/>
        <v>14665.159999999998</v>
      </c>
      <c r="Q30" s="6">
        <f t="shared" si="9"/>
        <v>201.51999999999862</v>
      </c>
    </row>
    <row r="31" spans="1:17" x14ac:dyDescent="0.25">
      <c r="A31" t="s">
        <v>76</v>
      </c>
      <c r="B31" t="s">
        <v>1</v>
      </c>
      <c r="C31" s="2">
        <v>15917.619999999977</v>
      </c>
      <c r="D31" s="2">
        <v>83.263894374541565</v>
      </c>
      <c r="E31" s="1">
        <v>194.3</v>
      </c>
      <c r="F31" s="2">
        <f t="shared" si="0"/>
        <v>16178.174676973427</v>
      </c>
      <c r="G31" s="2">
        <v>324</v>
      </c>
      <c r="H31" s="1">
        <f>13/3</f>
        <v>4.333333333333333</v>
      </c>
      <c r="I31" s="2">
        <f t="shared" si="1"/>
        <v>116902.50770185636</v>
      </c>
      <c r="J31" s="2">
        <f t="shared" si="2"/>
        <v>88794.84812890942</v>
      </c>
      <c r="K31" s="1">
        <f t="shared" si="3"/>
        <v>310.78196845118299</v>
      </c>
      <c r="L31" s="19">
        <f t="shared" si="10"/>
        <v>3.7324937872015562</v>
      </c>
      <c r="M31" s="1">
        <f t="shared" si="5"/>
        <v>3.83</v>
      </c>
      <c r="N31" s="19">
        <f t="shared" si="6"/>
        <v>198.13000000000002</v>
      </c>
      <c r="P31" s="2">
        <f t="shared" si="8"/>
        <v>16497.075392427923</v>
      </c>
      <c r="Q31" s="6">
        <f t="shared" si="9"/>
        <v>318.90071545449609</v>
      </c>
    </row>
    <row r="32" spans="1:17" x14ac:dyDescent="0.25">
      <c r="A32" t="s">
        <v>76</v>
      </c>
      <c r="B32" t="s">
        <v>40</v>
      </c>
      <c r="C32" s="2">
        <v>4313.7400000000007</v>
      </c>
      <c r="D32" s="2">
        <v>12</v>
      </c>
      <c r="E32" s="1">
        <v>364.82</v>
      </c>
      <c r="F32" s="2">
        <f t="shared" si="0"/>
        <v>4377.84</v>
      </c>
      <c r="G32" s="2">
        <v>324</v>
      </c>
      <c r="H32" s="1">
        <f>+H31*2</f>
        <v>8.6666666666666661</v>
      </c>
      <c r="I32" s="2">
        <f t="shared" si="1"/>
        <v>33696</v>
      </c>
      <c r="J32" s="2">
        <f t="shared" si="2"/>
        <v>25594.243112239241</v>
      </c>
      <c r="K32" s="1">
        <f t="shared" si="3"/>
        <v>89.579850892837342</v>
      </c>
      <c r="L32" s="19">
        <f t="shared" si="10"/>
        <v>7.4649875744031116</v>
      </c>
      <c r="M32" s="1">
        <f t="shared" si="5"/>
        <v>7.65</v>
      </c>
      <c r="N32" s="19">
        <f t="shared" si="6"/>
        <v>372.46999999999997</v>
      </c>
      <c r="P32" s="2">
        <f t="shared" si="8"/>
        <v>4469.6399999999994</v>
      </c>
      <c r="Q32" s="6">
        <f t="shared" si="9"/>
        <v>91.799999999999272</v>
      </c>
    </row>
    <row r="33" spans="1:17" x14ac:dyDescent="0.25">
      <c r="A33" t="s">
        <v>76</v>
      </c>
      <c r="B33" t="s">
        <v>4</v>
      </c>
      <c r="C33" s="2">
        <v>8298.4800000000159</v>
      </c>
      <c r="D33" s="2">
        <v>216</v>
      </c>
      <c r="E33" s="1">
        <v>39.380000000000003</v>
      </c>
      <c r="F33" s="2">
        <f t="shared" si="0"/>
        <v>8506.08</v>
      </c>
      <c r="G33" s="2">
        <v>324</v>
      </c>
      <c r="H33" s="1">
        <v>1</v>
      </c>
      <c r="I33" s="2">
        <f t="shared" si="1"/>
        <v>69984</v>
      </c>
      <c r="J33" s="2">
        <f t="shared" si="2"/>
        <v>53157.274156189189</v>
      </c>
      <c r="K33" s="1">
        <f t="shared" si="3"/>
        <v>186.05045954666215</v>
      </c>
      <c r="L33" s="19">
        <f t="shared" si="10"/>
        <v>0.86134472012343588</v>
      </c>
      <c r="M33" s="1">
        <f t="shared" si="5"/>
        <v>0.88</v>
      </c>
      <c r="N33" s="19">
        <f t="shared" si="6"/>
        <v>40.260000000000005</v>
      </c>
      <c r="P33" s="2">
        <f t="shared" si="8"/>
        <v>8696.1600000000017</v>
      </c>
      <c r="Q33" s="6">
        <f t="shared" si="9"/>
        <v>190.08000000000175</v>
      </c>
    </row>
    <row r="34" spans="1:17" x14ac:dyDescent="0.25">
      <c r="A34" t="s">
        <v>76</v>
      </c>
      <c r="B34" t="s">
        <v>60</v>
      </c>
      <c r="C34" s="2">
        <v>10.039999999999999</v>
      </c>
      <c r="D34" s="2">
        <v>4</v>
      </c>
      <c r="E34" s="1">
        <v>2.5099999999999998</v>
      </c>
      <c r="F34" s="2">
        <f t="shared" si="0"/>
        <v>10.039999999999999</v>
      </c>
      <c r="H34" s="1"/>
      <c r="P34" s="6">
        <f>+F34</f>
        <v>10.039999999999999</v>
      </c>
      <c r="Q34" s="6">
        <f t="shared" si="9"/>
        <v>0</v>
      </c>
    </row>
    <row r="35" spans="1:17" x14ac:dyDescent="0.25">
      <c r="A35" t="s">
        <v>76</v>
      </c>
      <c r="B35" t="s">
        <v>41</v>
      </c>
      <c r="C35" s="2">
        <v>303.66000000000008</v>
      </c>
      <c r="D35" s="2">
        <v>15</v>
      </c>
      <c r="E35" s="1">
        <v>23.78</v>
      </c>
      <c r="F35" s="2">
        <f t="shared" si="0"/>
        <v>356.70000000000005</v>
      </c>
      <c r="H35" s="1"/>
      <c r="P35" s="6">
        <f>+F35</f>
        <v>356.70000000000005</v>
      </c>
      <c r="Q35" s="6">
        <f t="shared" si="9"/>
        <v>0</v>
      </c>
    </row>
    <row r="36" spans="1:17" x14ac:dyDescent="0.25">
      <c r="A36" t="s">
        <v>76</v>
      </c>
      <c r="B36" t="s">
        <v>42</v>
      </c>
      <c r="C36" s="2">
        <v>976.56000000000029</v>
      </c>
      <c r="D36" s="2">
        <v>12</v>
      </c>
      <c r="E36" s="1">
        <v>82.59</v>
      </c>
      <c r="F36" s="2">
        <f t="shared" si="0"/>
        <v>991.08</v>
      </c>
      <c r="G36" s="2">
        <v>473</v>
      </c>
      <c r="H36" s="1">
        <v>1</v>
      </c>
      <c r="I36" s="2">
        <f t="shared" ref="I36:I46" si="11">+H36*G36*D36</f>
        <v>5676</v>
      </c>
      <c r="J36" s="2">
        <f t="shared" ref="J36:J46" si="12">+I36*$I$53</f>
        <v>4311.2809800887326</v>
      </c>
      <c r="K36" s="1">
        <f t="shared" ref="K36:K46" si="13">+J36*$K$2</f>
        <v>15.089483430310564</v>
      </c>
      <c r="L36" s="19">
        <f t="shared" ref="L36:L46" si="14">+K36/D36</f>
        <v>1.2574569525258803</v>
      </c>
      <c r="M36" s="1">
        <f t="shared" ref="M36:M46" si="15">ROUND(L36/$M$55,2)</f>
        <v>1.29</v>
      </c>
      <c r="N36" s="19">
        <f t="shared" ref="N36:N46" si="16">+M36+E36</f>
        <v>83.88000000000001</v>
      </c>
      <c r="P36" s="2">
        <f t="shared" ref="P36:P46" si="17">+N36*D36</f>
        <v>1006.5600000000002</v>
      </c>
      <c r="Q36" s="6">
        <f t="shared" si="9"/>
        <v>15.480000000000132</v>
      </c>
    </row>
    <row r="37" spans="1:17" x14ac:dyDescent="0.25">
      <c r="A37" t="s">
        <v>76</v>
      </c>
      <c r="B37" t="s">
        <v>26</v>
      </c>
      <c r="C37" s="2">
        <v>20821.570000000102</v>
      </c>
      <c r="D37" s="2">
        <v>298</v>
      </c>
      <c r="E37" s="1">
        <v>70.77</v>
      </c>
      <c r="F37" s="2">
        <f t="shared" si="0"/>
        <v>21089.46</v>
      </c>
      <c r="G37" s="2">
        <v>613</v>
      </c>
      <c r="H37" s="1">
        <v>1</v>
      </c>
      <c r="I37" s="2">
        <f t="shared" si="11"/>
        <v>182674</v>
      </c>
      <c r="J37" s="2">
        <f t="shared" si="12"/>
        <v>138752.45626439905</v>
      </c>
      <c r="K37" s="1">
        <f t="shared" si="13"/>
        <v>485.63359692539666</v>
      </c>
      <c r="L37" s="19">
        <f t="shared" si="14"/>
        <v>1.6296429427026733</v>
      </c>
      <c r="M37" s="1">
        <f t="shared" si="15"/>
        <v>1.67</v>
      </c>
      <c r="N37" s="19">
        <f t="shared" si="16"/>
        <v>72.44</v>
      </c>
      <c r="P37" s="2">
        <f t="shared" si="17"/>
        <v>21587.119999999999</v>
      </c>
      <c r="Q37" s="6">
        <f t="shared" si="9"/>
        <v>497.65999999999985</v>
      </c>
    </row>
    <row r="38" spans="1:17" x14ac:dyDescent="0.25">
      <c r="A38" t="s">
        <v>76</v>
      </c>
      <c r="B38" t="s">
        <v>27</v>
      </c>
      <c r="C38" s="2">
        <v>2854.0099999999993</v>
      </c>
      <c r="D38" s="2">
        <v>32</v>
      </c>
      <c r="E38" s="1">
        <v>93.56</v>
      </c>
      <c r="F38" s="2">
        <f t="shared" si="0"/>
        <v>2993.92</v>
      </c>
      <c r="G38" s="2">
        <v>840</v>
      </c>
      <c r="H38" s="1">
        <v>1</v>
      </c>
      <c r="I38" s="2">
        <f t="shared" si="11"/>
        <v>26880</v>
      </c>
      <c r="J38" s="2">
        <f t="shared" si="12"/>
        <v>20417.060032555517</v>
      </c>
      <c r="K38" s="1">
        <f t="shared" si="13"/>
        <v>71.459710113944311</v>
      </c>
      <c r="L38" s="19">
        <f t="shared" si="14"/>
        <v>2.2331159410607597</v>
      </c>
      <c r="M38" s="1">
        <f t="shared" si="15"/>
        <v>2.29</v>
      </c>
      <c r="N38" s="19">
        <f t="shared" si="16"/>
        <v>95.850000000000009</v>
      </c>
      <c r="P38" s="2">
        <f t="shared" si="17"/>
        <v>3067.2000000000003</v>
      </c>
      <c r="Q38" s="6">
        <f t="shared" si="9"/>
        <v>73.2800000000002</v>
      </c>
    </row>
    <row r="39" spans="1:17" x14ac:dyDescent="0.25">
      <c r="A39" t="s">
        <v>76</v>
      </c>
      <c r="B39" t="s">
        <v>45</v>
      </c>
      <c r="C39" s="2">
        <v>4999.5999999999985</v>
      </c>
      <c r="D39" s="2">
        <v>37</v>
      </c>
      <c r="E39" s="1">
        <v>137.08000000000001</v>
      </c>
      <c r="F39" s="2">
        <f t="shared" si="0"/>
        <v>5071.96</v>
      </c>
      <c r="G39" s="2">
        <v>840</v>
      </c>
      <c r="H39" s="1">
        <v>1</v>
      </c>
      <c r="I39" s="2">
        <f t="shared" si="11"/>
        <v>31080</v>
      </c>
      <c r="J39" s="2">
        <f t="shared" si="12"/>
        <v>23607.225662642319</v>
      </c>
      <c r="K39" s="1">
        <f t="shared" si="13"/>
        <v>82.625289819248124</v>
      </c>
      <c r="L39" s="19">
        <f t="shared" si="14"/>
        <v>2.2331159410607602</v>
      </c>
      <c r="M39" s="1">
        <f t="shared" si="15"/>
        <v>2.29</v>
      </c>
      <c r="N39" s="19">
        <f t="shared" si="16"/>
        <v>139.37</v>
      </c>
      <c r="P39" s="2">
        <f t="shared" si="17"/>
        <v>5156.6900000000005</v>
      </c>
      <c r="Q39" s="6">
        <f t="shared" si="9"/>
        <v>84.730000000000473</v>
      </c>
    </row>
    <row r="40" spans="1:17" x14ac:dyDescent="0.25">
      <c r="A40" t="s">
        <v>76</v>
      </c>
      <c r="B40" t="s">
        <v>46</v>
      </c>
      <c r="C40" s="2">
        <v>17405.519999999993</v>
      </c>
      <c r="D40" s="2">
        <v>39.5</v>
      </c>
      <c r="E40" s="1">
        <v>448.64</v>
      </c>
      <c r="F40" s="2">
        <f t="shared" si="0"/>
        <v>17721.28</v>
      </c>
      <c r="G40" s="2">
        <v>840</v>
      </c>
      <c r="H40" s="1">
        <f>+H31</f>
        <v>4.333333333333333</v>
      </c>
      <c r="I40" s="2">
        <f t="shared" si="11"/>
        <v>143779.99999999997</v>
      </c>
      <c r="J40" s="2">
        <f t="shared" si="12"/>
        <v>109210.00340330476</v>
      </c>
      <c r="K40" s="1">
        <f t="shared" si="13"/>
        <v>382.23501191156663</v>
      </c>
      <c r="L40" s="19">
        <f t="shared" si="14"/>
        <v>9.6768357445966231</v>
      </c>
      <c r="M40" s="1">
        <f t="shared" si="15"/>
        <v>9.92</v>
      </c>
      <c r="N40" s="19">
        <f t="shared" si="16"/>
        <v>458.56</v>
      </c>
      <c r="P40" s="2">
        <f t="shared" si="17"/>
        <v>18113.12</v>
      </c>
      <c r="Q40" s="6">
        <f t="shared" si="9"/>
        <v>391.84000000000015</v>
      </c>
    </row>
    <row r="41" spans="1:17" x14ac:dyDescent="0.25">
      <c r="A41" t="s">
        <v>76</v>
      </c>
      <c r="B41" t="s">
        <v>63</v>
      </c>
      <c r="C41" s="2">
        <v>7683.8400000000011</v>
      </c>
      <c r="D41" s="2">
        <v>9</v>
      </c>
      <c r="E41" s="1">
        <v>853.76</v>
      </c>
      <c r="F41" s="2">
        <f t="shared" si="0"/>
        <v>7683.84</v>
      </c>
      <c r="G41" s="2">
        <v>840</v>
      </c>
      <c r="H41" s="1">
        <f>+H32</f>
        <v>8.6666666666666661</v>
      </c>
      <c r="I41" s="2">
        <f t="shared" si="11"/>
        <v>65519.999999999993</v>
      </c>
      <c r="J41" s="2">
        <f t="shared" si="12"/>
        <v>49766.583829354073</v>
      </c>
      <c r="K41" s="1">
        <f t="shared" si="13"/>
        <v>174.18304340273926</v>
      </c>
      <c r="L41" s="19">
        <f t="shared" si="14"/>
        <v>19.35367148919325</v>
      </c>
      <c r="M41" s="1">
        <f t="shared" si="15"/>
        <v>19.84</v>
      </c>
      <c r="N41" s="19">
        <f t="shared" si="16"/>
        <v>873.6</v>
      </c>
      <c r="P41" s="2">
        <f t="shared" si="17"/>
        <v>7862.4000000000005</v>
      </c>
      <c r="Q41" s="6">
        <f t="shared" si="9"/>
        <v>178.5600000000004</v>
      </c>
    </row>
    <row r="42" spans="1:17" x14ac:dyDescent="0.25">
      <c r="A42" t="s">
        <v>76</v>
      </c>
      <c r="B42" t="s">
        <v>9</v>
      </c>
      <c r="C42" s="2">
        <v>4758.1300000000019</v>
      </c>
      <c r="D42" s="2">
        <v>52</v>
      </c>
      <c r="E42" s="1">
        <v>93.56</v>
      </c>
      <c r="F42" s="2">
        <f t="shared" si="0"/>
        <v>4865.12</v>
      </c>
      <c r="G42" s="2">
        <v>840</v>
      </c>
      <c r="H42" s="1">
        <v>1</v>
      </c>
      <c r="I42" s="2">
        <f t="shared" si="11"/>
        <v>43680</v>
      </c>
      <c r="J42" s="2">
        <f t="shared" si="12"/>
        <v>33177.72255290272</v>
      </c>
      <c r="K42" s="1">
        <f t="shared" si="13"/>
        <v>116.12202893515952</v>
      </c>
      <c r="L42" s="19">
        <f t="shared" si="14"/>
        <v>2.2331159410607602</v>
      </c>
      <c r="M42" s="1">
        <f t="shared" si="15"/>
        <v>2.29</v>
      </c>
      <c r="N42" s="19">
        <f t="shared" si="16"/>
        <v>95.850000000000009</v>
      </c>
      <c r="P42" s="2">
        <f t="shared" si="17"/>
        <v>4984.2000000000007</v>
      </c>
      <c r="Q42" s="6">
        <f t="shared" si="9"/>
        <v>119.08000000000084</v>
      </c>
    </row>
    <row r="43" spans="1:17" x14ac:dyDescent="0.25">
      <c r="A43" t="s">
        <v>76</v>
      </c>
      <c r="B43" t="s">
        <v>14</v>
      </c>
      <c r="C43" s="2">
        <v>1336.72</v>
      </c>
      <c r="D43" s="2">
        <v>51.651045192844322</v>
      </c>
      <c r="E43" s="1">
        <v>26.26</v>
      </c>
      <c r="F43" s="2">
        <f t="shared" si="0"/>
        <v>1356.356446764092</v>
      </c>
      <c r="G43" s="2">
        <v>175</v>
      </c>
      <c r="H43" s="1">
        <v>1</v>
      </c>
      <c r="I43" s="2">
        <f t="shared" si="11"/>
        <v>9038.9329087477563</v>
      </c>
      <c r="J43" s="2">
        <f t="shared" si="12"/>
        <v>6865.6412138446658</v>
      </c>
      <c r="K43" s="1">
        <f t="shared" si="13"/>
        <v>24.029744248456332</v>
      </c>
      <c r="L43" s="19">
        <f t="shared" si="14"/>
        <v>0.46523248772099168</v>
      </c>
      <c r="M43" s="1">
        <f t="shared" si="15"/>
        <v>0.48</v>
      </c>
      <c r="N43" s="19">
        <f t="shared" si="16"/>
        <v>26.740000000000002</v>
      </c>
      <c r="P43" s="2">
        <f t="shared" si="17"/>
        <v>1381.1489484566573</v>
      </c>
      <c r="Q43" s="6">
        <f t="shared" si="9"/>
        <v>24.792501692565338</v>
      </c>
    </row>
    <row r="44" spans="1:17" x14ac:dyDescent="0.25">
      <c r="A44" t="s">
        <v>76</v>
      </c>
      <c r="B44" t="s">
        <v>25</v>
      </c>
      <c r="C44" s="2">
        <v>3335.2299999999959</v>
      </c>
      <c r="D44" s="2">
        <v>101.69479748172387</v>
      </c>
      <c r="E44" s="1">
        <v>33.51</v>
      </c>
      <c r="F44" s="2">
        <f t="shared" si="0"/>
        <v>3407.7926636125667</v>
      </c>
      <c r="G44" s="2">
        <v>175</v>
      </c>
      <c r="H44" s="1">
        <v>1</v>
      </c>
      <c r="I44" s="2">
        <f t="shared" si="11"/>
        <v>17796.589559301676</v>
      </c>
      <c r="J44" s="2">
        <f t="shared" si="12"/>
        <v>13517.63532020138</v>
      </c>
      <c r="K44" s="1">
        <f t="shared" si="13"/>
        <v>47.311723620704832</v>
      </c>
      <c r="L44" s="19">
        <f t="shared" si="14"/>
        <v>0.46523248772099163</v>
      </c>
      <c r="M44" s="1">
        <f t="shared" si="15"/>
        <v>0.48</v>
      </c>
      <c r="N44" s="19">
        <f t="shared" si="16"/>
        <v>33.989999999999995</v>
      </c>
      <c r="P44" s="2">
        <f t="shared" si="17"/>
        <v>3456.6061664037938</v>
      </c>
      <c r="Q44" s="6">
        <f t="shared" si="9"/>
        <v>48.813502791227165</v>
      </c>
    </row>
    <row r="45" spans="1:17" x14ac:dyDescent="0.25">
      <c r="A45" t="s">
        <v>76</v>
      </c>
      <c r="B45" t="s">
        <v>28</v>
      </c>
      <c r="C45" s="2">
        <v>1906.49</v>
      </c>
      <c r="D45" s="2">
        <v>57.049874929887295</v>
      </c>
      <c r="E45" s="1">
        <v>33.51</v>
      </c>
      <c r="F45" s="2">
        <f t="shared" si="0"/>
        <v>1911.7413089005231</v>
      </c>
      <c r="G45" s="2">
        <v>175</v>
      </c>
      <c r="H45" s="1">
        <v>1</v>
      </c>
      <c r="I45" s="2">
        <f t="shared" si="11"/>
        <v>9983.7281127302758</v>
      </c>
      <c r="J45" s="2">
        <f t="shared" si="12"/>
        <v>7583.2729250865423</v>
      </c>
      <c r="K45" s="1">
        <f t="shared" si="13"/>
        <v>26.5414552378029</v>
      </c>
      <c r="L45" s="19">
        <f t="shared" si="14"/>
        <v>0.46523248772099163</v>
      </c>
      <c r="M45" s="1">
        <f t="shared" si="15"/>
        <v>0.48</v>
      </c>
      <c r="N45" s="19">
        <f t="shared" si="16"/>
        <v>33.989999999999995</v>
      </c>
      <c r="P45" s="2">
        <f t="shared" si="17"/>
        <v>1939.1252488668688</v>
      </c>
      <c r="Q45" s="6">
        <f t="shared" si="9"/>
        <v>27.383939966345679</v>
      </c>
    </row>
    <row r="46" spans="1:17" x14ac:dyDescent="0.25">
      <c r="A46" t="s">
        <v>76</v>
      </c>
      <c r="B46" t="s">
        <v>67</v>
      </c>
      <c r="C46" s="2">
        <v>10.06</v>
      </c>
      <c r="D46" s="2">
        <v>2</v>
      </c>
      <c r="E46" s="1">
        <v>5.03</v>
      </c>
      <c r="F46" s="2">
        <f t="shared" si="0"/>
        <v>10.06</v>
      </c>
      <c r="G46" s="2">
        <v>34</v>
      </c>
      <c r="H46" s="1">
        <v>1</v>
      </c>
      <c r="I46" s="2">
        <f t="shared" si="11"/>
        <v>68</v>
      </c>
      <c r="J46" s="2">
        <f t="shared" si="12"/>
        <v>51.650300677595808</v>
      </c>
      <c r="K46" s="1">
        <f t="shared" si="13"/>
        <v>0.18077605237158534</v>
      </c>
      <c r="L46" s="19">
        <f t="shared" si="14"/>
        <v>9.0388026185792669E-2</v>
      </c>
      <c r="M46" s="1">
        <f t="shared" si="15"/>
        <v>0.09</v>
      </c>
      <c r="N46" s="19">
        <f t="shared" si="16"/>
        <v>5.12</v>
      </c>
      <c r="P46" s="2">
        <f t="shared" si="17"/>
        <v>10.24</v>
      </c>
      <c r="Q46" s="6">
        <f t="shared" si="9"/>
        <v>0.17999999999999972</v>
      </c>
    </row>
    <row r="47" spans="1:17" x14ac:dyDescent="0.25">
      <c r="A47" t="s">
        <v>76</v>
      </c>
      <c r="B47" t="s">
        <v>18</v>
      </c>
      <c r="C47" s="2">
        <v>1462.2799999999975</v>
      </c>
      <c r="D47" s="2">
        <v>137</v>
      </c>
      <c r="E47" s="1">
        <v>10.84</v>
      </c>
      <c r="F47" s="2">
        <f t="shared" si="0"/>
        <v>1485.08</v>
      </c>
      <c r="H47" s="1"/>
      <c r="P47" s="6">
        <f>+F47</f>
        <v>1485.08</v>
      </c>
      <c r="Q47" s="6">
        <f t="shared" si="9"/>
        <v>0</v>
      </c>
    </row>
    <row r="48" spans="1:17" x14ac:dyDescent="0.25">
      <c r="A48" t="s">
        <v>79</v>
      </c>
      <c r="B48" t="s">
        <v>5</v>
      </c>
      <c r="C48" s="2">
        <v>574.56000000000006</v>
      </c>
      <c r="D48" s="2">
        <v>105</v>
      </c>
      <c r="E48" s="1">
        <v>5.57</v>
      </c>
      <c r="F48" s="2">
        <f t="shared" si="0"/>
        <v>584.85</v>
      </c>
      <c r="H48" s="1"/>
      <c r="P48" s="6">
        <f>+F48</f>
        <v>584.85</v>
      </c>
      <c r="Q48" s="6">
        <f t="shared" si="9"/>
        <v>0</v>
      </c>
    </row>
    <row r="49" spans="1:17" x14ac:dyDescent="0.25">
      <c r="C49" s="2"/>
      <c r="D49" s="2"/>
      <c r="E49" s="1"/>
      <c r="F49" s="2"/>
      <c r="H49" s="1"/>
      <c r="Q49" s="6">
        <f t="shared" si="9"/>
        <v>0</v>
      </c>
    </row>
    <row r="50" spans="1:17" ht="13" x14ac:dyDescent="0.25">
      <c r="A50" t="s">
        <v>77</v>
      </c>
      <c r="B50" t="s">
        <v>59</v>
      </c>
      <c r="C50" s="2">
        <v>24.64</v>
      </c>
      <c r="D50" s="2">
        <v>7</v>
      </c>
      <c r="E50" s="1">
        <v>3.52</v>
      </c>
      <c r="F50" s="6">
        <f>+C50</f>
        <v>24.64</v>
      </c>
      <c r="H50" s="18" t="s">
        <v>116</v>
      </c>
      <c r="I50" s="6">
        <f>SUM(I6:I49)</f>
        <v>1608742.7059965699</v>
      </c>
      <c r="J50" s="6">
        <f>SUM(J6:J49)</f>
        <v>1221941.830553117</v>
      </c>
      <c r="L50" s="8" t="s">
        <v>127</v>
      </c>
      <c r="M50" s="22"/>
      <c r="P50" s="6">
        <f>+F50</f>
        <v>24.64</v>
      </c>
      <c r="Q50" s="6">
        <f t="shared" si="9"/>
        <v>0</v>
      </c>
    </row>
    <row r="51" spans="1:17" ht="13" x14ac:dyDescent="0.25">
      <c r="A51" t="s">
        <v>77</v>
      </c>
      <c r="B51" t="s">
        <v>57</v>
      </c>
      <c r="C51" s="2">
        <v>456.12</v>
      </c>
      <c r="D51" s="2">
        <v>9</v>
      </c>
      <c r="E51" s="1">
        <v>50.68</v>
      </c>
      <c r="F51" s="6">
        <f t="shared" ref="F51:F75" si="18">+C51</f>
        <v>456.12</v>
      </c>
      <c r="H51" s="18" t="s">
        <v>117</v>
      </c>
      <c r="I51" s="1">
        <f>+I50/2000</f>
        <v>804.37135299828492</v>
      </c>
      <c r="J51" s="1">
        <f>+J50/2000</f>
        <v>610.97091527655846</v>
      </c>
      <c r="L51" s="8" t="s">
        <v>125</v>
      </c>
      <c r="M51" s="22">
        <v>1.4999999999999999E-2</v>
      </c>
      <c r="P51" s="6">
        <f t="shared" ref="P51:P65" si="19">+F51</f>
        <v>456.12</v>
      </c>
      <c r="Q51" s="6">
        <f t="shared" si="9"/>
        <v>0</v>
      </c>
    </row>
    <row r="52" spans="1:17" ht="13" x14ac:dyDescent="0.25">
      <c r="A52" t="s">
        <v>77</v>
      </c>
      <c r="B52" t="s">
        <v>47</v>
      </c>
      <c r="C52" s="2">
        <v>672.35999999999979</v>
      </c>
      <c r="D52" s="2">
        <v>12</v>
      </c>
      <c r="E52" s="1">
        <v>56.03</v>
      </c>
      <c r="F52" s="6">
        <f t="shared" si="18"/>
        <v>672.35999999999979</v>
      </c>
      <c r="H52" s="18" t="s">
        <v>118</v>
      </c>
      <c r="I52" s="19">
        <f>+Tonnage!B27+Tonnage!D27</f>
        <v>610.97091527655834</v>
      </c>
      <c r="L52" s="8" t="s">
        <v>128</v>
      </c>
      <c r="M52" s="22">
        <v>4.2750000000000002E-3</v>
      </c>
      <c r="P52" s="6">
        <f t="shared" si="19"/>
        <v>672.35999999999979</v>
      </c>
      <c r="Q52" s="6">
        <f t="shared" si="9"/>
        <v>0</v>
      </c>
    </row>
    <row r="53" spans="1:17" ht="13" x14ac:dyDescent="0.25">
      <c r="A53" t="s">
        <v>77</v>
      </c>
      <c r="B53" t="s">
        <v>51</v>
      </c>
      <c r="C53" s="2">
        <v>946.68</v>
      </c>
      <c r="D53" s="2">
        <v>12</v>
      </c>
      <c r="E53" s="1">
        <v>78.89</v>
      </c>
      <c r="F53" s="6">
        <f t="shared" si="18"/>
        <v>946.68</v>
      </c>
      <c r="H53" s="18" t="s">
        <v>119</v>
      </c>
      <c r="I53" s="20">
        <f>+I52/I51</f>
        <v>0.75956324525876184</v>
      </c>
      <c r="L53" s="8" t="s">
        <v>126</v>
      </c>
      <c r="M53" s="22">
        <v>5.0000000000000001E-3</v>
      </c>
      <c r="P53" s="6">
        <f t="shared" si="19"/>
        <v>946.68</v>
      </c>
      <c r="Q53" s="6">
        <f t="shared" si="9"/>
        <v>0</v>
      </c>
    </row>
    <row r="54" spans="1:17" x14ac:dyDescent="0.25">
      <c r="A54" t="s">
        <v>77</v>
      </c>
      <c r="B54" t="s">
        <v>58</v>
      </c>
      <c r="C54" s="2">
        <v>16.84</v>
      </c>
      <c r="D54" s="2">
        <v>4</v>
      </c>
      <c r="E54" s="1">
        <v>4.21</v>
      </c>
      <c r="F54" s="6">
        <f t="shared" si="18"/>
        <v>16.84</v>
      </c>
      <c r="H54" s="1"/>
      <c r="L54" s="8" t="s">
        <v>73</v>
      </c>
      <c r="M54" s="22">
        <f>SUM(M51:M53)</f>
        <v>2.4275000000000001E-2</v>
      </c>
      <c r="P54" s="6">
        <f t="shared" si="19"/>
        <v>16.84</v>
      </c>
      <c r="Q54" s="6">
        <f t="shared" si="9"/>
        <v>0</v>
      </c>
    </row>
    <row r="55" spans="1:17" x14ac:dyDescent="0.25">
      <c r="A55" t="s">
        <v>77</v>
      </c>
      <c r="B55" t="s">
        <v>23</v>
      </c>
      <c r="C55" s="2">
        <v>78.89</v>
      </c>
      <c r="D55" s="2">
        <v>1</v>
      </c>
      <c r="E55" s="1">
        <v>78.89</v>
      </c>
      <c r="F55" s="6">
        <f t="shared" si="18"/>
        <v>78.89</v>
      </c>
      <c r="H55" s="1"/>
      <c r="L55" s="8" t="s">
        <v>129</v>
      </c>
      <c r="M55" s="23">
        <f>1-M54</f>
        <v>0.97572499999999995</v>
      </c>
      <c r="P55" s="6">
        <f t="shared" si="19"/>
        <v>78.89</v>
      </c>
      <c r="Q55" s="6">
        <f t="shared" si="9"/>
        <v>0</v>
      </c>
    </row>
    <row r="56" spans="1:17" x14ac:dyDescent="0.25">
      <c r="A56" t="s">
        <v>77</v>
      </c>
      <c r="B56" t="s">
        <v>29</v>
      </c>
      <c r="C56" s="2">
        <v>214.14000000000001</v>
      </c>
      <c r="D56" s="2">
        <v>43</v>
      </c>
      <c r="E56" s="1">
        <v>4.9800000000000004</v>
      </c>
      <c r="F56" s="6">
        <f t="shared" si="18"/>
        <v>214.14000000000001</v>
      </c>
      <c r="H56" s="1"/>
      <c r="P56" s="6">
        <f t="shared" si="19"/>
        <v>214.14000000000001</v>
      </c>
      <c r="Q56" s="6">
        <f t="shared" si="9"/>
        <v>0</v>
      </c>
    </row>
    <row r="57" spans="1:17" x14ac:dyDescent="0.25">
      <c r="A57" t="s">
        <v>77</v>
      </c>
      <c r="B57" t="s">
        <v>48</v>
      </c>
      <c r="C57" s="2">
        <v>2270.3099999999995</v>
      </c>
      <c r="D57" s="2">
        <v>21</v>
      </c>
      <c r="E57" s="1">
        <v>108.11</v>
      </c>
      <c r="F57" s="6">
        <f t="shared" si="18"/>
        <v>2270.3099999999995</v>
      </c>
      <c r="H57" s="1"/>
      <c r="P57" s="6">
        <f t="shared" si="19"/>
        <v>2270.3099999999995</v>
      </c>
      <c r="Q57" s="6">
        <f t="shared" si="9"/>
        <v>0</v>
      </c>
    </row>
    <row r="58" spans="1:17" x14ac:dyDescent="0.25">
      <c r="A58" t="s">
        <v>77</v>
      </c>
      <c r="B58" t="s">
        <v>49</v>
      </c>
      <c r="C58" s="2">
        <v>1486.5600000000004</v>
      </c>
      <c r="D58" s="2">
        <v>12</v>
      </c>
      <c r="E58" s="1">
        <v>123.88</v>
      </c>
      <c r="F58" s="6">
        <f t="shared" si="18"/>
        <v>1486.5600000000004</v>
      </c>
      <c r="H58" s="1"/>
      <c r="P58" s="6">
        <f t="shared" si="19"/>
        <v>1486.5600000000004</v>
      </c>
      <c r="Q58" s="6">
        <f t="shared" si="9"/>
        <v>0</v>
      </c>
    </row>
    <row r="59" spans="1:17" x14ac:dyDescent="0.25">
      <c r="A59" t="s">
        <v>77</v>
      </c>
      <c r="B59" t="s">
        <v>43</v>
      </c>
      <c r="C59" s="2">
        <v>4590.0600000000004</v>
      </c>
      <c r="D59" s="2">
        <v>42</v>
      </c>
      <c r="E59" s="1">
        <v>111.15</v>
      </c>
      <c r="F59" s="6">
        <f t="shared" si="18"/>
        <v>4590.0600000000004</v>
      </c>
      <c r="H59" s="1"/>
      <c r="P59" s="6">
        <f t="shared" si="19"/>
        <v>4590.0600000000004</v>
      </c>
      <c r="Q59" s="6">
        <f t="shared" si="9"/>
        <v>0</v>
      </c>
    </row>
    <row r="60" spans="1:17" x14ac:dyDescent="0.25">
      <c r="A60" t="s">
        <v>77</v>
      </c>
      <c r="B60" t="s">
        <v>44</v>
      </c>
      <c r="C60" s="2">
        <v>16399.519999999993</v>
      </c>
      <c r="D60" s="2">
        <v>48</v>
      </c>
      <c r="E60" s="1">
        <v>346.82</v>
      </c>
      <c r="F60" s="6">
        <f t="shared" si="18"/>
        <v>16399.519999999993</v>
      </c>
      <c r="H60" s="1"/>
      <c r="P60" s="6">
        <f t="shared" si="19"/>
        <v>16399.519999999993</v>
      </c>
      <c r="Q60" s="6">
        <f t="shared" si="9"/>
        <v>0</v>
      </c>
    </row>
    <row r="61" spans="1:17" x14ac:dyDescent="0.25">
      <c r="A61" t="s">
        <v>77</v>
      </c>
      <c r="B61" t="s">
        <v>8</v>
      </c>
      <c r="C61" s="2">
        <v>2898.5799999999995</v>
      </c>
      <c r="D61" s="2">
        <v>42</v>
      </c>
      <c r="E61" s="1">
        <v>70.77</v>
      </c>
      <c r="F61" s="6">
        <f t="shared" si="18"/>
        <v>2898.5799999999995</v>
      </c>
      <c r="H61" s="1"/>
      <c r="P61" s="6">
        <f t="shared" si="19"/>
        <v>2898.5799999999995</v>
      </c>
      <c r="Q61" s="6">
        <f t="shared" si="9"/>
        <v>0</v>
      </c>
    </row>
    <row r="62" spans="1:17" x14ac:dyDescent="0.25">
      <c r="A62" t="s">
        <v>77</v>
      </c>
      <c r="B62" t="s">
        <v>24</v>
      </c>
      <c r="C62" s="2">
        <v>11592.820000000003</v>
      </c>
      <c r="D62" s="2">
        <v>11592.820000000003</v>
      </c>
      <c r="E62" s="1">
        <v>85</v>
      </c>
      <c r="F62" s="6">
        <f t="shared" si="18"/>
        <v>11592.820000000003</v>
      </c>
      <c r="H62" s="1"/>
      <c r="N62">
        <v>89.38</v>
      </c>
      <c r="P62" s="6">
        <f>+N62/E62*F62</f>
        <v>12190.191195294121</v>
      </c>
      <c r="Q62" s="6">
        <f t="shared" si="9"/>
        <v>597.37119529411757</v>
      </c>
    </row>
    <row r="63" spans="1:17" x14ac:dyDescent="0.25">
      <c r="A63" t="s">
        <v>77</v>
      </c>
      <c r="B63" t="s">
        <v>21</v>
      </c>
      <c r="C63" s="2">
        <v>30018.700000000073</v>
      </c>
      <c r="D63" s="2">
        <v>277.50049514755403</v>
      </c>
      <c r="E63" s="1">
        <v>110.72</v>
      </c>
      <c r="F63" s="6">
        <f t="shared" si="18"/>
        <v>30018.700000000073</v>
      </c>
      <c r="H63" s="1"/>
      <c r="P63" s="6">
        <f t="shared" si="19"/>
        <v>30018.700000000073</v>
      </c>
      <c r="Q63" s="6">
        <f t="shared" si="9"/>
        <v>0</v>
      </c>
    </row>
    <row r="64" spans="1:17" x14ac:dyDescent="0.25">
      <c r="A64" t="s">
        <v>77</v>
      </c>
      <c r="B64" t="s">
        <v>2</v>
      </c>
      <c r="C64" s="2">
        <v>20142.68</v>
      </c>
      <c r="D64" s="2">
        <v>232.60034533333217</v>
      </c>
      <c r="E64" s="1">
        <v>144.41999999999999</v>
      </c>
      <c r="F64" s="6">
        <f t="shared" si="18"/>
        <v>20142.68</v>
      </c>
      <c r="H64" s="1"/>
      <c r="P64" s="6">
        <f t="shared" si="19"/>
        <v>20142.68</v>
      </c>
      <c r="Q64" s="6">
        <f t="shared" si="9"/>
        <v>0</v>
      </c>
    </row>
    <row r="65" spans="1:17" x14ac:dyDescent="0.25">
      <c r="A65" t="s">
        <v>77</v>
      </c>
      <c r="B65" t="s">
        <v>56</v>
      </c>
      <c r="C65" s="2">
        <v>4388.4399999999996</v>
      </c>
      <c r="D65" s="2">
        <v>51.751093271802702</v>
      </c>
      <c r="E65" s="1">
        <v>85.27</v>
      </c>
      <c r="F65" s="6">
        <f t="shared" si="18"/>
        <v>4388.4399999999996</v>
      </c>
      <c r="H65" s="1"/>
      <c r="P65" s="6">
        <f t="shared" si="19"/>
        <v>4388.4399999999996</v>
      </c>
      <c r="Q65" s="6">
        <f t="shared" si="9"/>
        <v>0</v>
      </c>
    </row>
    <row r="66" spans="1:17" x14ac:dyDescent="0.25">
      <c r="A66" t="s">
        <v>77</v>
      </c>
      <c r="B66" t="s">
        <v>22</v>
      </c>
      <c r="C66" s="2">
        <v>25503.899999999998</v>
      </c>
      <c r="D66" s="2">
        <v>25503.899999999998</v>
      </c>
      <c r="E66" s="1">
        <v>134</v>
      </c>
      <c r="F66" s="6">
        <f t="shared" si="18"/>
        <v>25503.899999999998</v>
      </c>
      <c r="H66" s="1"/>
      <c r="N66">
        <v>141</v>
      </c>
      <c r="P66" s="6">
        <f>+N66/E66*F66</f>
        <v>26836.193283582088</v>
      </c>
      <c r="Q66" s="6">
        <f t="shared" si="9"/>
        <v>1332.2932835820902</v>
      </c>
    </row>
    <row r="67" spans="1:17" x14ac:dyDescent="0.25">
      <c r="C67" s="2"/>
      <c r="D67" s="2"/>
      <c r="E67" s="1"/>
      <c r="F67" s="6"/>
      <c r="H67" s="1"/>
      <c r="Q67" s="6">
        <f t="shared" si="9"/>
        <v>0</v>
      </c>
    </row>
    <row r="68" spans="1:17" x14ac:dyDescent="0.25">
      <c r="A68" t="s">
        <v>80</v>
      </c>
      <c r="B68" t="s">
        <v>53</v>
      </c>
      <c r="C68" s="2">
        <v>-1282.8599999999994</v>
      </c>
      <c r="D68" s="2">
        <v>-1282.8599999999994</v>
      </c>
      <c r="E68" s="1"/>
      <c r="F68" s="6">
        <f t="shared" si="18"/>
        <v>-1282.8599999999994</v>
      </c>
      <c r="H68" s="1"/>
      <c r="P68" s="6">
        <f t="shared" ref="P68:P75" si="20">+F68</f>
        <v>-1282.8599999999994</v>
      </c>
      <c r="Q68" s="6">
        <f t="shared" si="9"/>
        <v>0</v>
      </c>
    </row>
    <row r="69" spans="1:17" x14ac:dyDescent="0.25">
      <c r="A69" t="s">
        <v>80</v>
      </c>
      <c r="B69" t="s">
        <v>12</v>
      </c>
      <c r="C69" s="2">
        <v>404.96999999999974</v>
      </c>
      <c r="D69" s="2">
        <v>50</v>
      </c>
      <c r="E69" s="1">
        <v>8.26</v>
      </c>
      <c r="F69" s="6">
        <f t="shared" si="18"/>
        <v>404.96999999999974</v>
      </c>
      <c r="H69" s="1"/>
      <c r="P69" s="6">
        <f t="shared" si="20"/>
        <v>404.96999999999974</v>
      </c>
      <c r="Q69" s="6">
        <f t="shared" si="9"/>
        <v>0</v>
      </c>
    </row>
    <row r="70" spans="1:17" x14ac:dyDescent="0.25">
      <c r="A70" t="s">
        <v>80</v>
      </c>
      <c r="B70" t="s">
        <v>52</v>
      </c>
      <c r="C70" s="2">
        <v>957.42</v>
      </c>
      <c r="D70" s="2"/>
      <c r="E70" s="1"/>
      <c r="F70" s="6">
        <f t="shared" si="18"/>
        <v>957.42</v>
      </c>
      <c r="H70" s="1"/>
      <c r="P70" s="6">
        <f t="shared" si="20"/>
        <v>957.42</v>
      </c>
      <c r="Q70" s="6">
        <f t="shared" si="9"/>
        <v>0</v>
      </c>
    </row>
    <row r="71" spans="1:17" x14ac:dyDescent="0.25">
      <c r="A71" t="s">
        <v>80</v>
      </c>
      <c r="B71" t="s">
        <v>62</v>
      </c>
      <c r="C71" s="2">
        <v>-874.67</v>
      </c>
      <c r="D71" s="2"/>
      <c r="E71" s="1">
        <v>1</v>
      </c>
      <c r="F71" s="6">
        <f t="shared" si="18"/>
        <v>-874.67</v>
      </c>
      <c r="H71" s="1"/>
      <c r="P71" s="6">
        <f t="shared" si="20"/>
        <v>-874.67</v>
      </c>
      <c r="Q71" s="6">
        <f t="shared" ref="Q71:Q75" si="21">+P71-F71</f>
        <v>0</v>
      </c>
    </row>
    <row r="72" spans="1:17" x14ac:dyDescent="0.25">
      <c r="A72" t="s">
        <v>80</v>
      </c>
      <c r="B72" t="s">
        <v>54</v>
      </c>
      <c r="C72" s="2">
        <v>60</v>
      </c>
      <c r="D72" s="2">
        <v>6</v>
      </c>
      <c r="E72" s="1">
        <v>10</v>
      </c>
      <c r="F72" s="6">
        <f t="shared" si="18"/>
        <v>60</v>
      </c>
      <c r="H72" s="1"/>
      <c r="P72" s="6">
        <f t="shared" si="20"/>
        <v>60</v>
      </c>
      <c r="Q72" s="6">
        <f t="shared" si="21"/>
        <v>0</v>
      </c>
    </row>
    <row r="73" spans="1:17" x14ac:dyDescent="0.25">
      <c r="A73" t="s">
        <v>80</v>
      </c>
      <c r="B73" t="s">
        <v>61</v>
      </c>
      <c r="C73" s="2">
        <v>-77.59</v>
      </c>
      <c r="D73" s="2">
        <v>-77.59</v>
      </c>
      <c r="E73" s="1">
        <v>1</v>
      </c>
      <c r="F73" s="6">
        <f t="shared" si="18"/>
        <v>-77.59</v>
      </c>
      <c r="H73" s="1"/>
      <c r="P73" s="6">
        <f t="shared" si="20"/>
        <v>-77.59</v>
      </c>
      <c r="Q73" s="6">
        <f t="shared" si="21"/>
        <v>0</v>
      </c>
    </row>
    <row r="74" spans="1:17" x14ac:dyDescent="0.25">
      <c r="A74" t="s">
        <v>80</v>
      </c>
      <c r="B74" t="s">
        <v>55</v>
      </c>
      <c r="C74" s="2">
        <v>-87.89</v>
      </c>
      <c r="D74" s="2">
        <v>-87.89</v>
      </c>
      <c r="E74" s="1">
        <v>1</v>
      </c>
      <c r="F74" s="6">
        <f t="shared" si="18"/>
        <v>-87.89</v>
      </c>
      <c r="H74" s="1"/>
      <c r="P74" s="6">
        <f t="shared" si="20"/>
        <v>-87.89</v>
      </c>
      <c r="Q74" s="6">
        <f t="shared" si="21"/>
        <v>0</v>
      </c>
    </row>
    <row r="75" spans="1:17" x14ac:dyDescent="0.25">
      <c r="A75" t="s">
        <v>80</v>
      </c>
      <c r="B75" t="s">
        <v>20</v>
      </c>
      <c r="C75" s="2">
        <v>-69.159999999999982</v>
      </c>
      <c r="D75" s="2">
        <v>-69.159999999999982</v>
      </c>
      <c r="E75" s="1">
        <v>1</v>
      </c>
      <c r="F75" s="6">
        <f t="shared" si="18"/>
        <v>-69.159999999999982</v>
      </c>
      <c r="H75" s="1"/>
      <c r="P75" s="6">
        <f t="shared" si="20"/>
        <v>-69.159999999999982</v>
      </c>
      <c r="Q75" s="6">
        <f t="shared" si="21"/>
        <v>0</v>
      </c>
    </row>
    <row r="77" spans="1:17" x14ac:dyDescent="0.25">
      <c r="F77" s="6">
        <f>SUM(F6:F76)</f>
        <v>347742.47347372508</v>
      </c>
      <c r="P77" s="6">
        <f>SUM(P6:P76)</f>
        <v>354047.88958423154</v>
      </c>
    </row>
    <row r="79" spans="1:17" x14ac:dyDescent="0.25">
      <c r="O79" s="24">
        <f>+P79/F77</f>
        <v>1.8132430150160774E-2</v>
      </c>
      <c r="P79" s="6">
        <f>+P77-F77</f>
        <v>6305.4161105064559</v>
      </c>
    </row>
  </sheetData>
  <sortState ref="A4:F73">
    <sortCondition ref="A4"/>
  </sortState>
  <pageMargins left="0.25" right="0.25" top="0.75" bottom="0.75" header="0.3" footer="0.3"/>
  <pageSetup scale="5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2015-10-27T07:00:00+00:00</OpenedDate>
    <Date1 xmlns="dc463f71-b30c-4ab2-9473-d307f9d35888">2015-11-13T08:00:00+00:00</Date1>
    <IsDocumentOrder xmlns="dc463f71-b30c-4ab2-9473-d307f9d35888" xsi:nil="true"/>
    <IsHighlyConfidential xmlns="dc463f71-b30c-4ab2-9473-d307f9d35888">false</IsHighlyConfidential>
    <CaseCompanyNames xmlns="dc463f71-b30c-4ab2-9473-d307f9d35888">Torre Refuse &amp; Recycling LLC</CaseCompanyNames>
    <DocketNumber xmlns="dc463f71-b30c-4ab2-9473-d307f9d35888">152037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0A695E2ED824A45B63504A9F234C167" ma:contentTypeVersion="119" ma:contentTypeDescription="" ma:contentTypeScope="" ma:versionID="35ec29108ea5a394748552e6812710e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23454A-ADBB-4F0F-B19C-7118C69AD476}"/>
</file>

<file path=customXml/itemProps2.xml><?xml version="1.0" encoding="utf-8"?>
<ds:datastoreItem xmlns:ds="http://schemas.openxmlformats.org/officeDocument/2006/customXml" ds:itemID="{0A0057DE-98BA-4342-AF01-EFCE3BA6BAE0}"/>
</file>

<file path=customXml/itemProps3.xml><?xml version="1.0" encoding="utf-8"?>
<ds:datastoreItem xmlns:ds="http://schemas.openxmlformats.org/officeDocument/2006/customXml" ds:itemID="{A599C262-4254-4078-ABBE-D4EF434B5BD9}"/>
</file>

<file path=customXml/itemProps4.xml><?xml version="1.0" encoding="utf-8"?>
<ds:datastoreItem xmlns:ds="http://schemas.openxmlformats.org/officeDocument/2006/customXml" ds:itemID="{15934548-4AD7-4CFE-8FB5-4392C87833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Tonnage</vt:lpstr>
      <vt:lpstr>Priceout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Information Services</cp:lastModifiedBy>
  <cp:lastPrinted>2015-10-27T16:03:57Z</cp:lastPrinted>
  <dcterms:created xsi:type="dcterms:W3CDTF">2015-10-23T21:20:50Z</dcterms:created>
  <dcterms:modified xsi:type="dcterms:W3CDTF">2015-11-13T18:42:07Z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01734361CD07C3C85B968AA4B2781C480C131A4BF1DCCE0484255B1E26629C81B56DD959187AE8196261E1D5151D5140033A56BCA5F352EA310CEC1BA4B5D63E10CDEC28FAA1750BCAC94F4022A6DC8086462912813342D7D131884325C2CBA26EA5A7804D29CE670186F115C301351740B221BF6FA9BAB6D860401076B8A8D</vt:lpwstr>
  </property>
  <property fmtid="{D5CDD505-2E9C-101B-9397-08002B2CF9AE}" pid="3" name="Business Objects Context Information1">
    <vt:lpwstr>D7EBAC0A9233670033E0A5DE029F8FE244BDF8B4735F7DC1A6991990814A9B51AA6F9FD3CD6E4DC6CE722F4D24B379D0C1E4277ED654FA6677CC85C3CF7172399FB8A55102753CFF8F85D7F7BF2F7BC5A81ED7B4299AD862122361604012ECFDCE8F0039F2F45C68B435461C93B5C501966E203BA430B4715AFC67429F5DA65</vt:lpwstr>
  </property>
  <property fmtid="{D5CDD505-2E9C-101B-9397-08002B2CF9AE}" pid="4" name="Business Objects Context Information2">
    <vt:lpwstr>676ABC260F7B1658926A696275BEC3AFE8317D9DD9AB3BC459DE5038E8DCDB9F3E287C8B34DED593D6AA643F5AC6884AA4A7054695E5434CAFA8C112794DB01F13F32BE3B69235938CF64CF5B12DB136BAFFEEDD10184B589682B52480D7D8C2E79E6CB08A023B94D90F6CF0264DA19DF0B9242B9A7AD48B10665F835911700</vt:lpwstr>
  </property>
  <property fmtid="{D5CDD505-2E9C-101B-9397-08002B2CF9AE}" pid="5" name="Business Objects Context Information3">
    <vt:lpwstr>27413C9395EB0D86E6AA48FA6381A50A563F5937D1C184D971A6E2B3B5F63329E2C18B34585ED3299E55717354C0450D9768743EEA99EF3C1375B1116D9654D0A7612542753719ED317F3DEE4659CA8BBD373596D59344F2C67B0C799C152989E8D763AC47B419E99BFDD1232274C9927C70B27D8E5FE742A26972D9655B964</vt:lpwstr>
  </property>
  <property fmtid="{D5CDD505-2E9C-101B-9397-08002B2CF9AE}" pid="6" name="Business Objects Context Information4">
    <vt:lpwstr>2308CA3BD52F1B572504A1DB833280BEF8C72A6A6749608BA21817C5F844B900E4FF5569C343BA231F33F8D04BFF97CE460F73B53965BEBE81C6B29577AF3B8118DCFA10A33892450AF8A0E14467E5440FD3DA18F505B0FBD40754A0CC66384CA02A9CBDA643589AB636ED0868CEB68F6056FBBCB339AD16518CA3340228424</vt:lpwstr>
  </property>
  <property fmtid="{D5CDD505-2E9C-101B-9397-08002B2CF9AE}" pid="7" name="Business Objects Context Information5">
    <vt:lpwstr>F6BE2C1E89C6833A6E828C28745132D1FF1870DADC2D228E3B611C1B6F7B8198269056E2E28F9E0DA091BF4C09362B1CC2CEEB308D204D318A5A31290BB839AA9CE13C78E1ECF63170C10126E1663B13B0FAF957C51A5EA501660149E4628B2EC983A738A4B2EB2C0C47BD2C661C137B203F90EE5F3BBA14E4AE99F29318B8A</vt:lpwstr>
  </property>
  <property fmtid="{D5CDD505-2E9C-101B-9397-08002B2CF9AE}" pid="8" name="Business Objects Context Information6">
    <vt:lpwstr>83D6629D240B714BCDD5BB2D1A0AF1868685070E3C620B6C5228DA59DD0BAD64C5E615CF6B691EA8B6FD6FF3073360339A59FADD3A56269CB6FEE5A6C68201D069B99B7CE7D0CA835B7BDBAD61D70DD3762993B1</vt:lpwstr>
  </property>
  <property fmtid="{D5CDD505-2E9C-101B-9397-08002B2CF9AE}" pid="9" name="ContentTypeId">
    <vt:lpwstr>0x0101006E56B4D1795A2E4DB2F0B01679ED314A00D0A695E2ED824A45B63504A9F234C167</vt:lpwstr>
  </property>
  <property fmtid="{D5CDD505-2E9C-101B-9397-08002B2CF9AE}" pid="10" name="_docset_NoMedatataSyncRequired">
    <vt:lpwstr>False</vt:lpwstr>
  </property>
</Properties>
</file>