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68" windowWidth="15180" windowHeight="7860" firstSheet="1" activeTab="1"/>
  </bookViews>
  <sheets>
    <sheet name="WUTC_LYNNWOOD_SF" sheetId="1" state="hidden" r:id="rId1"/>
    <sheet name="WUTC_AW of Lynnwood_SF" sheetId="2" r:id="rId2"/>
    <sheet name="Value" sheetId="3" r:id="rId3"/>
    <sheet name="Commodity Tonnages" sheetId="4" r:id="rId4"/>
    <sheet name="Pricing" sheetId="5" r:id="rId5"/>
    <sheet name="Single Family" sheetId="6" r:id="rId6"/>
  </sheets>
  <externalReferences>
    <externalReference r:id="rId9"/>
    <externalReference r:id="rId10"/>
    <externalReference r:id="rId11"/>
    <externalReference r:id="rId12"/>
  </externalReferences>
  <definedNames>
    <definedName name="_xlfn.IFERROR" hidden="1">#NAME?</definedName>
    <definedName name="color">#REF!</definedName>
    <definedName name="_xlnm.Print_Area" localSheetId="4">'Pricing'!$A$1:$L$19</definedName>
    <definedName name="_xlnm.Print_Area" localSheetId="5">'Single Family'!$A$1:$O$105</definedName>
    <definedName name="_xlnm.Print_Area" localSheetId="1">'WUTC_AW of Lynnwood_SF'!$A$1:$P$72</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Vander Zalm, Connor</author>
  </authors>
  <commentList>
    <comment ref="F37"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3" authorId="0">
      <text>
        <r>
          <rPr>
            <b/>
            <sz val="8"/>
            <rFont val="Tahoma"/>
            <family val="2"/>
          </rPr>
          <t xml:space="preserve">Monthly Base Credit:
</t>
        </r>
        <r>
          <rPr>
            <sz val="8"/>
            <rFont val="Tahoma"/>
            <family val="2"/>
          </rPr>
          <t>This number will be the "12 month running average 'Base Credit'" from the first year of the review period. (eg if the review period covers Oct 2008 through Sept 2009 this number would be the base credit that was calculated for 2008)</t>
        </r>
        <r>
          <rPr>
            <sz val="8"/>
            <rFont val="Tahoma"/>
            <family val="2"/>
          </rPr>
          <t xml:space="preserve">
</t>
        </r>
      </text>
    </comment>
    <comment ref="B8"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6.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<sst xmlns="http://schemas.openxmlformats.org/spreadsheetml/2006/main" count="247" uniqueCount="112">
  <si>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</si>
  <si>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</si>
  <si>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</si>
  <si>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</si>
  <si>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</si>
  <si>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</si>
  <si>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</si>
  <si>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</si>
  <si>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</si>
  <si>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</si>
  <si>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</si>
  <si>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</si>
  <si>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</si>
  <si>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</si>
  <si>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</si>
  <si>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</si>
  <si>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</si>
  <si>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</si>
  <si>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</si>
  <si>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</si>
  <si>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</si>
  <si>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</si>
  <si>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</si>
  <si>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</si>
  <si>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</si>
  <si>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</si>
  <si>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</si>
  <si>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</si>
  <si>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</si>
  <si>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</si>
  <si>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</si>
  <si>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</si>
  <si>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</si>
  <si>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</si>
  <si>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</si>
  <si>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</si>
  <si>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</si>
  <si>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</si>
  <si>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</si>
  <si>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</si>
  <si>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</si>
  <si>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</si>
  <si>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</si>
  <si>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</si>
  <si>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</si>
  <si>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</si>
  <si>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</si>
  <si>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</si>
  <si>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</si>
  <si>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</si>
  <si>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</si>
  <si>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</si>
  <si>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</si>
  <si>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</si>
  <si>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</si>
  <si>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</si>
  <si>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</si>
  <si>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</si>
  <si>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</si>
  <si>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</si>
  <si>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</si>
  <si>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</si>
  <si>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</si>
  <si>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</si>
  <si>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</si>
  <si>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</si>
  <si>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</si>
  <si>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</si>
  <si>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</si>
  <si>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</si>
  <si>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</si>
  <si>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</si>
  <si>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</si>
  <si>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</si>
  <si>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</si>
  <si>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</si>
  <si>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</si>
  <si>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</si>
  <si>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</si>
  <si>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 xml:space="preserve">12 month running average "BASE CREDIT" </t>
  </si>
  <si>
    <t>2008/2009 Monthly True-up Charge</t>
  </si>
  <si>
    <t>70% of per Ton Value</t>
  </si>
  <si>
    <t>Rabanco Ltd (dba Allied Waste of Lynnwood)</t>
  </si>
  <si>
    <t>Total Additional Passback</t>
  </si>
  <si>
    <t>Single-Family Revenue</t>
  </si>
  <si>
    <t>Multi-Family Revenue</t>
  </si>
  <si>
    <t>Single-Family Additional Passback</t>
  </si>
  <si>
    <t>Single-Family Additional Credit</t>
  </si>
  <si>
    <t>TG-12______</t>
  </si>
  <si>
    <t>Total Trailing 12 Mo. Commodity Value / Customer</t>
  </si>
  <si>
    <t>For use in Budget Calculation</t>
  </si>
  <si>
    <t>Most recent Total # of Customers</t>
  </si>
  <si>
    <t>Base Credit to be Passed Back</t>
  </si>
  <si>
    <t>% of Revenue Passed Back</t>
  </si>
  <si>
    <t>Budget total Revenue</t>
  </si>
  <si>
    <t>Budget Revenue Passed Back</t>
  </si>
  <si>
    <t>Prior Plan B Total</t>
  </si>
  <si>
    <t>Plan A Total</t>
  </si>
  <si>
    <t>% Passed Back</t>
  </si>
  <si>
    <t>Lynnwood SF</t>
  </si>
  <si>
    <t>Retained</t>
  </si>
  <si>
    <t>Commodities</t>
  </si>
  <si>
    <t>Weigted Ave $/Tn</t>
  </si>
  <si>
    <t>Budget</t>
  </si>
  <si>
    <t>Variance - $ / ton</t>
  </si>
  <si>
    <t>Total Revenue Impact</t>
  </si>
  <si>
    <t>Average</t>
  </si>
  <si>
    <t xml:space="preserve">12 month </t>
  </si>
  <si>
    <t>average</t>
  </si>
  <si>
    <t>2014/2015 plan YTD ave tons/month</t>
  </si>
  <si>
    <t>2014/2015 plan year total tons</t>
  </si>
  <si>
    <t>2013/2014 plan year ave tons/month</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</si>
</sst>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 #,##0.000_);_(* \(#,##0.000\);_(* &quot;-&quot;??_);_(@_)"/>
    <numFmt numFmtId="168" formatCode="_(* #,##0.000_);_(* \(#,##0.000\);_(* &quot;-&quot;???_);_(@_)"/>
    <numFmt numFmtId="169" formatCode="0.000"/>
    <numFmt numFmtId="170" formatCode="mm/dd/yy"/>
    <numFmt numFmtId="171" formatCode="0.0"/>
    <numFmt numFmtId="172" formatCode="0.0000"/>
    <numFmt numFmtId="173" formatCode="0.00000"/>
    <numFmt numFmtId="174" formatCode="0.000000"/>
    <numFmt numFmtId="175" formatCode="0.0000000"/>
    <numFmt numFmtId="176" formatCode="0.00000000"/>
    <numFmt numFmtId="177" formatCode="General_)"/>
    <numFmt numFmtId="178" formatCode="#,##0.0000_);\(#,##0.0000\)"/>
    <numFmt numFmtId="179" formatCode="0_)"/>
    <numFmt numFmtId="180" formatCode="#,##0.000_);\(#,##0.000\)"/>
    <numFmt numFmtId="181" formatCode="0.0000%"/>
    <numFmt numFmtId="182" formatCode="#,##0.000000_);\(#,##0.000000\)"/>
    <numFmt numFmtId="183" formatCode="&quot;$&quot;#,##0.0_);\(&quot;$&quot;#,##0.0\)"/>
    <numFmt numFmtId="184" formatCode="#,##0.000_);[Red]\(#,##0.000\)"/>
    <numFmt numFmtId="185" formatCode="#,##0.0000_);[Red]\(#,##0.0000\)"/>
    <numFmt numFmtId="186" formatCode="&quot;$&quot;\ \ #,##0_);[Red]&quot;$&quot;\ \ \(#,##0\)"/>
    <numFmt numFmtId="187" formatCode="#,##0.0_);[Red]\(#,##0.0\)"/>
    <numFmt numFmtId="188" formatCode="mmmm\ dd\,\ yyyy"/>
    <numFmt numFmtId="189" formatCode="0.000000000"/>
    <numFmt numFmtId="190" formatCode="0.000%"/>
    <numFmt numFmtId="191" formatCode="#,##0.0_);\(#,##0.0\)"/>
    <numFmt numFmtId="192" formatCode="#,##0.00000_);\(#,##0.00000\)"/>
    <numFmt numFmtId="193" formatCode="_(* #,##0.0_);_(* \(#,##0.0\);_(* &quot;-&quot;_);_(@_)"/>
    <numFmt numFmtId="194" formatCode="_(* #,##0.00_);_(* \(#,##0.00\);_(* &quot;-&quot;_);_(@_)"/>
    <numFmt numFmtId="195" formatCode="_(* #,##0.000_);_(* \(#,##0.000\);_(* &quot;-&quot;_);_(@_)"/>
    <numFmt numFmtId="196" formatCode="_(* #,##0.0000_);_(* \(#,##0.0000\);_(* &quot;-&quot;_);_(@_)"/>
    <numFmt numFmtId="197" formatCode="mmmm"/>
    <numFmt numFmtId="198" formatCode="&quot;$&quot;#,##0.0_);[Red]\(&quot;$&quot;#,##0.0\)"/>
    <numFmt numFmtId="199" formatCode="#,##0.00000_);[Red]\(#,##0.00000\)"/>
    <numFmt numFmtId="200" formatCode="#,##0.000000_);[Red]\(#,##0.000000\)"/>
    <numFmt numFmtId="201" formatCode="&quot;$&quot;#,##0.0000_);[Red]\(&quot;$&quot;#,##0.0000\)"/>
    <numFmt numFmtId="202" formatCode="_(* #,##0.0000_);_(* \(#,##0.0000\);_(* &quot;-&quot;??_);_(@_)"/>
    <numFmt numFmtId="203" formatCode="#,##0.0"/>
    <numFmt numFmtId="204" formatCode="_(* #,##0.00000_);_(* \(#,##0.00000\);_(* &quot;-&quot;??_);_(@_)"/>
    <numFmt numFmtId="205" formatCode="yyyy"/>
    <numFmt numFmtId="206" formatCode="0.0_)"/>
    <numFmt numFmtId="207" formatCode="0.00_)"/>
    <numFmt numFmtId="208" formatCode="&quot;$&quot;\ #,##0.00_);[Red]\(&quot;$&quot;\ #,##0.00\)"/>
    <numFmt numFmtId="209" formatCode="#,##0.000"/>
    <numFmt numFmtId="210" formatCode="#,##0.0000"/>
    <numFmt numFmtId="211" formatCode="mmmm\ d\,\ yyyy"/>
    <numFmt numFmtId="212" formatCode="&quot;$&quot;\ \ #,##0.00_);[Red]\(&quot;$&quot;\ \ #,##0.00\)"/>
    <numFmt numFmtId="213" formatCode="_(* #,##0.000000_);_(* \(#,##0.000000\);_(* &quot;-&quot;??_);_(@_)"/>
    <numFmt numFmtId="214" formatCode="_(* #,##0.0000000_);_(* \(#,##0.0000000\);_(* &quot;-&quot;??_);_(@_)"/>
    <numFmt numFmtId="215" formatCode="_(* #,##0.00000000_);_(* \(#,##0.00000000\);_(* &quot;-&quot;??_);_(@_)"/>
    <numFmt numFmtId="216" formatCode="_(* #,##0.000000000_);_(* \(#,##0.000000000\);_(* &quot;-&quot;??_);_(@_)"/>
    <numFmt numFmtId="217" formatCode="mmmm\ yyyy"/>
    <numFmt numFmtId="218" formatCode="0.000E+00"/>
    <numFmt numFmtId="219" formatCode="#,##0.000000000_);\(#,##0.000000000\)"/>
    <numFmt numFmtId="220" formatCode="_(* #,##0.0_);_(* \(#,##0.0\);_(* &quot;-&quot;?_);_(@_)"/>
    <numFmt numFmtId="221" formatCode="_(&quot;$&quot;* #,##0.000_);_(&quot;$&quot;* \(#,##0.000\);_(&quot;$&quot;* &quot;-&quot;??_);_(@_)"/>
    <numFmt numFmtId="222" formatCode="_(&quot;$&quot;* #,##0.0_);_(&quot;$&quot;* \(#,##0.0\);_(&quot;$&quot;* &quot;-&quot;??_);_(@_)"/>
    <numFmt numFmtId="223" formatCode="_(&quot;$&quot;* #,##0_);_(&quot;$&quot;* \(#,##0\);_(&quot;$&quot;* &quot;-&quot;??_);_(@_)"/>
    <numFmt numFmtId="224" formatCode="mmm\-yyyy"/>
    <numFmt numFmtId="225" formatCode="mmmm\-yy"/>
    <numFmt numFmtId="226" formatCode="_(* #,##0.0000_);_(* \(#,##0.0000\);_(* &quot;-&quot;????_);_(@_)"/>
  </numFmts>
  <fonts count="5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5">
    <xf numFmtId="0" fontId="0" fillId="0" borderId="0" xfId="0" applyAlignment="1">
      <alignment/>
    </xf>
    <xf numFmtId="0" fontId="1" fillId="0" borderId="0" xfId="57" applyFont="1">
      <alignment/>
      <protection/>
    </xf>
    <xf numFmtId="0" fontId="7"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6" fillId="0" borderId="0" xfId="57">
      <alignment/>
      <protection/>
    </xf>
    <xf numFmtId="0" fontId="9" fillId="0" borderId="0" xfId="57" applyFont="1">
      <alignment/>
      <protection/>
    </xf>
    <xf numFmtId="14" fontId="7" fillId="0" borderId="0" xfId="57" applyNumberFormat="1"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9" fillId="0" borderId="0" xfId="57" applyFont="1" applyAlignment="1">
      <alignment horizontal="center"/>
      <protection/>
    </xf>
    <xf numFmtId="194" fontId="9" fillId="0" borderId="0" xfId="57" applyNumberFormat="1" applyFont="1" applyAlignment="1">
      <alignment horizontal="center"/>
      <protection/>
    </xf>
    <xf numFmtId="1" fontId="7" fillId="0" borderId="0" xfId="57" applyNumberFormat="1" applyFont="1">
      <alignment/>
      <protection/>
    </xf>
    <xf numFmtId="41" fontId="7" fillId="0" borderId="0" xfId="57" applyNumberFormat="1" applyFont="1">
      <alignment/>
      <protection/>
    </xf>
    <xf numFmtId="194" fontId="9" fillId="0" borderId="0" xfId="57" applyNumberFormat="1" applyFont="1">
      <alignment/>
      <protection/>
    </xf>
    <xf numFmtId="194" fontId="7" fillId="0" borderId="0" xfId="57" applyNumberFormat="1" applyFont="1">
      <alignment/>
      <protection/>
    </xf>
    <xf numFmtId="197" fontId="7" fillId="0" borderId="0" xfId="57" applyNumberFormat="1" applyFont="1" applyAlignment="1">
      <alignment horizontal="right"/>
      <protection/>
    </xf>
    <xf numFmtId="194" fontId="7" fillId="0" borderId="0" xfId="57" applyNumberFormat="1" applyFont="1" applyFill="1" applyAlignment="1">
      <alignment horizontal="center"/>
      <protection/>
    </xf>
    <xf numFmtId="41" fontId="12" fillId="0" borderId="0" xfId="57" applyNumberFormat="1" applyFont="1">
      <alignment/>
      <protection/>
    </xf>
    <xf numFmtId="41" fontId="13" fillId="0" borderId="0" xfId="57" applyNumberFormat="1" applyFont="1" applyAlignment="1">
      <alignment horizontal="left"/>
      <protection/>
    </xf>
    <xf numFmtId="41" fontId="7" fillId="0" borderId="10" xfId="57" applyNumberFormat="1" applyFont="1" applyBorder="1">
      <alignment/>
      <protection/>
    </xf>
    <xf numFmtId="194" fontId="7" fillId="0" borderId="10" xfId="57" applyNumberFormat="1" applyFont="1" applyBorder="1">
      <alignment/>
      <protection/>
    </xf>
    <xf numFmtId="195" fontId="7" fillId="0" borderId="0" xfId="57" applyNumberFormat="1" applyFont="1">
      <alignment/>
      <protection/>
    </xf>
    <xf numFmtId="17" fontId="7" fillId="0" borderId="0" xfId="57" applyNumberFormat="1" applyFont="1" applyAlignment="1">
      <alignment horizontal="right"/>
      <protection/>
    </xf>
    <xf numFmtId="194" fontId="6" fillId="0" borderId="0" xfId="57" applyNumberFormat="1">
      <alignment/>
      <protection/>
    </xf>
    <xf numFmtId="197" fontId="7" fillId="0" borderId="0" xfId="57" applyNumberFormat="1" applyFont="1">
      <alignment/>
      <protection/>
    </xf>
    <xf numFmtId="41" fontId="7" fillId="0" borderId="11" xfId="57" applyNumberFormat="1" applyFont="1" applyBorder="1">
      <alignment/>
      <protection/>
    </xf>
    <xf numFmtId="194" fontId="7" fillId="0" borderId="11" xfId="57" applyNumberFormat="1" applyFont="1" applyBorder="1">
      <alignment/>
      <protection/>
    </xf>
    <xf numFmtId="41" fontId="9" fillId="0" borderId="12" xfId="57" applyNumberFormat="1" applyFont="1" applyBorder="1">
      <alignment/>
      <protection/>
    </xf>
    <xf numFmtId="41" fontId="7" fillId="0" borderId="12" xfId="57" applyNumberFormat="1" applyFont="1" applyBorder="1">
      <alignment/>
      <protection/>
    </xf>
    <xf numFmtId="41" fontId="10" fillId="0" borderId="0" xfId="57" applyNumberFormat="1" applyFont="1">
      <alignment/>
      <protection/>
    </xf>
    <xf numFmtId="41" fontId="7" fillId="0" borderId="0" xfId="57" applyNumberFormat="1" applyFont="1" applyAlignment="1">
      <alignment horizontal="right"/>
      <protection/>
    </xf>
    <xf numFmtId="1" fontId="10" fillId="0" borderId="0" xfId="57" applyNumberFormat="1" applyFont="1">
      <alignment/>
      <protection/>
    </xf>
    <xf numFmtId="195" fontId="12" fillId="0" borderId="0" xfId="57" applyNumberFormat="1" applyFont="1">
      <alignment/>
      <protection/>
    </xf>
    <xf numFmtId="41" fontId="7" fillId="0" borderId="0" xfId="57" applyNumberFormat="1" applyFont="1" applyBorder="1">
      <alignment/>
      <protection/>
    </xf>
    <xf numFmtId="41" fontId="7" fillId="0" borderId="13" xfId="57" applyNumberFormat="1" applyFont="1" applyBorder="1">
      <alignment/>
      <protection/>
    </xf>
    <xf numFmtId="41" fontId="7" fillId="0" borderId="14" xfId="57" applyNumberFormat="1" applyFont="1" applyBorder="1">
      <alignment/>
      <protection/>
    </xf>
    <xf numFmtId="41" fontId="7" fillId="0" borderId="15" xfId="57" applyNumberFormat="1" applyFont="1" applyBorder="1">
      <alignment/>
      <protection/>
    </xf>
    <xf numFmtId="195" fontId="7" fillId="0" borderId="11" xfId="57" applyNumberFormat="1" applyFont="1" applyBorder="1">
      <alignment/>
      <protection/>
    </xf>
    <xf numFmtId="195" fontId="7" fillId="0" borderId="15" xfId="57" applyNumberFormat="1" applyFont="1" applyBorder="1">
      <alignment/>
      <protection/>
    </xf>
    <xf numFmtId="194" fontId="7" fillId="0" borderId="0" xfId="57" applyNumberFormat="1" applyFont="1" applyFill="1" applyBorder="1">
      <alignment/>
      <protection/>
    </xf>
    <xf numFmtId="194" fontId="14" fillId="0" borderId="0" xfId="57" applyNumberFormat="1" applyFont="1" applyFill="1" applyBorder="1" applyAlignment="1">
      <alignment horizontal="centerContinuous"/>
      <protection/>
    </xf>
    <xf numFmtId="194" fontId="7" fillId="0" borderId="0" xfId="57" applyNumberFormat="1" applyFont="1" applyFill="1" applyBorder="1" applyAlignment="1">
      <alignment horizontal="centerContinuous"/>
      <protection/>
    </xf>
    <xf numFmtId="194" fontId="7" fillId="0" borderId="0" xfId="57" applyNumberFormat="1" applyFont="1" applyAlignment="1">
      <alignment horizontal="centerContinuous"/>
      <protection/>
    </xf>
    <xf numFmtId="197" fontId="7" fillId="0" borderId="0" xfId="57" applyNumberFormat="1" applyFont="1" applyFill="1" applyBorder="1" applyAlignment="1">
      <alignment horizontal="right"/>
      <protection/>
    </xf>
    <xf numFmtId="41" fontId="12" fillId="0" borderId="0" xfId="57" applyNumberFormat="1" applyFont="1" applyFill="1" applyBorder="1" applyAlignment="1">
      <alignment horizontal="center"/>
      <protection/>
    </xf>
    <xf numFmtId="194" fontId="7" fillId="0" borderId="0" xfId="57" applyNumberFormat="1" applyFont="1" applyFill="1" applyBorder="1" applyAlignment="1">
      <alignment horizontal="center"/>
      <protection/>
    </xf>
    <xf numFmtId="41" fontId="13" fillId="0" borderId="0" xfId="57" applyNumberFormat="1" applyFont="1" applyFill="1" applyBorder="1" applyAlignment="1">
      <alignment horizontal="left"/>
      <protection/>
    </xf>
    <xf numFmtId="41" fontId="7" fillId="0" borderId="0" xfId="57" applyNumberFormat="1" applyFont="1" applyFill="1" applyBorder="1">
      <alignment/>
      <protection/>
    </xf>
    <xf numFmtId="41" fontId="12" fillId="0" borderId="0" xfId="57" applyNumberFormat="1" applyFont="1" applyFill="1" applyBorder="1">
      <alignment/>
      <protection/>
    </xf>
    <xf numFmtId="1" fontId="7" fillId="0" borderId="0" xfId="57" applyNumberFormat="1" applyFont="1" applyFill="1" applyBorder="1">
      <alignment/>
      <protection/>
    </xf>
    <xf numFmtId="0" fontId="6" fillId="0" borderId="0" xfId="57" applyFill="1" applyBorder="1">
      <alignment/>
      <protection/>
    </xf>
    <xf numFmtId="194" fontId="6" fillId="0" borderId="0" xfId="57" applyNumberFormat="1" applyFill="1" applyBorder="1">
      <alignment/>
      <protection/>
    </xf>
    <xf numFmtId="197" fontId="7" fillId="0" borderId="0" xfId="57" applyNumberFormat="1" applyFont="1" applyFill="1" applyBorder="1">
      <alignment/>
      <protection/>
    </xf>
    <xf numFmtId="195" fontId="7" fillId="0" borderId="0" xfId="57" applyNumberFormat="1" applyFont="1" applyFill="1" applyBorder="1">
      <alignment/>
      <protection/>
    </xf>
    <xf numFmtId="194" fontId="7" fillId="0" borderId="13" xfId="57" applyNumberFormat="1" applyFont="1" applyBorder="1">
      <alignment/>
      <protection/>
    </xf>
    <xf numFmtId="194" fontId="7" fillId="0" borderId="15" xfId="57" applyNumberFormat="1" applyFont="1" applyBorder="1">
      <alignment/>
      <protection/>
    </xf>
    <xf numFmtId="2" fontId="6" fillId="0" borderId="0" xfId="57"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20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225" fontId="7" fillId="0" borderId="0" xfId="57" applyNumberFormat="1" applyFont="1" applyAlignment="1">
      <alignment horizontal="right"/>
      <protection/>
    </xf>
    <xf numFmtId="197" fontId="7" fillId="0" borderId="0" xfId="57" applyNumberFormat="1" applyFont="1" applyAlignment="1">
      <alignment horizontal="right" wrapText="1"/>
      <protection/>
    </xf>
    <xf numFmtId="17" fontId="7" fillId="0" borderId="0" xfId="57" applyNumberFormat="1" applyFont="1" applyFill="1" applyBorder="1" applyAlignment="1">
      <alignment horizontal="right"/>
      <protection/>
    </xf>
    <xf numFmtId="197" fontId="7" fillId="0" borderId="0" xfId="57" applyNumberFormat="1" applyFont="1" applyFill="1" applyBorder="1" applyAlignment="1">
      <alignment horizontal="right" wrapText="1"/>
      <protection/>
    </xf>
    <xf numFmtId="164" fontId="0" fillId="0" borderId="0" xfId="42" applyNumberFormat="1" applyFont="1" applyAlignment="1">
      <alignment/>
    </xf>
    <xf numFmtId="210" fontId="0" fillId="0" borderId="0" xfId="0" applyNumberFormat="1" applyAlignment="1">
      <alignment/>
    </xf>
    <xf numFmtId="181" fontId="0" fillId="0" borderId="0" xfId="60"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0"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0" applyNumberFormat="1" applyFont="1" applyAlignment="1">
      <alignment/>
    </xf>
    <xf numFmtId="10" fontId="9" fillId="33" borderId="0" xfId="60" applyNumberFormat="1" applyFont="1" applyFill="1" applyAlignment="1">
      <alignment/>
    </xf>
    <xf numFmtId="9" fontId="7" fillId="0" borderId="0" xfId="60"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41" fontId="12" fillId="0" borderId="0" xfId="57" applyNumberFormat="1" applyFont="1" applyAlignment="1">
      <alignment horizontal="center"/>
      <protection/>
    </xf>
    <xf numFmtId="194" fontId="7" fillId="0" borderId="0" xfId="57" applyNumberFormat="1" applyFont="1" applyBorder="1">
      <alignment/>
      <protection/>
    </xf>
    <xf numFmtId="194" fontId="7" fillId="0" borderId="0" xfId="57" applyNumberFormat="1" applyFont="1" applyAlignment="1">
      <alignment horizontal="center"/>
      <protection/>
    </xf>
    <xf numFmtId="194" fontId="12" fillId="0" borderId="0" xfId="57" applyNumberFormat="1" applyFont="1" applyFill="1" applyAlignment="1">
      <alignment horizontal="center"/>
      <protection/>
    </xf>
    <xf numFmtId="197" fontId="7" fillId="0" borderId="0" xfId="57" applyNumberFormat="1" applyFont="1" applyBorder="1" applyAlignment="1">
      <alignment horizontal="right"/>
      <protection/>
    </xf>
    <xf numFmtId="41" fontId="12" fillId="0" borderId="0" xfId="57" applyNumberFormat="1" applyFont="1" applyBorder="1" applyAlignment="1">
      <alignment horizontal="center"/>
      <protection/>
    </xf>
    <xf numFmtId="194" fontId="7" fillId="0" borderId="0" xfId="57" applyNumberFormat="1" applyFont="1" applyBorder="1" applyAlignment="1">
      <alignment horizontal="center"/>
      <protection/>
    </xf>
    <xf numFmtId="41" fontId="12" fillId="0" borderId="0" xfId="57" applyNumberFormat="1" applyFont="1" applyBorder="1">
      <alignment/>
      <protection/>
    </xf>
    <xf numFmtId="41" fontId="13" fillId="0" borderId="0" xfId="57" applyNumberFormat="1" applyFont="1" applyBorder="1" applyAlignment="1">
      <alignment horizontal="left"/>
      <protection/>
    </xf>
    <xf numFmtId="1" fontId="7" fillId="0" borderId="0" xfId="57" applyNumberFormat="1" applyFont="1" applyBorder="1">
      <alignment/>
      <protection/>
    </xf>
    <xf numFmtId="0" fontId="6" fillId="0" borderId="0" xfId="57" applyBorder="1">
      <alignment/>
      <protection/>
    </xf>
    <xf numFmtId="194" fontId="6" fillId="0" borderId="0" xfId="57" applyNumberFormat="1" applyBorder="1">
      <alignment/>
      <protection/>
    </xf>
    <xf numFmtId="197" fontId="7" fillId="0" borderId="0" xfId="57" applyNumberFormat="1" applyFont="1" applyBorder="1">
      <alignment/>
      <protection/>
    </xf>
    <xf numFmtId="195" fontId="7" fillId="0" borderId="0" xfId="57" applyNumberFormat="1" applyFont="1" applyBorder="1">
      <alignment/>
      <protection/>
    </xf>
    <xf numFmtId="10" fontId="7" fillId="34" borderId="0" xfId="0" applyNumberFormat="1" applyFont="1" applyFill="1" applyAlignment="1">
      <alignment/>
    </xf>
    <xf numFmtId="10" fontId="7" fillId="34" borderId="0" xfId="60" applyNumberFormat="1" applyFont="1" applyFill="1" applyAlignment="1">
      <alignment/>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44" fontId="7" fillId="34" borderId="16" xfId="44" applyFont="1" applyFill="1" applyBorder="1" applyAlignment="1">
      <alignment/>
    </xf>
    <xf numFmtId="197" fontId="7" fillId="0" borderId="0" xfId="57"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9" fontId="0" fillId="0" borderId="0" xfId="60"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94" fontId="7" fillId="0" borderId="0" xfId="57" applyNumberFormat="1" applyFont="1" applyAlignment="1">
      <alignment horizontal="right"/>
      <protection/>
    </xf>
    <xf numFmtId="223" fontId="7" fillId="0" borderId="0" xfId="44" applyNumberFormat="1" applyFont="1" applyAlignment="1">
      <alignment/>
    </xf>
    <xf numFmtId="165" fontId="1" fillId="0" borderId="0" xfId="60" applyNumberFormat="1" applyFont="1" applyAlignment="1">
      <alignment/>
    </xf>
    <xf numFmtId="0" fontId="17" fillId="0" borderId="17" xfId="57" applyFont="1" applyBorder="1" applyAlignment="1">
      <alignment horizontal="center"/>
      <protection/>
    </xf>
    <xf numFmtId="194" fontId="17" fillId="0" borderId="18" xfId="57" applyNumberFormat="1" applyFont="1" applyBorder="1" applyAlignment="1">
      <alignment horizontal="center"/>
      <protection/>
    </xf>
    <xf numFmtId="194" fontId="18" fillId="0" borderId="18" xfId="57" applyNumberFormat="1" applyFont="1" applyFill="1" applyBorder="1" applyAlignment="1">
      <alignment horizontal="center"/>
      <protection/>
    </xf>
    <xf numFmtId="41" fontId="13" fillId="0" borderId="18" xfId="57" applyNumberFormat="1" applyFont="1" applyBorder="1">
      <alignment/>
      <protection/>
    </xf>
    <xf numFmtId="194" fontId="9" fillId="0" borderId="0" xfId="57" applyNumberFormat="1" applyFont="1" applyBorder="1">
      <alignment/>
      <protection/>
    </xf>
    <xf numFmtId="0" fontId="7" fillId="0" borderId="0" xfId="57" applyFont="1" applyBorder="1">
      <alignment/>
      <protection/>
    </xf>
    <xf numFmtId="195" fontId="9" fillId="0" borderId="18" xfId="57" applyNumberFormat="1" applyFont="1" applyBorder="1">
      <alignment/>
      <protection/>
    </xf>
    <xf numFmtId="194" fontId="7" fillId="35" borderId="0" xfId="57" applyNumberFormat="1" applyFont="1" applyFill="1">
      <alignment/>
      <protection/>
    </xf>
    <xf numFmtId="194" fontId="7" fillId="35" borderId="15" xfId="57" applyNumberFormat="1" applyFont="1" applyFill="1" applyBorder="1">
      <alignment/>
      <protection/>
    </xf>
    <xf numFmtId="165" fontId="7" fillId="0" borderId="0" xfId="60" applyNumberFormat="1" applyFont="1" applyAlignment="1">
      <alignment/>
    </xf>
    <xf numFmtId="165" fontId="7" fillId="35" borderId="16" xfId="60" applyNumberFormat="1" applyFont="1" applyFill="1" applyBorder="1" applyAlignment="1">
      <alignment/>
    </xf>
    <xf numFmtId="195" fontId="7" fillId="36" borderId="11" xfId="57" applyNumberFormat="1" applyFont="1" applyFill="1" applyBorder="1">
      <alignment/>
      <protection/>
    </xf>
    <xf numFmtId="223" fontId="7" fillId="32" borderId="7" xfId="58" applyNumberFormat="1" applyFont="1" applyAlignment="1">
      <alignment/>
    </xf>
    <xf numFmtId="0" fontId="9" fillId="0" borderId="0" xfId="0" applyFont="1" applyAlignment="1">
      <alignment/>
    </xf>
    <xf numFmtId="17" fontId="1" fillId="0" borderId="0" xfId="0" applyNumberFormat="1" applyFont="1" applyAlignment="1">
      <alignment horizontal="right"/>
    </xf>
    <xf numFmtId="165" fontId="0" fillId="0" borderId="0" xfId="60" applyNumberFormat="1" applyAlignment="1">
      <alignment horizontal="center"/>
    </xf>
    <xf numFmtId="4" fontId="7" fillId="32" borderId="7" xfId="58" applyNumberFormat="1" applyFont="1" applyAlignment="1">
      <alignment/>
    </xf>
    <xf numFmtId="44" fontId="7" fillId="0" borderId="16" xfId="44" applyFont="1" applyBorder="1" applyAlignment="1">
      <alignment/>
    </xf>
    <xf numFmtId="44" fontId="7" fillId="0" borderId="19" xfId="44" applyFont="1" applyBorder="1" applyAlignment="1">
      <alignment/>
    </xf>
    <xf numFmtId="44" fontId="7" fillId="37" borderId="16" xfId="44" applyFont="1" applyFill="1" applyBorder="1" applyAlignment="1">
      <alignment/>
    </xf>
    <xf numFmtId="44" fontId="7" fillId="37" borderId="19" xfId="44" applyFont="1" applyFill="1" applyBorder="1" applyAlignment="1">
      <alignment/>
    </xf>
    <xf numFmtId="17" fontId="7" fillId="0" borderId="0" xfId="0" applyNumberFormat="1" applyFont="1" applyAlignment="1">
      <alignment horizontal="center"/>
    </xf>
    <xf numFmtId="0" fontId="13" fillId="0" borderId="0" xfId="0" applyFont="1" applyAlignment="1">
      <alignment/>
    </xf>
    <xf numFmtId="164" fontId="13" fillId="0" borderId="0" xfId="42" applyNumberFormat="1" applyFont="1" applyAlignment="1">
      <alignment/>
    </xf>
    <xf numFmtId="7" fontId="0" fillId="0" borderId="0" xfId="0" applyNumberFormat="1" applyFill="1" applyBorder="1" applyAlignment="1">
      <alignment/>
    </xf>
    <xf numFmtId="44" fontId="21" fillId="0" borderId="0" xfId="0" applyNumberFormat="1" applyFont="1" applyFill="1" applyBorder="1" applyAlignment="1">
      <alignment/>
    </xf>
    <xf numFmtId="7" fontId="0" fillId="0" borderId="0" xfId="0" applyNumberFormat="1" applyFont="1" applyFill="1" applyBorder="1" applyAlignment="1">
      <alignment horizontal="center"/>
    </xf>
    <xf numFmtId="44" fontId="7" fillId="34" borderId="16" xfId="44" applyFont="1" applyFill="1" applyBorder="1" applyAlignment="1">
      <alignment horizontal="center"/>
    </xf>
    <xf numFmtId="164" fontId="7" fillId="0" borderId="0" xfId="42" applyNumberFormat="1" applyFont="1" applyFill="1" applyAlignment="1">
      <alignment/>
    </xf>
    <xf numFmtId="41" fontId="7" fillId="36" borderId="20" xfId="57" applyNumberFormat="1" applyFont="1"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8REC_C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27</xdr:row>
      <xdr:rowOff>133350</xdr:rowOff>
    </xdr:from>
    <xdr:to>
      <xdr:col>15</xdr:col>
      <xdr:colOff>19050</xdr:colOff>
      <xdr:row>54</xdr:row>
      <xdr:rowOff>114300</xdr:rowOff>
    </xdr:to>
    <xdr:sp>
      <xdr:nvSpPr>
        <xdr:cNvPr id="1" name="Straight Arrow Connector 12"/>
        <xdr:cNvSpPr>
          <a:spLocks/>
        </xdr:cNvSpPr>
      </xdr:nvSpPr>
      <xdr:spPr>
        <a:xfrm flipH="1">
          <a:off x="4495800" y="4124325"/>
          <a:ext cx="5000625" cy="3857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83</xdr:row>
      <xdr:rowOff>0</xdr:rowOff>
    </xdr:from>
    <xdr:to>
      <xdr:col>19</xdr:col>
      <xdr:colOff>609600</xdr:colOff>
      <xdr:row>84</xdr:row>
      <xdr:rowOff>114300</xdr:rowOff>
    </xdr:to>
    <xdr:sp>
      <xdr:nvSpPr>
        <xdr:cNvPr id="1" name="Double Bracket 1"/>
        <xdr:cNvSpPr>
          <a:spLocks/>
        </xdr:cNvSpPr>
      </xdr:nvSpPr>
      <xdr:spPr>
        <a:xfrm>
          <a:off x="11963400" y="11944350"/>
          <a:ext cx="23241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SA\2013-14%20Plan%20Year\WUTC%20Filing%20Working%20Documents\Lynnwood%20Single%20Family%20Commodity%20Credit%20Template%20-%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hrisab\AppData\Local\Microsoft\Windows\Temporary%20Internet%20Files\Content.Outlook\5QUKZ49W\2015.04%20_%204197%20Lynnwood%20Recycle%20Credits%20#2.xlsb"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istrict\Accounting\WUTC%20Files\RSA\2015-2017%20Plan%20Year\2014-2015%20Additional%20passback%20to%20customer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LYNNWOOD_SF"/>
      <sheetName val="WUTC_AW of Lynnwood_SF"/>
      <sheetName val="Value"/>
      <sheetName val="Commodity Tonnages"/>
      <sheetName val="Pricing"/>
      <sheetName val="Single Family"/>
    </sheetNames>
    <sheetDataSet>
      <sheetData sheetId="5">
        <row r="69">
          <cell r="N69">
            <v>73.71</v>
          </cell>
        </row>
        <row r="70">
          <cell r="N70">
            <v>98.651</v>
          </cell>
        </row>
        <row r="71">
          <cell r="N71">
            <v>0</v>
          </cell>
        </row>
        <row r="72">
          <cell r="N72">
            <v>81.676</v>
          </cell>
        </row>
        <row r="73">
          <cell r="N73">
            <v>177.28199999999998</v>
          </cell>
        </row>
        <row r="74">
          <cell r="N74">
            <v>1092</v>
          </cell>
        </row>
        <row r="75">
          <cell r="N75">
            <v>0</v>
          </cell>
        </row>
        <row r="76">
          <cell r="N76">
            <v>-17.75</v>
          </cell>
        </row>
        <row r="77">
          <cell r="N77">
            <v>-120.17</v>
          </cell>
        </row>
        <row r="78">
          <cell r="N78">
            <v>-120.17</v>
          </cell>
        </row>
        <row r="79">
          <cell r="N79">
            <v>69.23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lookup"/>
      <sheetName val="Start"/>
      <sheetName val="JournalEntry"/>
      <sheetName val="JE"/>
      <sheetName val="218070 Deferred Revenue"/>
      <sheetName val="Accrual"/>
      <sheetName val="Summary"/>
      <sheetName val="RSA Spend"/>
      <sheetName val="Lynnwood SF Recycle Credits"/>
      <sheetName val="Lynnwood MF Recycle Credits"/>
      <sheetName val="2014 SF Annual"/>
      <sheetName val="2014 MF Annual"/>
      <sheetName val="2013 SF Annual Report"/>
      <sheetName val="2013 MF Annual Report"/>
      <sheetName val="Notes to WP Package"/>
      <sheetName val="T Account Example"/>
    </sheetNames>
    <sheetDataSet>
      <sheetData sheetId="8">
        <row r="29">
          <cell r="L29">
            <v>15720.6541</v>
          </cell>
        </row>
        <row r="30">
          <cell r="L30">
            <v>15653.644199999999</v>
          </cell>
        </row>
        <row r="31">
          <cell r="L31">
            <v>17588.489849999998</v>
          </cell>
        </row>
        <row r="32">
          <cell r="L32">
            <v>15757.51365</v>
          </cell>
        </row>
        <row r="33">
          <cell r="L33">
            <v>16436.975000000002</v>
          </cell>
        </row>
        <row r="34">
          <cell r="L34">
            <v>15672.796750000001</v>
          </cell>
        </row>
        <row r="35">
          <cell r="L35">
            <v>12937.309949999999</v>
          </cell>
        </row>
        <row r="36">
          <cell r="L36">
            <v>16554.79475</v>
          </cell>
        </row>
        <row r="37">
          <cell r="L37">
            <v>15339</v>
          </cell>
        </row>
        <row r="38">
          <cell r="L38">
            <v>10679.611190815494</v>
          </cell>
        </row>
        <row r="39">
          <cell r="L39">
            <v>12030.4877</v>
          </cell>
        </row>
        <row r="40">
          <cell r="L40">
            <v>12255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4-2015"/>
      <sheetName val="2013-2014"/>
      <sheetName val="Sheet3"/>
    </sheetNames>
    <sheetDataSet>
      <sheetData sheetId="0">
        <row r="14">
          <cell r="C14">
            <v>0</v>
          </cell>
        </row>
        <row r="17">
          <cell r="C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37</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38</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39</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40</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0.5" thickTop="1">
      <c r="B42" s="14"/>
      <c r="C42" s="14"/>
      <c r="D42" s="14"/>
      <c r="E42" s="14"/>
      <c r="F42" s="14"/>
      <c r="G42" s="14"/>
      <c r="H42" s="14"/>
      <c r="I42" s="14"/>
      <c r="J42" s="14"/>
      <c r="K42" s="14"/>
    </row>
    <row r="43" spans="2:11" s="16" customFormat="1" ht="9.75">
      <c r="B43" s="14"/>
      <c r="C43" s="14"/>
      <c r="D43" s="14"/>
      <c r="E43" s="14"/>
      <c r="F43" s="14"/>
      <c r="G43" s="14"/>
      <c r="H43" s="14"/>
      <c r="I43" s="14"/>
      <c r="J43" s="14"/>
      <c r="K43" s="14"/>
    </row>
    <row r="44" spans="2:11" s="16" customFormat="1" ht="10.5" thickBot="1">
      <c r="B44" s="14"/>
      <c r="C44" s="14"/>
      <c r="D44" s="14"/>
      <c r="E44" s="14"/>
      <c r="F44" s="32" t="s">
        <v>18</v>
      </c>
      <c r="G44" s="38">
        <f>+G31-G41</f>
        <v>108069</v>
      </c>
      <c r="H44" s="14"/>
      <c r="I44" s="14"/>
      <c r="J44" s="14"/>
      <c r="K44" s="14"/>
    </row>
    <row r="45" spans="2:25" s="16" customFormat="1" ht="10.5" thickTop="1">
      <c r="B45" s="14"/>
      <c r="C45" s="14"/>
      <c r="D45" s="14"/>
      <c r="E45" s="14"/>
      <c r="F45" s="14"/>
      <c r="G45" s="14"/>
      <c r="H45" s="14"/>
      <c r="I45" s="14"/>
      <c r="J45" s="14"/>
      <c r="K45" s="14"/>
      <c r="Y45" s="14"/>
    </row>
    <row r="46" spans="2:11" s="16" customFormat="1" ht="9.75">
      <c r="B46" s="14"/>
      <c r="C46" s="14"/>
      <c r="D46" s="14"/>
      <c r="E46" s="14"/>
      <c r="F46" s="14"/>
      <c r="G46" s="14"/>
      <c r="H46" s="14"/>
      <c r="I46" s="14"/>
      <c r="J46" s="14"/>
      <c r="K46" s="14"/>
    </row>
    <row r="47" spans="2:11" s="16" customFormat="1" ht="10.5" thickBot="1">
      <c r="B47" s="29" t="s">
        <v>41</v>
      </c>
      <c r="C47" s="30"/>
      <c r="D47" s="30"/>
      <c r="E47" s="30"/>
      <c r="F47" s="30"/>
      <c r="G47" s="14"/>
      <c r="H47" s="14"/>
      <c r="I47" s="14"/>
      <c r="J47" s="14"/>
      <c r="K47" s="14"/>
    </row>
    <row r="48" spans="2:27" s="16" customFormat="1" ht="10.5"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9.75">
      <c r="B49" s="14" t="s">
        <v>19</v>
      </c>
      <c r="C49" s="14"/>
      <c r="D49" s="14"/>
      <c r="E49" s="14"/>
      <c r="F49" s="14"/>
      <c r="G49" s="14"/>
      <c r="H49" s="14"/>
      <c r="I49" s="14"/>
      <c r="J49" s="14"/>
      <c r="K49" s="14"/>
    </row>
    <row r="50" spans="2:11" s="16" customFormat="1" ht="9.75">
      <c r="B50" s="14"/>
      <c r="C50" s="14"/>
      <c r="D50" s="14"/>
      <c r="E50" s="14"/>
      <c r="F50" s="32" t="s">
        <v>20</v>
      </c>
      <c r="G50" s="14">
        <f>+J26</f>
        <v>200360</v>
      </c>
      <c r="H50" s="20" t="s">
        <v>12</v>
      </c>
      <c r="I50" s="14"/>
      <c r="J50" s="14"/>
      <c r="K50" s="14"/>
    </row>
    <row r="51" spans="2:11" s="16" customFormat="1" ht="9.75">
      <c r="B51" s="14"/>
      <c r="C51" s="14"/>
      <c r="D51" s="14"/>
      <c r="E51" s="14"/>
      <c r="F51" s="32" t="s">
        <v>18</v>
      </c>
      <c r="G51" s="14">
        <f>+G44</f>
        <v>108069</v>
      </c>
      <c r="H51" s="14"/>
      <c r="I51" s="14"/>
      <c r="J51" s="14"/>
      <c r="K51" s="14"/>
    </row>
    <row r="52" spans="2:11" s="16" customFormat="1" ht="9.75">
      <c r="B52" s="14"/>
      <c r="C52" s="14"/>
      <c r="D52" s="14"/>
      <c r="E52" s="14"/>
      <c r="F52" s="32"/>
      <c r="G52" s="14"/>
      <c r="H52" s="14"/>
      <c r="I52" s="14"/>
      <c r="J52" s="14"/>
      <c r="K52" s="14"/>
    </row>
    <row r="53" spans="2:11" s="16" customFormat="1" ht="10.5" thickBot="1">
      <c r="B53" s="14"/>
      <c r="C53" s="14"/>
      <c r="D53" s="14"/>
      <c r="E53" s="14"/>
      <c r="F53" s="32" t="s">
        <v>42</v>
      </c>
      <c r="G53" s="39">
        <f>ROUND(G51/G50,3)</f>
        <v>0.539</v>
      </c>
      <c r="H53" s="14"/>
      <c r="I53" s="23">
        <f>+G53</f>
        <v>0.539</v>
      </c>
      <c r="J53" s="14"/>
      <c r="K53" s="14"/>
    </row>
    <row r="54" spans="2:25" s="16" customFormat="1" ht="10.5" thickTop="1">
      <c r="B54" s="14"/>
      <c r="C54" s="14"/>
      <c r="D54" s="14"/>
      <c r="E54" s="14"/>
      <c r="F54" s="32"/>
      <c r="G54" s="14"/>
      <c r="H54" s="14"/>
      <c r="I54" s="23"/>
      <c r="J54" s="14"/>
      <c r="K54" s="14"/>
      <c r="Y54" s="14"/>
    </row>
    <row r="55" spans="2:11" s="16" customFormat="1" ht="9.75">
      <c r="B55" s="14" t="s">
        <v>44</v>
      </c>
      <c r="C55" s="14"/>
      <c r="D55" s="14"/>
      <c r="E55" s="14"/>
      <c r="F55" s="32"/>
      <c r="G55" s="14"/>
      <c r="H55" s="14"/>
      <c r="I55" s="23"/>
      <c r="J55" s="14"/>
      <c r="K55" s="14"/>
    </row>
    <row r="56" spans="2:11" s="16" customFormat="1" ht="10.5" thickBot="1">
      <c r="B56" s="31"/>
      <c r="C56" s="14"/>
      <c r="D56" s="14"/>
      <c r="E56" s="14"/>
      <c r="F56" s="32" t="s">
        <v>43</v>
      </c>
      <c r="G56" s="40">
        <f>+F26</f>
        <v>2.313</v>
      </c>
      <c r="H56" s="14"/>
      <c r="I56" s="23">
        <f>+G56</f>
        <v>2.313</v>
      </c>
      <c r="J56" s="20" t="s">
        <v>11</v>
      </c>
      <c r="K56" s="14"/>
    </row>
    <row r="57" spans="2:25" s="14" customFormat="1" ht="10.5" thickTop="1">
      <c r="B57" s="31"/>
      <c r="I57" s="23"/>
      <c r="X57" s="16"/>
      <c r="Y57" s="16"/>
    </row>
    <row r="58" spans="2:11" s="16" customFormat="1" ht="10.5" thickBot="1">
      <c r="B58" s="14"/>
      <c r="C58" s="14"/>
      <c r="D58" s="14"/>
      <c r="E58" s="14"/>
      <c r="F58" s="14"/>
      <c r="G58" s="32" t="s">
        <v>45</v>
      </c>
      <c r="H58" s="27"/>
      <c r="I58" s="39">
        <f>+I53+I56</f>
        <v>2.8520000000000003</v>
      </c>
      <c r="J58" s="14"/>
      <c r="K58" s="14"/>
    </row>
    <row r="59" s="16" customFormat="1" ht="10.5" thickTop="1">
      <c r="I59" s="23"/>
    </row>
    <row r="60" s="16" customFormat="1" ht="9.75"/>
    <row r="61" s="16" customFormat="1" ht="9.75"/>
    <row r="62" spans="1:6" s="16" customFormat="1" ht="9.75">
      <c r="A62" s="41"/>
      <c r="B62" s="41"/>
      <c r="C62" s="41"/>
      <c r="D62" s="41"/>
      <c r="E62" s="41"/>
      <c r="F62" s="41"/>
    </row>
    <row r="63" spans="1:25" s="16" customFormat="1" ht="17.25">
      <c r="A63" s="42"/>
      <c r="B63" s="43"/>
      <c r="C63" s="43"/>
      <c r="D63" s="43"/>
      <c r="E63" s="42"/>
      <c r="F63" s="43"/>
      <c r="G63" s="44"/>
      <c r="H63" s="44"/>
      <c r="I63" s="44"/>
      <c r="J63" s="44"/>
      <c r="K63" s="44"/>
      <c r="Y63" s="14"/>
    </row>
    <row r="64" spans="1:6" s="16" customFormat="1" ht="9.75">
      <c r="A64" s="78"/>
      <c r="B64" s="46"/>
      <c r="C64" s="48"/>
      <c r="D64" s="47"/>
      <c r="E64" s="41"/>
      <c r="F64" s="41"/>
    </row>
    <row r="65" spans="1:6" s="16" customFormat="1" ht="9.75">
      <c r="A65" s="78"/>
      <c r="B65" s="46"/>
      <c r="C65" s="49"/>
      <c r="D65" s="47"/>
      <c r="E65" s="41"/>
      <c r="F65" s="41"/>
    </row>
    <row r="66" spans="1:25" s="14" customFormat="1" ht="9.75">
      <c r="A66" s="78"/>
      <c r="B66" s="49"/>
      <c r="C66" s="49"/>
      <c r="D66" s="41"/>
      <c r="E66" s="49"/>
      <c r="F66" s="41"/>
      <c r="X66" s="16"/>
      <c r="Y66" s="16"/>
    </row>
    <row r="67" spans="1:6" s="16" customFormat="1" ht="9.75">
      <c r="A67" s="78"/>
      <c r="B67" s="49"/>
      <c r="C67" s="48"/>
      <c r="D67" s="41"/>
      <c r="E67" s="41"/>
      <c r="F67" s="41"/>
    </row>
    <row r="68" spans="1:6" s="16" customFormat="1" ht="9.75">
      <c r="A68" s="78"/>
      <c r="B68" s="49"/>
      <c r="C68" s="49"/>
      <c r="D68" s="41"/>
      <c r="E68" s="41"/>
      <c r="F68" s="41"/>
    </row>
    <row r="69" spans="1:6" s="16" customFormat="1" ht="9.75">
      <c r="A69" s="78"/>
      <c r="B69" s="50"/>
      <c r="C69" s="49"/>
      <c r="D69" s="41"/>
      <c r="E69" s="41"/>
      <c r="F69" s="41"/>
    </row>
    <row r="70" spans="1:6" s="16" customFormat="1" ht="9.75">
      <c r="A70" s="78"/>
      <c r="B70" s="50"/>
      <c r="C70" s="49"/>
      <c r="D70" s="41"/>
      <c r="E70" s="41"/>
      <c r="F70" s="41"/>
    </row>
    <row r="71" spans="1:6" s="16" customFormat="1" ht="9.75">
      <c r="A71" s="78"/>
      <c r="B71" s="50"/>
      <c r="C71" s="49"/>
      <c r="D71" s="41"/>
      <c r="E71" s="41"/>
      <c r="F71" s="41"/>
    </row>
    <row r="72" spans="1:6" s="16" customFormat="1" ht="9.75">
      <c r="A72" s="78"/>
      <c r="B72" s="50"/>
      <c r="C72" s="49"/>
      <c r="D72" s="41"/>
      <c r="E72" s="41"/>
      <c r="F72" s="41"/>
    </row>
    <row r="73" spans="1:25" s="16" customFormat="1" ht="9.75">
      <c r="A73" s="78"/>
      <c r="B73" s="50"/>
      <c r="C73" s="49"/>
      <c r="D73" s="41"/>
      <c r="E73" s="41"/>
      <c r="F73" s="41"/>
      <c r="Y73" s="14"/>
    </row>
    <row r="74" spans="1:6" s="16" customFormat="1" ht="9.75">
      <c r="A74" s="78"/>
      <c r="B74" s="50"/>
      <c r="C74" s="49"/>
      <c r="D74" s="41"/>
      <c r="E74" s="41"/>
      <c r="F74" s="41"/>
    </row>
    <row r="75" spans="1:6" s="16" customFormat="1" ht="9.75">
      <c r="A75" s="78"/>
      <c r="B75" s="50"/>
      <c r="C75" s="49"/>
      <c r="D75" s="41"/>
      <c r="E75" s="41"/>
      <c r="F75" s="41"/>
    </row>
    <row r="76" spans="1:6" s="16" customFormat="1" ht="9.75">
      <c r="A76" s="78"/>
      <c r="B76" s="50"/>
      <c r="C76" s="49"/>
      <c r="D76" s="41"/>
      <c r="E76" s="41"/>
      <c r="F76" s="41"/>
    </row>
    <row r="77" spans="1:27" s="16" customFormat="1" ht="9.7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9.75">
      <c r="A78" s="78"/>
      <c r="B78" s="50"/>
      <c r="C78" s="49"/>
      <c r="D78" s="41"/>
      <c r="E78" s="41"/>
      <c r="F78" s="41"/>
    </row>
    <row r="79" spans="1:6" s="16" customFormat="1" ht="9.75">
      <c r="A79" s="45"/>
      <c r="B79" s="49"/>
      <c r="C79" s="49"/>
      <c r="D79" s="41"/>
      <c r="E79" s="41"/>
      <c r="F79" s="41"/>
    </row>
    <row r="80" spans="1:6" s="16" customFormat="1" ht="9.75">
      <c r="A80" s="79"/>
      <c r="B80" s="49"/>
      <c r="C80" s="48"/>
      <c r="D80" s="41"/>
      <c r="E80" s="41"/>
      <c r="F80" s="41"/>
    </row>
    <row r="81" spans="1:6" s="16" customFormat="1" ht="12">
      <c r="A81" s="52"/>
      <c r="B81" s="52"/>
      <c r="C81" s="52"/>
      <c r="D81" s="53"/>
      <c r="E81" s="41"/>
      <c r="F81" s="52"/>
    </row>
    <row r="82" spans="1:25" s="16" customFormat="1" ht="9.75">
      <c r="A82" s="54"/>
      <c r="B82" s="49"/>
      <c r="C82" s="48"/>
      <c r="D82" s="41"/>
      <c r="E82" s="41"/>
      <c r="F82" s="55"/>
      <c r="Y82" s="14"/>
    </row>
    <row r="83" s="16" customFormat="1" ht="9.75"/>
    <row r="84" s="16" customFormat="1" ht="9.75"/>
    <row r="85" s="16" customFormat="1" ht="9.75"/>
    <row r="86" s="16" customFormat="1" ht="9.75">
      <c r="B86" s="8"/>
    </row>
    <row r="87" spans="2:25" s="14" customFormat="1" ht="9.75">
      <c r="B87" s="31"/>
      <c r="X87" s="16"/>
      <c r="Y87" s="16"/>
    </row>
    <row r="88" s="16" customFormat="1" ht="9.75"/>
    <row r="89" s="16" customFormat="1" ht="9.75"/>
    <row r="90" s="16" customFormat="1" ht="9.75"/>
    <row r="91" s="16" customFormat="1" ht="9.75"/>
    <row r="92" s="16" customFormat="1" ht="9.75"/>
    <row r="93" s="16" customFormat="1" ht="9.75"/>
    <row r="94" s="16" customFormat="1" ht="9.75"/>
    <row r="95" s="16" customFormat="1" ht="9.75"/>
    <row r="96" s="16" customFormat="1" ht="9.75">
      <c r="A96" s="6"/>
    </row>
    <row r="97" s="16" customFormat="1" ht="12">
      <c r="AA97" s="5"/>
    </row>
    <row r="98" s="16" customFormat="1" ht="12">
      <c r="AA98" s="5"/>
    </row>
    <row r="99" s="16" customFormat="1" ht="12">
      <c r="AA99" s="5"/>
    </row>
    <row r="100" s="16" customFormat="1" ht="12">
      <c r="AA100" s="5"/>
    </row>
    <row r="101" spans="7:27" s="16" customFormat="1" ht="12">
      <c r="G101" s="56"/>
      <c r="I101" s="56"/>
      <c r="J101" s="56"/>
      <c r="L101" s="56"/>
      <c r="M101" s="56"/>
      <c r="N101" s="56"/>
      <c r="O101" s="56"/>
      <c r="P101" s="56"/>
      <c r="Q101" s="56"/>
      <c r="R101" s="56"/>
      <c r="S101" s="56"/>
      <c r="T101" s="56"/>
      <c r="U101" s="56"/>
      <c r="V101" s="56"/>
      <c r="W101" s="56"/>
      <c r="X101" s="56"/>
      <c r="Y101" s="56"/>
      <c r="AA101" s="5"/>
    </row>
    <row r="102" s="16" customFormat="1" ht="12">
      <c r="AA102" s="5"/>
    </row>
    <row r="103" spans="7:27" s="16" customFormat="1" ht="12.75" thickBot="1">
      <c r="G103" s="57"/>
      <c r="I103" s="57"/>
      <c r="J103" s="57"/>
      <c r="L103" s="57"/>
      <c r="M103" s="57"/>
      <c r="N103" s="57"/>
      <c r="O103" s="57"/>
      <c r="P103" s="57"/>
      <c r="Q103" s="57"/>
      <c r="R103" s="57"/>
      <c r="S103" s="57"/>
      <c r="T103" s="57"/>
      <c r="U103" s="57"/>
      <c r="V103" s="57"/>
      <c r="W103" s="57"/>
      <c r="X103" s="57"/>
      <c r="Y103" s="57"/>
      <c r="AA103" s="5"/>
    </row>
    <row r="104" ht="12.75" thickTop="1"/>
    <row r="105" spans="23:25" ht="12">
      <c r="W105" s="58"/>
      <c r="X105" s="58"/>
      <c r="Y105" s="58"/>
    </row>
    <row r="106" spans="23:27" ht="12">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6"/>
  <sheetViews>
    <sheetView showGridLines="0" tabSelected="1" zoomScalePageLayoutView="0" workbookViewId="0" topLeftCell="A1">
      <pane ySplit="4" topLeftCell="A53" activePane="bottomLeft" state="frozen"/>
      <selection pane="topLeft" activeCell="G56" sqref="G56"/>
      <selection pane="bottomLeft" activeCell="I67" sqref="I67"/>
    </sheetView>
  </sheetViews>
  <sheetFormatPr defaultColWidth="9.140625" defaultRowHeight="12.75"/>
  <cols>
    <col min="1" max="1" width="13.28125" style="5" customWidth="1"/>
    <col min="2" max="2" width="10.14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7.421875" style="5" customWidth="1"/>
    <col min="9" max="9" width="8.7109375" style="5" bestFit="1" customWidth="1"/>
    <col min="10" max="10" width="9.421875" style="5" customWidth="1"/>
    <col min="11" max="11" width="4.7109375" style="5" bestFit="1"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82</v>
      </c>
      <c r="B1" s="2"/>
      <c r="C1" s="2"/>
      <c r="D1" s="2"/>
      <c r="E1" s="2"/>
      <c r="F1" s="2"/>
      <c r="G1" s="3"/>
      <c r="H1" s="2"/>
      <c r="I1" s="2"/>
      <c r="J1" s="1" t="s">
        <v>88</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2015</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2"/>
      <c r="L5" s="122"/>
      <c r="M5" s="122"/>
      <c r="N5" s="150"/>
      <c r="O5" s="145" t="str">
        <f>"Total "&amp;F5</f>
        <v>Total Commodity</v>
      </c>
      <c r="P5" s="150"/>
      <c r="Q5" s="150"/>
      <c r="R5" s="150"/>
      <c r="S5" s="2"/>
      <c r="T5" s="2"/>
      <c r="U5" s="2"/>
      <c r="V5" s="13"/>
      <c r="W5" s="14"/>
      <c r="X5" s="14"/>
      <c r="Y5" s="14"/>
      <c r="AA5" s="14"/>
    </row>
    <row r="6" spans="1:18" s="16" customFormat="1" ht="11.25">
      <c r="A6" s="15"/>
      <c r="B6" s="12"/>
      <c r="C6" s="12"/>
      <c r="D6" s="12" t="s">
        <v>2</v>
      </c>
      <c r="E6" s="12"/>
      <c r="F6" s="12" t="s">
        <v>3</v>
      </c>
      <c r="G6" s="12"/>
      <c r="H6" s="12"/>
      <c r="I6" s="12"/>
      <c r="J6" s="12" t="s">
        <v>4</v>
      </c>
      <c r="K6" s="12"/>
      <c r="L6" s="113"/>
      <c r="M6" s="113"/>
      <c r="N6" s="113"/>
      <c r="O6" s="146" t="str">
        <f>+F6</f>
        <v>Revenue</v>
      </c>
      <c r="P6" s="113"/>
      <c r="Q6" s="113"/>
      <c r="R6" s="113"/>
    </row>
    <row r="7" spans="1:18" s="16" customFormat="1" ht="11.25">
      <c r="A7" s="15" t="s">
        <v>5</v>
      </c>
      <c r="B7" s="12" t="s">
        <v>6</v>
      </c>
      <c r="C7" s="12"/>
      <c r="D7" s="12" t="s">
        <v>3</v>
      </c>
      <c r="E7" s="12"/>
      <c r="F7" s="12" t="s">
        <v>7</v>
      </c>
      <c r="G7" s="12"/>
      <c r="H7" s="12"/>
      <c r="I7" s="12"/>
      <c r="J7" s="12" t="s">
        <v>6</v>
      </c>
      <c r="K7" s="12"/>
      <c r="L7" s="113"/>
      <c r="M7" s="113"/>
      <c r="N7" s="113"/>
      <c r="O7" s="146" t="str">
        <f>+F7</f>
        <v>per Customer</v>
      </c>
      <c r="P7" s="113"/>
      <c r="Q7" s="113"/>
      <c r="R7" s="113"/>
    </row>
    <row r="8" spans="1:18" s="16" customFormat="1" ht="11.25">
      <c r="A8" s="131">
        <f>'Single Family'!$C$6</f>
        <v>41760</v>
      </c>
      <c r="B8" s="112">
        <v>17125</v>
      </c>
      <c r="C8" s="114"/>
      <c r="D8" s="115">
        <f>Value!O6</f>
        <v>16058.189164999985</v>
      </c>
      <c r="E8" s="114"/>
      <c r="F8" s="16">
        <f>ROUND(D8/B8,2)</f>
        <v>0.94</v>
      </c>
      <c r="G8" s="114"/>
      <c r="H8" s="114"/>
      <c r="I8" s="114"/>
      <c r="J8" s="14">
        <f>+B8</f>
        <v>17125</v>
      </c>
      <c r="K8" s="13">
        <f>YEAR(A8)</f>
        <v>2014</v>
      </c>
      <c r="L8" s="113"/>
      <c r="M8" s="113"/>
      <c r="N8" s="113"/>
      <c r="O8" s="147">
        <f>VLOOKUP(A8,Value!$A$6:$O$17,13,FALSE)</f>
        <v>31778.843264999985</v>
      </c>
      <c r="P8" s="113"/>
      <c r="Q8" s="113"/>
      <c r="R8" s="113"/>
    </row>
    <row r="9" spans="1:18" s="16" customFormat="1" ht="11.25">
      <c r="A9" s="17">
        <f>EOMONTH(A8,1)</f>
        <v>41820</v>
      </c>
      <c r="B9" s="19">
        <v>17188</v>
      </c>
      <c r="C9" s="20"/>
      <c r="D9" s="115">
        <f>Value!O7</f>
        <v>15652.218422419992</v>
      </c>
      <c r="E9" s="14"/>
      <c r="F9" s="16">
        <f>ROUND(D9/B9,2)</f>
        <v>0.91</v>
      </c>
      <c r="G9" s="14"/>
      <c r="H9" s="14"/>
      <c r="I9" s="14"/>
      <c r="J9" s="14">
        <f>+B9</f>
        <v>17188</v>
      </c>
      <c r="K9" s="13">
        <f>YEAR(A9)</f>
        <v>2014</v>
      </c>
      <c r="L9" s="113"/>
      <c r="M9" s="113"/>
      <c r="N9" s="113"/>
      <c r="O9" s="147">
        <f>VLOOKUP(A9,Value!$A$6:$O$17,13,FALSE)</f>
        <v>31305.86262241999</v>
      </c>
      <c r="P9" s="113"/>
      <c r="Q9" s="113"/>
      <c r="R9" s="113"/>
    </row>
    <row r="10" spans="1:18" s="16" customFormat="1" ht="11.25">
      <c r="A10" s="17">
        <f>EOMONTH(A9,1)</f>
        <v>41851</v>
      </c>
      <c r="B10" s="19">
        <v>17243</v>
      </c>
      <c r="C10" s="14"/>
      <c r="D10" s="115">
        <f>Value!O8</f>
        <v>17589.88471461999</v>
      </c>
      <c r="E10" s="14"/>
      <c r="F10" s="16">
        <f>ROUND(D10/B10,2)</f>
        <v>1.02</v>
      </c>
      <c r="G10" s="14"/>
      <c r="H10" s="14"/>
      <c r="I10" s="14"/>
      <c r="J10" s="14">
        <f>+B10</f>
        <v>17243</v>
      </c>
      <c r="K10" s="13">
        <f>YEAR(A10)</f>
        <v>2014</v>
      </c>
      <c r="L10" s="113"/>
      <c r="M10" s="113"/>
      <c r="N10" s="113"/>
      <c r="O10" s="147">
        <f>VLOOKUP(A10,Value!$A$6:$O$17,13,FALSE)</f>
        <v>35178.37456461999</v>
      </c>
      <c r="P10" s="113"/>
      <c r="Q10" s="113"/>
      <c r="R10" s="113"/>
    </row>
    <row r="11" spans="1:18" s="16" customFormat="1" ht="11.25">
      <c r="A11" s="17"/>
      <c r="B11" s="14"/>
      <c r="C11" s="14"/>
      <c r="E11" s="14"/>
      <c r="G11" s="14"/>
      <c r="H11" s="14"/>
      <c r="I11" s="14"/>
      <c r="J11" s="14"/>
      <c r="K11" s="13"/>
      <c r="L11" s="113"/>
      <c r="M11" s="113"/>
      <c r="N11" s="113"/>
      <c r="O11" s="147"/>
      <c r="P11" s="113"/>
      <c r="Q11" s="113"/>
      <c r="R11" s="113"/>
    </row>
    <row r="12" spans="1:18" s="16" customFormat="1" ht="11.25">
      <c r="A12" s="17" t="s">
        <v>96</v>
      </c>
      <c r="B12" s="21">
        <f>SUM(B8:B11)</f>
        <v>51556</v>
      </c>
      <c r="C12" s="20" t="s">
        <v>8</v>
      </c>
      <c r="D12" s="22">
        <f>SUM(D8:D11)</f>
        <v>49300.29230203997</v>
      </c>
      <c r="E12" s="14"/>
      <c r="G12" s="14"/>
      <c r="H12" s="14"/>
      <c r="I12" s="14"/>
      <c r="J12" s="14"/>
      <c r="K12" s="13"/>
      <c r="L12" s="113"/>
      <c r="M12" s="113"/>
      <c r="N12" s="113"/>
      <c r="O12" s="147"/>
      <c r="P12" s="113"/>
      <c r="Q12" s="113"/>
      <c r="R12" s="113"/>
    </row>
    <row r="13" spans="1:18" s="16" customFormat="1" ht="11.25">
      <c r="A13" s="17"/>
      <c r="B13" s="14"/>
      <c r="C13" s="14"/>
      <c r="E13" s="14"/>
      <c r="G13" s="14"/>
      <c r="H13" s="14"/>
      <c r="I13" s="14"/>
      <c r="J13" s="14"/>
      <c r="K13" s="13"/>
      <c r="L13" s="113"/>
      <c r="M13" s="113"/>
      <c r="N13" s="113"/>
      <c r="O13" s="147"/>
      <c r="P13" s="113"/>
      <c r="Q13" s="113"/>
      <c r="R13" s="113"/>
    </row>
    <row r="14" spans="1:18" s="16" customFormat="1" ht="11.25">
      <c r="A14" s="17">
        <f>EOMONTH(A10,1)</f>
        <v>41882</v>
      </c>
      <c r="B14" s="19">
        <v>17197</v>
      </c>
      <c r="C14" s="14"/>
      <c r="D14" s="115">
        <f>Value!O9</f>
        <v>15759.74147840999</v>
      </c>
      <c r="E14" s="14"/>
      <c r="F14" s="16">
        <f aca="true" t="shared" si="0" ref="F14:F22">ROUND(D14/B14,2)</f>
        <v>0.92</v>
      </c>
      <c r="G14" s="23"/>
      <c r="H14" s="23"/>
      <c r="I14" s="14"/>
      <c r="J14" s="14">
        <f aca="true" t="shared" si="1" ref="J14:J22">+B14</f>
        <v>17197</v>
      </c>
      <c r="K14" s="13">
        <f aca="true" t="shared" si="2" ref="K14:K22">YEAR(A14)</f>
        <v>2014</v>
      </c>
      <c r="L14" s="113"/>
      <c r="M14" s="113"/>
      <c r="N14" s="113"/>
      <c r="O14" s="147">
        <f>VLOOKUP(A14,Value!$A$6:$O$17,13,FALSE)</f>
        <v>31517.25512840999</v>
      </c>
      <c r="P14" s="113"/>
      <c r="Q14" s="113"/>
      <c r="R14" s="113"/>
    </row>
    <row r="15" spans="1:18" s="16" customFormat="1" ht="11.25">
      <c r="A15" s="17">
        <f aca="true" t="shared" si="3" ref="A15:A22">EOMONTH(A14,1)</f>
        <v>41912</v>
      </c>
      <c r="B15" s="19">
        <v>17283</v>
      </c>
      <c r="C15" s="14"/>
      <c r="D15" s="115">
        <f>Value!O10</f>
        <v>16438.939257339985</v>
      </c>
      <c r="E15" s="14"/>
      <c r="F15" s="16">
        <f t="shared" si="0"/>
        <v>0.95</v>
      </c>
      <c r="G15" s="23"/>
      <c r="H15" s="23"/>
      <c r="I15" s="14"/>
      <c r="J15" s="14">
        <f t="shared" si="1"/>
        <v>17283</v>
      </c>
      <c r="K15" s="13">
        <f t="shared" si="2"/>
        <v>2014</v>
      </c>
      <c r="L15" s="113"/>
      <c r="M15" s="113"/>
      <c r="N15" s="113"/>
      <c r="O15" s="147">
        <f>VLOOKUP(A15,Value!$A$6:$O$17,13,FALSE)</f>
        <v>32875.91425733999</v>
      </c>
      <c r="P15" s="113"/>
      <c r="Q15" s="113"/>
      <c r="R15" s="113"/>
    </row>
    <row r="16" spans="1:18" s="16" customFormat="1" ht="11.25">
      <c r="A16" s="17">
        <f t="shared" si="3"/>
        <v>41943</v>
      </c>
      <c r="B16" s="19">
        <v>17268</v>
      </c>
      <c r="C16" s="14"/>
      <c r="D16" s="115">
        <f>Value!O11</f>
        <v>15674.709276069996</v>
      </c>
      <c r="E16" s="14"/>
      <c r="F16" s="16">
        <f t="shared" si="0"/>
        <v>0.91</v>
      </c>
      <c r="G16" s="23"/>
      <c r="H16" s="23"/>
      <c r="I16" s="14"/>
      <c r="J16" s="14">
        <f t="shared" si="1"/>
        <v>17268</v>
      </c>
      <c r="K16" s="13">
        <f t="shared" si="2"/>
        <v>2014</v>
      </c>
      <c r="L16" s="113"/>
      <c r="M16" s="113"/>
      <c r="N16" s="113"/>
      <c r="O16" s="147">
        <f>VLOOKUP(A16,Value!$A$6:$O$17,13,FALSE)</f>
        <v>31347.506026069997</v>
      </c>
      <c r="P16" s="113"/>
      <c r="Q16" s="113"/>
      <c r="R16" s="113"/>
    </row>
    <row r="17" spans="1:18" s="16" customFormat="1" ht="11.25">
      <c r="A17" s="17">
        <f t="shared" si="3"/>
        <v>41973</v>
      </c>
      <c r="B17" s="19">
        <v>17194</v>
      </c>
      <c r="C17" s="14"/>
      <c r="D17" s="115">
        <f>Value!O12</f>
        <v>12936.95667931599</v>
      </c>
      <c r="E17" s="14"/>
      <c r="F17" s="16">
        <f t="shared" si="0"/>
        <v>0.75</v>
      </c>
      <c r="G17" s="23"/>
      <c r="H17" s="23"/>
      <c r="I17" s="14"/>
      <c r="J17" s="14">
        <f t="shared" si="1"/>
        <v>17194</v>
      </c>
      <c r="K17" s="13">
        <f t="shared" si="2"/>
        <v>2014</v>
      </c>
      <c r="L17" s="113"/>
      <c r="M17" s="113"/>
      <c r="N17" s="113"/>
      <c r="O17" s="147">
        <f>VLOOKUP(A17,Value!$A$6:$O$17,13,FALSE)</f>
        <v>25874.26662931599</v>
      </c>
      <c r="P17" s="113"/>
      <c r="Q17" s="113"/>
      <c r="R17" s="113"/>
    </row>
    <row r="18" spans="1:18" s="16" customFormat="1" ht="11.25">
      <c r="A18" s="17">
        <f t="shared" si="3"/>
        <v>42004</v>
      </c>
      <c r="B18" s="19">
        <v>17352</v>
      </c>
      <c r="C18" s="14"/>
      <c r="D18" s="115">
        <f>Value!O13</f>
        <v>16558.28416698399</v>
      </c>
      <c r="E18" s="14"/>
      <c r="F18" s="16">
        <f t="shared" si="0"/>
        <v>0.95</v>
      </c>
      <c r="G18" s="23"/>
      <c r="H18" s="23"/>
      <c r="I18" s="14"/>
      <c r="J18" s="14">
        <f t="shared" si="1"/>
        <v>17352</v>
      </c>
      <c r="K18" s="13">
        <f t="shared" si="2"/>
        <v>2014</v>
      </c>
      <c r="L18" s="113"/>
      <c r="M18" s="113"/>
      <c r="N18" s="113"/>
      <c r="O18" s="147">
        <f>VLOOKUP(A18,Value!$A$6:$O$17,13,FALSE)</f>
        <v>33113.07891698399</v>
      </c>
      <c r="P18" s="113"/>
      <c r="Q18" s="113"/>
      <c r="R18" s="113"/>
    </row>
    <row r="19" spans="1:26" s="16" customFormat="1" ht="11.25">
      <c r="A19" s="17">
        <f t="shared" si="3"/>
        <v>42035</v>
      </c>
      <c r="B19" s="19">
        <v>17287</v>
      </c>
      <c r="C19" s="14"/>
      <c r="D19" s="115">
        <f>Value!O14</f>
        <v>14432.546271324987</v>
      </c>
      <c r="E19" s="14"/>
      <c r="F19" s="16">
        <f t="shared" si="0"/>
        <v>0.83</v>
      </c>
      <c r="G19" s="23"/>
      <c r="H19" s="23"/>
      <c r="I19" s="14"/>
      <c r="J19" s="14">
        <f t="shared" si="1"/>
        <v>17287</v>
      </c>
      <c r="K19" s="13">
        <f t="shared" si="2"/>
        <v>2015</v>
      </c>
      <c r="L19" s="113"/>
      <c r="M19" s="113"/>
      <c r="N19" s="113"/>
      <c r="O19" s="147">
        <f>VLOOKUP(A19,Value!$A$6:$O$17,13,FALSE)</f>
        <v>29771.546271324987</v>
      </c>
      <c r="P19" s="113"/>
      <c r="Q19" s="113"/>
      <c r="R19" s="113"/>
      <c r="Y19" s="14"/>
      <c r="Z19" s="14"/>
    </row>
    <row r="20" spans="1:28" s="16" customFormat="1" ht="11.25">
      <c r="A20" s="17">
        <f t="shared" si="3"/>
        <v>42063</v>
      </c>
      <c r="B20" s="19">
        <v>17266</v>
      </c>
      <c r="C20" s="14"/>
      <c r="D20" s="115">
        <f>Value!O15</f>
        <v>10679.611190815498</v>
      </c>
      <c r="E20" s="14"/>
      <c r="F20" s="16">
        <f t="shared" si="0"/>
        <v>0.62</v>
      </c>
      <c r="G20" s="23"/>
      <c r="H20" s="23"/>
      <c r="I20" s="14"/>
      <c r="J20" s="14">
        <f t="shared" si="1"/>
        <v>17266</v>
      </c>
      <c r="K20" s="13">
        <f t="shared" si="2"/>
        <v>2015</v>
      </c>
      <c r="L20" s="35"/>
      <c r="M20" s="113"/>
      <c r="N20" s="113"/>
      <c r="O20" s="147">
        <f>VLOOKUP(A20,Value!$A$6:$O$17,13,FALSE)</f>
        <v>21359.222381630992</v>
      </c>
      <c r="P20" s="35"/>
      <c r="Q20" s="35"/>
      <c r="R20" s="35"/>
      <c r="S20" s="14"/>
      <c r="T20" s="14"/>
      <c r="U20" s="14"/>
      <c r="V20" s="14"/>
      <c r="W20" s="14"/>
      <c r="X20" s="14"/>
      <c r="Z20" s="14"/>
      <c r="AB20" s="14"/>
    </row>
    <row r="21" spans="1:18" s="16" customFormat="1" ht="11.25">
      <c r="A21" s="17">
        <f t="shared" si="3"/>
        <v>42094</v>
      </c>
      <c r="B21" s="19">
        <v>17291</v>
      </c>
      <c r="C21" s="14"/>
      <c r="D21" s="115">
        <f>Value!O16</f>
        <v>12028.944175224986</v>
      </c>
      <c r="E21" s="14"/>
      <c r="F21" s="16">
        <f t="shared" si="0"/>
        <v>0.7</v>
      </c>
      <c r="G21" s="23"/>
      <c r="H21" s="23"/>
      <c r="I21" s="14"/>
      <c r="J21" s="14">
        <f t="shared" si="1"/>
        <v>17291</v>
      </c>
      <c r="K21" s="13">
        <f t="shared" si="2"/>
        <v>2015</v>
      </c>
      <c r="L21" s="113"/>
      <c r="M21" s="113"/>
      <c r="N21" s="113"/>
      <c r="O21" s="147">
        <f>VLOOKUP(A21,Value!$A$6:$O$17,13,FALSE)</f>
        <v>24059.431875224986</v>
      </c>
      <c r="P21" s="113"/>
      <c r="Q21" s="113"/>
      <c r="R21" s="113"/>
    </row>
    <row r="22" spans="1:18" s="16" customFormat="1" ht="11.25">
      <c r="A22" s="17">
        <f t="shared" si="3"/>
        <v>42124</v>
      </c>
      <c r="B22" s="19">
        <v>17450</v>
      </c>
      <c r="C22" s="14"/>
      <c r="D22" s="115">
        <f>Value!O17</f>
        <v>12213.459071383986</v>
      </c>
      <c r="E22" s="14"/>
      <c r="F22" s="16">
        <f t="shared" si="0"/>
        <v>0.7</v>
      </c>
      <c r="G22" s="23"/>
      <c r="H22" s="23"/>
      <c r="I22" s="14"/>
      <c r="J22" s="14">
        <f t="shared" si="1"/>
        <v>17450</v>
      </c>
      <c r="K22" s="13">
        <f t="shared" si="2"/>
        <v>2015</v>
      </c>
      <c r="L22" s="113"/>
      <c r="M22" s="113"/>
      <c r="N22" s="113"/>
      <c r="O22" s="147">
        <f>VLOOKUP(A22,Value!$A$6:$O$17,13,FALSE)</f>
        <v>24468.459071383986</v>
      </c>
      <c r="P22" s="113"/>
      <c r="Q22" s="113"/>
      <c r="R22" s="113"/>
    </row>
    <row r="23" spans="1:18" s="16" customFormat="1" ht="11.25">
      <c r="A23" s="17"/>
      <c r="B23" s="14"/>
      <c r="C23" s="14"/>
      <c r="E23" s="14"/>
      <c r="G23" s="14"/>
      <c r="H23" s="14"/>
      <c r="I23" s="14"/>
      <c r="J23" s="14"/>
      <c r="K23" s="13"/>
      <c r="L23" s="113"/>
      <c r="M23" s="113"/>
      <c r="N23" s="113"/>
      <c r="O23" s="148"/>
      <c r="Q23" s="113"/>
      <c r="R23" s="113"/>
    </row>
    <row r="24" spans="1:18" s="16" customFormat="1" ht="11.25">
      <c r="A24" s="17" t="s">
        <v>97</v>
      </c>
      <c r="B24" s="21">
        <f>SUM(B13:B23)</f>
        <v>155588</v>
      </c>
      <c r="C24" s="20" t="s">
        <v>9</v>
      </c>
      <c r="D24" s="22">
        <f>SUM(D13:D23)</f>
        <v>126723.19156686941</v>
      </c>
      <c r="E24" s="14"/>
      <c r="G24" s="14"/>
      <c r="H24" s="14"/>
      <c r="I24" s="14"/>
      <c r="J24" s="14"/>
      <c r="K24" s="13"/>
      <c r="L24" s="113"/>
      <c r="M24" s="113"/>
      <c r="N24" s="113"/>
      <c r="O24" s="148"/>
      <c r="P24" s="149" t="s">
        <v>90</v>
      </c>
      <c r="Q24" s="113"/>
      <c r="R24" s="113"/>
    </row>
    <row r="25" spans="4:18" ht="12.75">
      <c r="D25" s="25"/>
      <c r="L25" s="122"/>
      <c r="M25" s="122"/>
      <c r="N25" s="122"/>
      <c r="O25" s="148">
        <f>SUM(O8:O24)</f>
        <v>352649.7610097248</v>
      </c>
      <c r="P25" s="122"/>
      <c r="Q25" s="122"/>
      <c r="R25" s="122"/>
    </row>
    <row r="26" spans="1:18" s="16" customFormat="1" ht="12" thickBot="1">
      <c r="A26" s="26"/>
      <c r="B26" s="27">
        <f>+B12+B24</f>
        <v>207144</v>
      </c>
      <c r="C26" s="20"/>
      <c r="D26" s="28">
        <f>+D12+D24</f>
        <v>176023.4838689094</v>
      </c>
      <c r="E26" s="20" t="s">
        <v>10</v>
      </c>
      <c r="F26" s="23">
        <f>ROUND(D26/B26,3)</f>
        <v>0.85</v>
      </c>
      <c r="G26" s="20" t="s">
        <v>11</v>
      </c>
      <c r="H26" s="20"/>
      <c r="I26" s="14"/>
      <c r="J26" s="27">
        <f>SUM(J8:J25)</f>
        <v>207144</v>
      </c>
      <c r="K26" s="20" t="s">
        <v>12</v>
      </c>
      <c r="L26" s="113"/>
      <c r="M26" s="113"/>
      <c r="N26" s="113"/>
      <c r="O26" s="151">
        <f>ROUND(O25/J26,3)</f>
        <v>1.702</v>
      </c>
      <c r="P26" s="113" t="s">
        <v>89</v>
      </c>
      <c r="Q26" s="113"/>
      <c r="R26" s="113"/>
    </row>
    <row r="27" spans="2:18" s="16" customFormat="1" ht="12" thickTop="1">
      <c r="B27" s="14"/>
      <c r="C27" s="14"/>
      <c r="D27" s="14"/>
      <c r="E27" s="14"/>
      <c r="F27" s="14"/>
      <c r="G27" s="14"/>
      <c r="H27" s="14"/>
      <c r="I27" s="14"/>
      <c r="J27" s="14"/>
      <c r="K27" s="14"/>
      <c r="L27" s="113"/>
      <c r="M27" s="113"/>
      <c r="N27" s="113"/>
      <c r="O27" s="174">
        <f>+J18</f>
        <v>17352</v>
      </c>
      <c r="P27" s="113" t="s">
        <v>91</v>
      </c>
      <c r="Q27" s="113"/>
      <c r="R27" s="113"/>
    </row>
    <row r="28" spans="2:18" s="16" customFormat="1" ht="11.25">
      <c r="B28" s="14"/>
      <c r="C28" s="14"/>
      <c r="D28" s="14"/>
      <c r="E28" s="14"/>
      <c r="F28" s="14"/>
      <c r="G28" s="14"/>
      <c r="H28" s="14"/>
      <c r="I28" s="14"/>
      <c r="J28" s="14"/>
      <c r="K28" s="14"/>
      <c r="L28" s="113"/>
      <c r="M28" s="113"/>
      <c r="N28" s="113"/>
      <c r="O28" s="113"/>
      <c r="P28" s="113" t="s">
        <v>92</v>
      </c>
      <c r="Q28" s="113"/>
      <c r="R28" s="113"/>
    </row>
    <row r="29" spans="2:18" s="16" customFormat="1" ht="12" thickBot="1">
      <c r="B29" s="29" t="s">
        <v>13</v>
      </c>
      <c r="C29" s="30"/>
      <c r="D29" s="30"/>
      <c r="E29" s="30"/>
      <c r="F29" s="14"/>
      <c r="G29" s="14"/>
      <c r="H29" s="14"/>
      <c r="I29" s="14"/>
      <c r="J29" s="14"/>
      <c r="K29" s="14"/>
      <c r="L29" s="113"/>
      <c r="M29" s="113"/>
      <c r="N29" s="113"/>
      <c r="O29" s="113"/>
      <c r="P29" s="113"/>
      <c r="Q29" s="113"/>
      <c r="R29" s="113"/>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176023</v>
      </c>
      <c r="H31" s="20" t="s">
        <v>10</v>
      </c>
      <c r="I31" s="14"/>
      <c r="J31" s="14"/>
      <c r="K31" s="14"/>
    </row>
    <row r="32" spans="1:27" s="13" customFormat="1" ht="11.25">
      <c r="A32" s="33"/>
      <c r="B32" s="31"/>
      <c r="C32" s="14"/>
      <c r="D32" s="14"/>
      <c r="E32" s="14"/>
      <c r="F32" s="14"/>
      <c r="G32" s="14"/>
      <c r="H32" s="20"/>
      <c r="I32" s="14"/>
      <c r="J32" s="14"/>
      <c r="K32" s="14"/>
      <c r="O32" s="16">
        <f>12*O27*O26</f>
        <v>354397.24799999996</v>
      </c>
      <c r="P32" s="13" t="s">
        <v>94</v>
      </c>
      <c r="W32" s="14"/>
      <c r="X32" s="16"/>
      <c r="Y32" s="16"/>
      <c r="AA32" s="14"/>
    </row>
    <row r="33" spans="2:16" s="16" customFormat="1" ht="11.25">
      <c r="B33" s="14" t="s">
        <v>15</v>
      </c>
      <c r="C33" s="14"/>
      <c r="D33" s="14"/>
      <c r="E33" s="14"/>
      <c r="F33" s="34">
        <v>0.917</v>
      </c>
      <c r="G33" s="14"/>
      <c r="H33" s="14"/>
      <c r="I33" s="14"/>
      <c r="J33" s="14"/>
      <c r="K33" s="14"/>
      <c r="O33" s="16">
        <f>12*O27*G56</f>
        <v>177293.45224043695</v>
      </c>
      <c r="P33" s="16" t="s">
        <v>95</v>
      </c>
    </row>
    <row r="34" spans="2:15" s="16" customFormat="1" ht="11.25">
      <c r="B34" s="14"/>
      <c r="C34" s="14" t="str">
        <f>"Customers from "&amp;TEXT($A$8,"mm/yy")&amp;" - "&amp;TEXT($A$10,"mm/yy")</f>
        <v>Customers from 05/14 - 07/14</v>
      </c>
      <c r="D34" s="14"/>
      <c r="E34" s="14"/>
      <c r="F34" s="35">
        <f>+B12</f>
        <v>51556</v>
      </c>
      <c r="G34" s="20" t="s">
        <v>8</v>
      </c>
      <c r="H34" s="14"/>
      <c r="I34" s="14"/>
      <c r="J34" s="14"/>
      <c r="K34" s="14"/>
      <c r="O34" s="154">
        <f>+O33/O32</f>
        <v>0.500267576119657</v>
      </c>
    </row>
    <row r="35" spans="2:11" s="16" customFormat="1" ht="11.25">
      <c r="B35" s="14"/>
      <c r="C35" s="14" t="s">
        <v>16</v>
      </c>
      <c r="D35" s="14"/>
      <c r="E35" s="14"/>
      <c r="F35" s="21">
        <f>ROUND(F33*F34,0)</f>
        <v>47277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0.85</v>
      </c>
      <c r="G37" s="14"/>
      <c r="H37" s="14"/>
      <c r="I37" s="14"/>
      <c r="J37" s="14"/>
      <c r="K37" s="14"/>
    </row>
    <row r="38" spans="2:11" s="16" customFormat="1" ht="11.25">
      <c r="B38" s="14"/>
      <c r="C38" s="14" t="str">
        <f>"Customers from "&amp;TEXT($A$14,"mm/yy")&amp;" - "&amp;TEXT($A$22,"mm/yy")</f>
        <v>Customers from 08/14 - 04/15</v>
      </c>
      <c r="D38" s="14"/>
      <c r="E38" s="14"/>
      <c r="F38" s="14">
        <f>+B24</f>
        <v>155588</v>
      </c>
      <c r="G38" s="20" t="s">
        <v>9</v>
      </c>
      <c r="H38" s="14"/>
      <c r="I38" s="14"/>
      <c r="J38" s="14"/>
      <c r="K38" s="14"/>
    </row>
    <row r="39" spans="2:11" s="16" customFormat="1" ht="11.25">
      <c r="B39" s="14"/>
      <c r="C39" s="14" t="s">
        <v>16</v>
      </c>
      <c r="D39" s="14"/>
      <c r="E39" s="14"/>
      <c r="F39" s="21">
        <f>ROUND(F37*F38,0)</f>
        <v>132250</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179527</v>
      </c>
      <c r="G41" s="37">
        <f>+F41</f>
        <v>179527</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-3504</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tr">
        <f>$K$22+1&amp;" Recycle Adjustment Calculation"</f>
        <v>2016 Recycle Adjustment Calculation</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tr">
        <f>$K$10&amp;"/"&amp;$K$22&amp;" True-up Computation"</f>
        <v>2014/2015 True-up Computation</v>
      </c>
      <c r="C49" s="14"/>
      <c r="D49" s="14"/>
      <c r="E49" s="14"/>
      <c r="F49" s="14"/>
      <c r="G49" s="14"/>
      <c r="H49" s="14"/>
      <c r="I49" s="14"/>
      <c r="J49" s="14"/>
      <c r="K49" s="14"/>
    </row>
    <row r="50" spans="2:11" s="16" customFormat="1" ht="11.25">
      <c r="B50" s="14"/>
      <c r="C50" s="14"/>
      <c r="D50" s="14"/>
      <c r="E50" s="14"/>
      <c r="F50" s="32" t="s">
        <v>20</v>
      </c>
      <c r="G50" s="14">
        <f>+J26</f>
        <v>207144</v>
      </c>
      <c r="H50" s="20" t="s">
        <v>12</v>
      </c>
      <c r="I50" s="14"/>
      <c r="J50" s="14"/>
      <c r="K50" s="14"/>
    </row>
    <row r="51" spans="2:11" s="16" customFormat="1" ht="9.75">
      <c r="B51" s="14"/>
      <c r="C51" s="14"/>
      <c r="D51" s="14"/>
      <c r="E51" s="14"/>
      <c r="F51" s="32" t="s">
        <v>18</v>
      </c>
      <c r="G51" s="14">
        <f>G44</f>
        <v>-3504</v>
      </c>
      <c r="H51" s="14"/>
      <c r="I51" s="14"/>
      <c r="J51" s="14"/>
      <c r="K51" s="14"/>
    </row>
    <row r="52" spans="2:11" s="16" customFormat="1" ht="9.75">
      <c r="B52" s="14"/>
      <c r="C52" s="14"/>
      <c r="D52" s="14"/>
      <c r="E52" s="14"/>
      <c r="F52" s="32"/>
      <c r="G52" s="14"/>
      <c r="H52" s="14"/>
      <c r="I52" s="14"/>
      <c r="J52" s="14"/>
      <c r="K52" s="14"/>
    </row>
    <row r="53" spans="2:11" s="16" customFormat="1" ht="10.5" thickBot="1">
      <c r="B53" s="14"/>
      <c r="C53" s="14"/>
      <c r="D53" s="14"/>
      <c r="E53" s="14"/>
      <c r="F53" s="32" t="s">
        <v>80</v>
      </c>
      <c r="G53" s="39">
        <f>ROUND(G51/G50,3)</f>
        <v>-0.017</v>
      </c>
      <c r="H53" s="14"/>
      <c r="I53" s="23">
        <f>+G53</f>
        <v>-0.017</v>
      </c>
      <c r="J53" s="14"/>
      <c r="K53" s="14"/>
    </row>
    <row r="54" spans="2:25" s="16" customFormat="1" ht="10.5" thickTop="1">
      <c r="B54" s="14"/>
      <c r="C54" s="14"/>
      <c r="D54" s="14"/>
      <c r="E54" s="14"/>
      <c r="F54" s="32"/>
      <c r="G54" s="14"/>
      <c r="H54" s="14"/>
      <c r="I54" s="23"/>
      <c r="J54" s="14"/>
      <c r="K54" s="14"/>
      <c r="Y54" s="14"/>
    </row>
    <row r="55" spans="2:13" s="16" customFormat="1" ht="9.75">
      <c r="B55" s="14" t="str">
        <f>$K$22+1&amp;" Projected Credit"</f>
        <v>2016 Projected Credit</v>
      </c>
      <c r="C55" s="14"/>
      <c r="D55" s="14"/>
      <c r="E55" s="14"/>
      <c r="F55" s="32"/>
      <c r="G55" s="14"/>
      <c r="H55" s="14"/>
      <c r="I55" s="23"/>
      <c r="J55" s="14"/>
      <c r="K55" s="14"/>
      <c r="M55" s="152" t="s">
        <v>93</v>
      </c>
    </row>
    <row r="56" spans="2:13" s="16" customFormat="1" ht="10.5" thickBot="1">
      <c r="B56" s="31"/>
      <c r="C56" s="14"/>
      <c r="D56" s="14"/>
      <c r="E56" s="14"/>
      <c r="F56" s="32" t="s">
        <v>79</v>
      </c>
      <c r="G56" s="153">
        <f>+F26/Value!P18*M56</f>
        <v>0.8514554145556562</v>
      </c>
      <c r="H56" s="14"/>
      <c r="I56" s="23">
        <f>+G56</f>
        <v>0.8514554145556562</v>
      </c>
      <c r="J56" s="20" t="s">
        <v>11</v>
      </c>
      <c r="K56" s="14"/>
      <c r="M56" s="155">
        <v>0.5</v>
      </c>
    </row>
    <row r="57" spans="2:25" s="14" customFormat="1" ht="10.5" thickTop="1">
      <c r="B57" s="31"/>
      <c r="I57" s="23"/>
      <c r="X57" s="16"/>
      <c r="Y57" s="16"/>
    </row>
    <row r="58" spans="2:11" s="16" customFormat="1" ht="10.5" thickBot="1">
      <c r="B58" s="14"/>
      <c r="C58" s="14"/>
      <c r="D58" s="14"/>
      <c r="E58" s="14"/>
      <c r="F58" s="14"/>
      <c r="G58" s="32" t="str">
        <f>$K$22+1&amp;" Adjusted Credit"</f>
        <v>2016 Adjusted Credit</v>
      </c>
      <c r="H58" s="27"/>
      <c r="I58" s="39">
        <f>+I53+I56</f>
        <v>0.8344554145556562</v>
      </c>
      <c r="J58" s="14"/>
      <c r="K58" s="14"/>
    </row>
    <row r="59" s="16" customFormat="1" ht="10.5" thickTop="1">
      <c r="I59" s="23"/>
    </row>
    <row r="60" s="16" customFormat="1" ht="9.75"/>
    <row r="61" spans="7:9" s="16" customFormat="1" ht="9.75">
      <c r="G61" s="142" t="s">
        <v>83</v>
      </c>
      <c r="I61" s="157">
        <f>'[4]2014-2015'!$C$14</f>
        <v>0</v>
      </c>
    </row>
    <row r="62" spans="1:6" s="16" customFormat="1" ht="9.75">
      <c r="A62" s="113"/>
      <c r="B62" s="113"/>
      <c r="C62" s="113"/>
      <c r="D62" s="113"/>
      <c r="E62" s="113"/>
      <c r="F62" s="113"/>
    </row>
    <row r="63" spans="1:9" s="16" customFormat="1" ht="9.75" hidden="1">
      <c r="A63" s="116"/>
      <c r="B63" s="117"/>
      <c r="C63" s="118"/>
      <c r="D63" s="47"/>
      <c r="E63" s="113"/>
      <c r="F63" s="113"/>
      <c r="G63" s="142" t="s">
        <v>84</v>
      </c>
      <c r="I63" s="157">
        <v>292961.99994565477</v>
      </c>
    </row>
    <row r="64" spans="1:9" s="16" customFormat="1" ht="9.75" hidden="1">
      <c r="A64" s="116"/>
      <c r="B64" s="117"/>
      <c r="C64" s="118"/>
      <c r="D64" s="47"/>
      <c r="E64" s="113"/>
      <c r="F64" s="113"/>
      <c r="G64" s="142" t="s">
        <v>85</v>
      </c>
      <c r="I64" s="157">
        <v>56929</v>
      </c>
    </row>
    <row r="65" spans="1:6" s="16" customFormat="1" ht="9.75">
      <c r="A65" s="116"/>
      <c r="B65" s="119"/>
      <c r="C65" s="120"/>
      <c r="D65" s="47"/>
      <c r="E65" s="113"/>
      <c r="F65" s="113"/>
    </row>
    <row r="66" spans="1:9" s="16" customFormat="1" ht="9.75">
      <c r="A66" s="116"/>
      <c r="B66" s="119"/>
      <c r="C66" s="35"/>
      <c r="D66" s="47"/>
      <c r="E66" s="113"/>
      <c r="F66" s="113"/>
      <c r="G66" s="142" t="s">
        <v>86</v>
      </c>
      <c r="I66" s="143">
        <f>'[4]2014-2015'!$C$17</f>
        <v>0</v>
      </c>
    </row>
    <row r="67" spans="1:25" s="14" customFormat="1" ht="9.75">
      <c r="A67" s="116"/>
      <c r="B67" s="35"/>
      <c r="C67" s="35"/>
      <c r="D67" s="113"/>
      <c r="E67" s="35"/>
      <c r="F67" s="113"/>
      <c r="X67" s="16"/>
      <c r="Y67" s="16"/>
    </row>
    <row r="68" spans="1:9" s="16" customFormat="1" ht="9.75">
      <c r="A68" s="116"/>
      <c r="B68" s="35"/>
      <c r="C68" s="120"/>
      <c r="D68" s="113"/>
      <c r="E68" s="113"/>
      <c r="F68" s="113"/>
      <c r="G68" s="142" t="s">
        <v>87</v>
      </c>
      <c r="I68" s="22">
        <f>I66/(B17*12)</f>
        <v>0</v>
      </c>
    </row>
    <row r="69" spans="1:6" s="16" customFormat="1" ht="9.75">
      <c r="A69" s="116"/>
      <c r="B69" s="35"/>
      <c r="C69" s="35"/>
      <c r="D69" s="113"/>
      <c r="E69" s="113"/>
      <c r="F69" s="113"/>
    </row>
    <row r="70" spans="1:9" s="16" customFormat="1" ht="10.5" thickBot="1">
      <c r="A70" s="116"/>
      <c r="B70" s="119"/>
      <c r="C70" s="35"/>
      <c r="D70" s="113"/>
      <c r="E70" s="113"/>
      <c r="F70" s="113"/>
      <c r="G70" s="32" t="str">
        <f>$K$22+1&amp;" Net Credit"</f>
        <v>2016 Net Credit</v>
      </c>
      <c r="H70" s="27"/>
      <c r="I70" s="156">
        <f>+I58+I68</f>
        <v>0.8344554145556562</v>
      </c>
    </row>
    <row r="71" spans="1:6" s="16" customFormat="1" ht="10.5" thickTop="1">
      <c r="A71" s="116"/>
      <c r="B71" s="119"/>
      <c r="C71" s="35"/>
      <c r="D71" s="113"/>
      <c r="E71" s="113"/>
      <c r="F71" s="113"/>
    </row>
    <row r="72" spans="1:6" s="16" customFormat="1" ht="9.75">
      <c r="A72" s="116"/>
      <c r="B72" s="119"/>
      <c r="C72" s="35"/>
      <c r="D72" s="113"/>
      <c r="E72" s="113"/>
      <c r="F72" s="113"/>
    </row>
    <row r="73" spans="1:25" s="16" customFormat="1" ht="9.75">
      <c r="A73" s="116"/>
      <c r="B73" s="119"/>
      <c r="C73" s="35"/>
      <c r="D73" s="113"/>
      <c r="E73" s="113"/>
      <c r="F73" s="113"/>
      <c r="Y73" s="14"/>
    </row>
    <row r="74" spans="1:6" s="16" customFormat="1" ht="9.75">
      <c r="A74" s="116"/>
      <c r="B74" s="119"/>
      <c r="C74" s="35"/>
      <c r="D74" s="113"/>
      <c r="E74" s="113"/>
      <c r="F74" s="113"/>
    </row>
    <row r="75" spans="1:6" s="16" customFormat="1" ht="9.75">
      <c r="A75" s="116"/>
      <c r="B75" s="119"/>
      <c r="C75" s="35"/>
      <c r="D75" s="113"/>
      <c r="E75" s="113"/>
      <c r="F75" s="113"/>
    </row>
    <row r="76" spans="1:6" s="16" customFormat="1" ht="9.75">
      <c r="A76" s="116"/>
      <c r="B76" s="119"/>
      <c r="C76" s="35"/>
      <c r="D76" s="113"/>
      <c r="E76" s="113"/>
      <c r="F76" s="113"/>
    </row>
    <row r="77" spans="1:27" s="16" customFormat="1" ht="9.75">
      <c r="A77" s="116"/>
      <c r="B77" s="119"/>
      <c r="C77" s="35"/>
      <c r="D77" s="113"/>
      <c r="E77" s="121"/>
      <c r="F77" s="113"/>
      <c r="G77" s="14"/>
      <c r="H77" s="13"/>
      <c r="I77" s="14"/>
      <c r="J77" s="14"/>
      <c r="K77" s="13"/>
      <c r="L77" s="14"/>
      <c r="M77" s="14"/>
      <c r="N77" s="14"/>
      <c r="O77" s="14"/>
      <c r="P77" s="14"/>
      <c r="Q77" s="14"/>
      <c r="R77" s="14"/>
      <c r="S77" s="14"/>
      <c r="T77" s="14"/>
      <c r="U77" s="14"/>
      <c r="V77" s="13"/>
      <c r="W77" s="14"/>
      <c r="AA77" s="14"/>
    </row>
    <row r="78" spans="1:6" s="16" customFormat="1" ht="9.75">
      <c r="A78" s="116"/>
      <c r="B78" s="119"/>
      <c r="C78" s="35"/>
      <c r="D78" s="113"/>
      <c r="E78" s="113"/>
      <c r="F78" s="113"/>
    </row>
    <row r="79" spans="1:6" s="16" customFormat="1" ht="9.75">
      <c r="A79" s="116"/>
      <c r="B79" s="35"/>
      <c r="C79" s="35"/>
      <c r="D79" s="113"/>
      <c r="E79" s="113"/>
      <c r="F79" s="113"/>
    </row>
    <row r="80" spans="1:6" s="16" customFormat="1" ht="9.75">
      <c r="A80" s="116"/>
      <c r="B80" s="35"/>
      <c r="C80" s="120"/>
      <c r="D80" s="113"/>
      <c r="E80" s="113"/>
      <c r="F80" s="113"/>
    </row>
    <row r="81" spans="1:6" s="16" customFormat="1" ht="12">
      <c r="A81" s="122"/>
      <c r="B81" s="122"/>
      <c r="C81" s="122"/>
      <c r="D81" s="123"/>
      <c r="E81" s="113"/>
      <c r="F81" s="122"/>
    </row>
    <row r="82" spans="1:25" s="16" customFormat="1" ht="9.75">
      <c r="A82" s="124"/>
      <c r="B82" s="35"/>
      <c r="C82" s="120"/>
      <c r="D82" s="113"/>
      <c r="E82" s="113"/>
      <c r="F82" s="125"/>
      <c r="Y82" s="14"/>
    </row>
    <row r="83" s="16" customFormat="1" ht="9.75"/>
    <row r="84" s="16" customFormat="1" ht="9.75"/>
    <row r="85" s="16" customFormat="1" ht="9.75"/>
    <row r="86" s="16" customFormat="1" ht="9.75">
      <c r="B86" s="8"/>
    </row>
    <row r="87" spans="2:25" s="14" customFormat="1" ht="9.75">
      <c r="B87" s="31"/>
      <c r="X87" s="16"/>
      <c r="Y87" s="16"/>
    </row>
    <row r="88" s="16" customFormat="1" ht="9.75"/>
    <row r="89" s="16" customFormat="1" ht="9.75"/>
    <row r="90" s="16" customFormat="1" ht="9.75"/>
    <row r="91" s="16" customFormat="1" ht="9.75"/>
    <row r="92" s="16" customFormat="1" ht="9.75"/>
    <row r="93" s="16" customFormat="1" ht="9.75"/>
    <row r="94" s="16" customFormat="1" ht="9.75"/>
    <row r="95" s="16" customFormat="1" ht="9.75"/>
    <row r="96" s="16" customFormat="1" ht="9.75">
      <c r="A96" s="6"/>
    </row>
    <row r="97" s="16" customFormat="1" ht="12">
      <c r="AA97" s="5"/>
    </row>
    <row r="98" s="16" customFormat="1" ht="12">
      <c r="AA98" s="5"/>
    </row>
    <row r="99" s="16" customFormat="1" ht="12">
      <c r="AA99" s="5"/>
    </row>
    <row r="100" s="16" customFormat="1" ht="12">
      <c r="AA100" s="5"/>
    </row>
    <row r="101" spans="7:27" s="16" customFormat="1" ht="12">
      <c r="G101" s="56"/>
      <c r="I101" s="56"/>
      <c r="J101" s="56"/>
      <c r="L101" s="56"/>
      <c r="M101" s="56"/>
      <c r="N101" s="56"/>
      <c r="O101" s="56"/>
      <c r="P101" s="56"/>
      <c r="Q101" s="56"/>
      <c r="R101" s="56"/>
      <c r="S101" s="56"/>
      <c r="T101" s="56"/>
      <c r="U101" s="56"/>
      <c r="V101" s="56"/>
      <c r="W101" s="56"/>
      <c r="X101" s="56"/>
      <c r="Y101" s="56"/>
      <c r="AA101" s="5"/>
    </row>
    <row r="102" s="16" customFormat="1" ht="12">
      <c r="AA102" s="5"/>
    </row>
    <row r="103" spans="7:27" s="16" customFormat="1" ht="12.75" thickBot="1">
      <c r="G103" s="57"/>
      <c r="I103" s="57"/>
      <c r="J103" s="57"/>
      <c r="L103" s="57"/>
      <c r="M103" s="57"/>
      <c r="N103" s="57"/>
      <c r="O103" s="57"/>
      <c r="P103" s="57"/>
      <c r="Q103" s="57"/>
      <c r="R103" s="57"/>
      <c r="S103" s="57"/>
      <c r="T103" s="57"/>
      <c r="U103" s="57"/>
      <c r="V103" s="57"/>
      <c r="W103" s="57"/>
      <c r="X103" s="57"/>
      <c r="Y103" s="57"/>
      <c r="AA103" s="5"/>
    </row>
    <row r="104" ht="12.75" thickTop="1"/>
    <row r="105" spans="23:25" ht="12">
      <c r="W105" s="58"/>
      <c r="X105" s="58"/>
      <c r="Y105" s="58"/>
    </row>
    <row r="106" spans="23:27" ht="12">
      <c r="W106" s="58"/>
      <c r="AA106" s="58"/>
    </row>
  </sheetData>
  <sheetProtection/>
  <printOptions horizontalCentered="1"/>
  <pageMargins left="0" right="0" top="0.52" bottom="0.44" header="0" footer="0"/>
  <pageSetup fitToHeight="1" fitToWidth="1" orientation="portrait" scale="58" r:id="rId4"/>
  <headerFooter alignWithMargins="0">
    <oddFooter>&amp;R&amp;"Helv,Regular"&amp;6\\SERVER1\PUBLIC\EXCEL&amp;F,&amp;A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118"/>
  <sheetViews>
    <sheetView showGridLines="0" zoomScalePageLayoutView="0" workbookViewId="0" topLeftCell="A1">
      <selection activeCell="R20" sqref="R20"/>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1.7109375" style="72" customWidth="1"/>
    <col min="16" max="16" width="14.57421875" style="0" bestFit="1" customWidth="1"/>
    <col min="17" max="17" width="9.7109375" style="0" customWidth="1"/>
  </cols>
  <sheetData>
    <row r="1" spans="1:2" ht="12.75">
      <c r="A1" s="59" t="s">
        <v>46</v>
      </c>
      <c r="B1" s="60"/>
    </row>
    <row r="2" spans="1:2" ht="12.75">
      <c r="A2" s="61" t="str">
        <f>'WUTC_AW of Lynnwood_SF'!A1</f>
        <v>Rabanco Ltd (dba Allied Waste of Lynnwood)</v>
      </c>
      <c r="B2" s="61"/>
    </row>
    <row r="3" spans="1:15" ht="12.75">
      <c r="A3" s="61"/>
      <c r="B3" s="61"/>
      <c r="O3" s="73"/>
    </row>
    <row r="4" spans="1:15" ht="12.75">
      <c r="A4" s="61"/>
      <c r="B4" s="61"/>
      <c r="O4" s="73" t="str">
        <f>+TEXT(P18,"00.0%")&amp;" of"</f>
        <v>49.9% of</v>
      </c>
    </row>
    <row r="5" spans="2:17" ht="12.75">
      <c r="B5" s="70"/>
      <c r="C5" s="63" t="s">
        <v>21</v>
      </c>
      <c r="D5" s="63" t="s">
        <v>22</v>
      </c>
      <c r="E5" s="63" t="s">
        <v>33</v>
      </c>
      <c r="F5" s="63" t="s">
        <v>23</v>
      </c>
      <c r="G5" s="63" t="s">
        <v>24</v>
      </c>
      <c r="H5" s="63" t="s">
        <v>25</v>
      </c>
      <c r="I5" s="63" t="s">
        <v>26</v>
      </c>
      <c r="J5" s="63" t="s">
        <v>27</v>
      </c>
      <c r="K5" s="63" t="s">
        <v>28</v>
      </c>
      <c r="L5" s="63" t="s">
        <v>29</v>
      </c>
      <c r="M5" s="63" t="s">
        <v>30</v>
      </c>
      <c r="O5" s="73" t="s">
        <v>30</v>
      </c>
      <c r="P5" s="63" t="s">
        <v>98</v>
      </c>
      <c r="Q5" s="159" t="s">
        <v>100</v>
      </c>
    </row>
    <row r="6" spans="1:18" ht="15.75" customHeight="1">
      <c r="A6" s="65">
        <f>+Pricing!A6</f>
        <v>41760</v>
      </c>
      <c r="B6" s="66"/>
      <c r="C6" s="71">
        <f>'Commodity Tonnages'!C6*Pricing!C6</f>
        <v>4077.0607702499997</v>
      </c>
      <c r="D6" s="74">
        <f>'Commodity Tonnages'!D6*Pricing!D6</f>
        <v>-1353.3719284800002</v>
      </c>
      <c r="E6" s="74">
        <f>'Commodity Tonnages'!E6*Pricing!E6</f>
        <v>0</v>
      </c>
      <c r="F6" s="74">
        <f>'Commodity Tonnages'!F6*Pricing!F6</f>
        <v>667.2172864500001</v>
      </c>
      <c r="G6" s="74">
        <f>'Commodity Tonnages'!G6*Pricing!G6</f>
        <v>7384.782015</v>
      </c>
      <c r="H6" s="74">
        <f>'Commodity Tonnages'!H6*Pricing!H6</f>
        <v>11370.545206019997</v>
      </c>
      <c r="I6" s="74">
        <f>'Commodity Tonnages'!I6*Pricing!I6</f>
        <v>2140.661701035</v>
      </c>
      <c r="J6" s="74">
        <f>'Commodity Tonnages'!J6*Pricing!J6</f>
        <v>2140.661701035</v>
      </c>
      <c r="K6" s="74">
        <f>'Commodity Tonnages'!K6*Pricing!K6</f>
        <v>8944.75537956</v>
      </c>
      <c r="L6" s="74">
        <f>'Commodity Tonnages'!L6*Pricing!L6</f>
        <v>-3593.468865870008</v>
      </c>
      <c r="M6" s="133">
        <f>SUM(C6:L6)</f>
        <v>31778.843264999985</v>
      </c>
      <c r="O6" s="98">
        <f>+M6-Q6</f>
        <v>16058.189164999985</v>
      </c>
      <c r="P6" s="160">
        <f>_xlfn.IFERROR(O6/M6,0)</f>
        <v>0.5053106883435832</v>
      </c>
      <c r="Q6" s="161">
        <f>'[3]Lynnwood SF Recycle Credits'!$L29</f>
        <v>15720.6541</v>
      </c>
      <c r="R6" s="134"/>
    </row>
    <row r="7" spans="1:18" ht="15.75" customHeight="1">
      <c r="A7" s="65">
        <f>+Pricing!A7</f>
        <v>41820</v>
      </c>
      <c r="B7" s="66"/>
      <c r="C7" s="71">
        <f>'Commodity Tonnages'!C7*Pricing!C7</f>
        <v>3925.306524</v>
      </c>
      <c r="D7" s="74">
        <f>'Commodity Tonnages'!D7*Pricing!D7</f>
        <v>-615.8719798400001</v>
      </c>
      <c r="E7" s="74">
        <f>'Commodity Tonnages'!E7*Pricing!E7</f>
        <v>0</v>
      </c>
      <c r="F7" s="74">
        <f>'Commodity Tonnages'!F7*Pricing!F7</f>
        <v>610.9168131</v>
      </c>
      <c r="G7" s="74">
        <f>'Commodity Tonnages'!G7*Pricing!G7</f>
        <v>7185.865128</v>
      </c>
      <c r="H7" s="74">
        <f>'Commodity Tonnages'!H7*Pricing!H7</f>
        <v>10978.445646879998</v>
      </c>
      <c r="I7" s="74">
        <f>'Commodity Tonnages'!I7*Pricing!I7</f>
        <v>2135.5748071700004</v>
      </c>
      <c r="J7" s="74">
        <f>'Commodity Tonnages'!J7*Pricing!J7</f>
        <v>2135.5748071700004</v>
      </c>
      <c r="K7" s="74">
        <f>'Commodity Tonnages'!K7*Pricing!K7</f>
        <v>8506.3928598</v>
      </c>
      <c r="L7" s="74">
        <f>'Commodity Tonnages'!L7*Pricing!L7</f>
        <v>-3556.3419838600075</v>
      </c>
      <c r="M7" s="133">
        <f aca="true" t="shared" si="0" ref="M7:M17">SUM(C7:L7)</f>
        <v>31305.86262241999</v>
      </c>
      <c r="O7" s="98">
        <f aca="true" t="shared" si="1" ref="O7:O17">+M7-Q7</f>
        <v>15652.218422419992</v>
      </c>
      <c r="P7" s="160">
        <f aca="true" t="shared" si="2" ref="P7:P17">_xlfn.IFERROR(O7/M7,0)</f>
        <v>0.49997722826556157</v>
      </c>
      <c r="Q7" s="161">
        <f>'[3]Lynnwood SF Recycle Credits'!$L30</f>
        <v>15653.644199999999</v>
      </c>
      <c r="R7" s="134"/>
    </row>
    <row r="8" spans="1:18" ht="15.75" customHeight="1">
      <c r="A8" s="65">
        <f>+Pricing!A8</f>
        <v>41851</v>
      </c>
      <c r="B8" s="66"/>
      <c r="C8" s="71">
        <f>'Commodity Tonnages'!C8*Pricing!C8</f>
        <v>4386.397953</v>
      </c>
      <c r="D8" s="74">
        <f>'Commodity Tonnages'!D8*Pricing!D8</f>
        <v>-725.9365568000001</v>
      </c>
      <c r="E8" s="74">
        <f>'Commodity Tonnages'!E8*Pricing!E8</f>
        <v>0</v>
      </c>
      <c r="F8" s="74">
        <f>'Commodity Tonnages'!F8*Pricing!F8</f>
        <v>657.4288875000001</v>
      </c>
      <c r="G8" s="74">
        <f>'Commodity Tonnages'!G8*Pricing!G8</f>
        <v>7843.359615</v>
      </c>
      <c r="H8" s="74">
        <f>'Commodity Tonnages'!H8*Pricing!H8</f>
        <v>11895.204804559999</v>
      </c>
      <c r="I8" s="74">
        <f>'Commodity Tonnages'!I8*Pricing!I8</f>
        <v>2593.2666389700003</v>
      </c>
      <c r="J8" s="74">
        <f>'Commodity Tonnages'!J8*Pricing!J8</f>
        <v>2593.2666389700003</v>
      </c>
      <c r="K8" s="74">
        <f>'Commodity Tonnages'!K8*Pricing!K8</f>
        <v>9785.32310448</v>
      </c>
      <c r="L8" s="74">
        <f>'Commodity Tonnages'!L8*Pricing!L8</f>
        <v>-3849.936521060009</v>
      </c>
      <c r="M8" s="133">
        <f t="shared" si="0"/>
        <v>35178.37456461999</v>
      </c>
      <c r="O8" s="98">
        <f t="shared" si="1"/>
        <v>17589.88471461999</v>
      </c>
      <c r="P8" s="160">
        <f t="shared" si="2"/>
        <v>0.5000198255979313</v>
      </c>
      <c r="Q8" s="161">
        <f>'[3]Lynnwood SF Recycle Credits'!$L31</f>
        <v>17588.489849999998</v>
      </c>
      <c r="R8" s="134"/>
    </row>
    <row r="9" spans="1:18" ht="15.75" customHeight="1">
      <c r="A9" s="65">
        <f>+Pricing!A9</f>
        <v>41882</v>
      </c>
      <c r="B9" s="66"/>
      <c r="C9" s="71">
        <f>'Commodity Tonnages'!C9*Pricing!C9</f>
        <v>4158.69016725</v>
      </c>
      <c r="D9" s="74">
        <f>'Commodity Tonnages'!D9*Pricing!D9</f>
        <v>-750.2067237600002</v>
      </c>
      <c r="E9" s="74">
        <f>'Commodity Tonnages'!E9*Pricing!E9</f>
        <v>0</v>
      </c>
      <c r="F9" s="74">
        <f>'Commodity Tonnages'!F9*Pricing!F9</f>
        <v>588.8862243000001</v>
      </c>
      <c r="G9" s="74">
        <f>'Commodity Tonnages'!G9*Pricing!G9</f>
        <v>7001.363655000001</v>
      </c>
      <c r="H9" s="74">
        <f>'Commodity Tonnages'!H9*Pricing!H9</f>
        <v>10663.584234119999</v>
      </c>
      <c r="I9" s="74">
        <f>'Commodity Tonnages'!I9*Pricing!I9</f>
        <v>2366.431441605</v>
      </c>
      <c r="J9" s="74">
        <f>'Commodity Tonnages'!J9*Pricing!J9</f>
        <v>2366.431441605</v>
      </c>
      <c r="K9" s="74">
        <f>'Commodity Tonnages'!K9*Pricing!K9</f>
        <v>8593.687569059999</v>
      </c>
      <c r="L9" s="74">
        <f>'Commodity Tonnages'!L9*Pricing!L9</f>
        <v>-3471.612880770008</v>
      </c>
      <c r="M9" s="133">
        <f t="shared" si="0"/>
        <v>31517.25512840999</v>
      </c>
      <c r="O9" s="98">
        <f t="shared" si="1"/>
        <v>15759.74147840999</v>
      </c>
      <c r="P9" s="160">
        <f t="shared" si="2"/>
        <v>0.5000353429954625</v>
      </c>
      <c r="Q9" s="161">
        <f>'[3]Lynnwood SF Recycle Credits'!$L32</f>
        <v>15757.51365</v>
      </c>
      <c r="R9" s="134"/>
    </row>
    <row r="10" spans="1:18" ht="15.75" customHeight="1">
      <c r="A10" s="65">
        <f>+Pricing!A10</f>
        <v>41912</v>
      </c>
      <c r="B10" s="66"/>
      <c r="C10" s="71">
        <f>'Commodity Tonnages'!C10*Pricing!C10</f>
        <v>4468.486133999999</v>
      </c>
      <c r="D10" s="74">
        <f>'Commodity Tonnages'!D10*Pricing!D10</f>
        <v>237.97633600000003</v>
      </c>
      <c r="E10" s="74">
        <f>'Commodity Tonnages'!E10*Pricing!E10</f>
        <v>0</v>
      </c>
      <c r="F10" s="74">
        <f>'Commodity Tonnages'!F10*Pricing!F10</f>
        <v>655.2264873</v>
      </c>
      <c r="G10" s="74">
        <f>'Commodity Tonnages'!G10*Pricing!G10</f>
        <v>6764.154305999999</v>
      </c>
      <c r="H10" s="74">
        <f>'Commodity Tonnages'!H10*Pricing!H10</f>
        <v>10464.05256246</v>
      </c>
      <c r="I10" s="74">
        <f>'Commodity Tonnages'!I10*Pricing!I10</f>
        <v>2768.07542732</v>
      </c>
      <c r="J10" s="74">
        <f>'Commodity Tonnages'!J10*Pricing!J10</f>
        <v>2768.07542732</v>
      </c>
      <c r="K10" s="74">
        <f>'Commodity Tonnages'!K10*Pricing!K10</f>
        <v>8439.039710640001</v>
      </c>
      <c r="L10" s="74">
        <f>'Commodity Tonnages'!L10*Pricing!L10</f>
        <v>-3689.1721337000085</v>
      </c>
      <c r="M10" s="133">
        <f t="shared" si="0"/>
        <v>32875.91425733999</v>
      </c>
      <c r="O10" s="98">
        <f t="shared" si="1"/>
        <v>16438.939257339985</v>
      </c>
      <c r="P10" s="160">
        <f t="shared" si="2"/>
        <v>0.5000298738055557</v>
      </c>
      <c r="Q10" s="161">
        <f>'[3]Lynnwood SF Recycle Credits'!$L33</f>
        <v>16436.975000000002</v>
      </c>
      <c r="R10" s="134"/>
    </row>
    <row r="11" spans="1:18" ht="15.75" customHeight="1">
      <c r="A11" s="65">
        <f>+Pricing!A11</f>
        <v>41943</v>
      </c>
      <c r="B11" s="66"/>
      <c r="C11" s="71">
        <f>'Commodity Tonnages'!C11*Pricing!C11</f>
        <v>4215.561202125</v>
      </c>
      <c r="D11" s="74">
        <f>'Commodity Tonnages'!D11*Pricing!D11</f>
        <v>87.84323912</v>
      </c>
      <c r="E11" s="74">
        <f>'Commodity Tonnages'!E11*Pricing!E11</f>
        <v>0</v>
      </c>
      <c r="F11" s="74">
        <f>'Commodity Tonnages'!F11*Pricing!F11</f>
        <v>510.93417375000007</v>
      </c>
      <c r="G11" s="74">
        <f>'Commodity Tonnages'!G11*Pricing!G11</f>
        <v>6672.165249750001</v>
      </c>
      <c r="H11" s="74">
        <f>'Commodity Tonnages'!H11*Pricing!H11</f>
        <v>9766.595342139999</v>
      </c>
      <c r="I11" s="74">
        <f>'Commodity Tonnages'!I11*Pricing!I11</f>
        <v>2582.3781790625003</v>
      </c>
      <c r="J11" s="74">
        <f>'Commodity Tonnages'!J11*Pricing!J11</f>
        <v>2582.3781790625003</v>
      </c>
      <c r="K11" s="74">
        <f>'Commodity Tonnages'!K11*Pricing!K11</f>
        <v>8491.622048910001</v>
      </c>
      <c r="L11" s="74">
        <f>'Commodity Tonnages'!L11*Pricing!L11</f>
        <v>-3561.9715878500083</v>
      </c>
      <c r="M11" s="133">
        <f t="shared" si="0"/>
        <v>31347.506026069997</v>
      </c>
      <c r="O11" s="98">
        <f t="shared" si="1"/>
        <v>15674.709276069996</v>
      </c>
      <c r="P11" s="160">
        <f t="shared" si="2"/>
        <v>0.5000305052349046</v>
      </c>
      <c r="Q11" s="161">
        <f>'[3]Lynnwood SF Recycle Credits'!$L34</f>
        <v>15672.796750000001</v>
      </c>
      <c r="R11" s="134"/>
    </row>
    <row r="12" spans="1:18" ht="15.75" customHeight="1">
      <c r="A12" s="65">
        <f>+Pricing!A12</f>
        <v>41973</v>
      </c>
      <c r="B12" s="66"/>
      <c r="C12" s="71">
        <f>'Commodity Tonnages'!C12*Pricing!C12</f>
        <v>4050.2615999999994</v>
      </c>
      <c r="D12" s="74">
        <f>'Commodity Tonnages'!D12*Pricing!D12</f>
        <v>-228.930604448</v>
      </c>
      <c r="E12" s="74">
        <f>'Commodity Tonnages'!E12*Pricing!E12</f>
        <v>0</v>
      </c>
      <c r="F12" s="74">
        <f>'Commodity Tonnages'!F12*Pricing!F12</f>
        <v>382.29406677000003</v>
      </c>
      <c r="G12" s="74">
        <f>'Commodity Tonnages'!G12*Pricing!G12</f>
        <v>5449.6269827999995</v>
      </c>
      <c r="H12" s="74">
        <f>'Commodity Tonnages'!H12*Pricing!H12</f>
        <v>7951.569920251998</v>
      </c>
      <c r="I12" s="74">
        <f>'Commodity Tonnages'!I12*Pricing!I12</f>
        <v>2060.423153341</v>
      </c>
      <c r="J12" s="74">
        <f>'Commodity Tonnages'!J12*Pricing!J12</f>
        <v>2060.423153341</v>
      </c>
      <c r="K12" s="74">
        <f>'Commodity Tonnages'!K12*Pricing!K12</f>
        <v>7272.244702799999</v>
      </c>
      <c r="L12" s="74">
        <f>'Commodity Tonnages'!L12*Pricing!L12</f>
        <v>-3123.6463455400067</v>
      </c>
      <c r="M12" s="133">
        <f t="shared" si="0"/>
        <v>25874.26662931599</v>
      </c>
      <c r="O12" s="98">
        <f t="shared" si="1"/>
        <v>12936.95667931599</v>
      </c>
      <c r="P12" s="160">
        <f t="shared" si="2"/>
        <v>0.4999931733198651</v>
      </c>
      <c r="Q12" s="161">
        <f>'[3]Lynnwood SF Recycle Credits'!$L35</f>
        <v>12937.309949999999</v>
      </c>
      <c r="R12" s="134"/>
    </row>
    <row r="13" spans="1:18" ht="15.75" customHeight="1">
      <c r="A13" s="65">
        <f>+Pricing!A13</f>
        <v>42004</v>
      </c>
      <c r="B13" s="66"/>
      <c r="C13" s="71">
        <f>'Commodity Tonnages'!C13*Pricing!C13</f>
        <v>5425.150500000001</v>
      </c>
      <c r="D13" s="74">
        <f>'Commodity Tonnages'!D13*Pricing!D13</f>
        <v>-512.307812016</v>
      </c>
      <c r="E13" s="74">
        <f>'Commodity Tonnages'!E13*Pricing!E13</f>
        <v>0</v>
      </c>
      <c r="F13" s="74">
        <f>'Commodity Tonnages'!F13*Pricing!F13</f>
        <v>534.56241762</v>
      </c>
      <c r="G13" s="74">
        <f>'Commodity Tonnages'!G13*Pricing!G13</f>
        <v>7204.536038699999</v>
      </c>
      <c r="H13" s="74">
        <f>'Commodity Tonnages'!H13*Pricing!H13</f>
        <v>10507.742955863998</v>
      </c>
      <c r="I13" s="74">
        <f>'Commodity Tonnages'!I13*Pricing!I13</f>
        <v>2341.3226274900003</v>
      </c>
      <c r="J13" s="74">
        <f>'Commodity Tonnages'!J13*Pricing!J13</f>
        <v>2341.3226274900003</v>
      </c>
      <c r="K13" s="74">
        <f>'Commodity Tonnages'!K13*Pricing!K13</f>
        <v>9602.409158495999</v>
      </c>
      <c r="L13" s="74">
        <f>'Commodity Tonnages'!L13*Pricing!L13</f>
        <v>-4331.65959666001</v>
      </c>
      <c r="M13" s="133">
        <f t="shared" si="0"/>
        <v>33113.07891698399</v>
      </c>
      <c r="O13" s="98">
        <f t="shared" si="1"/>
        <v>16558.28416698399</v>
      </c>
      <c r="P13" s="160">
        <f t="shared" si="2"/>
        <v>0.5000526894069974</v>
      </c>
      <c r="Q13" s="161">
        <f>'[3]Lynnwood SF Recycle Credits'!$L36</f>
        <v>16554.79475</v>
      </c>
      <c r="R13" s="134"/>
    </row>
    <row r="14" spans="1:18" ht="15.75" customHeight="1">
      <c r="A14" s="65">
        <f>+Pricing!A14</f>
        <v>42035</v>
      </c>
      <c r="B14" s="66"/>
      <c r="C14" s="71">
        <f>'Commodity Tonnages'!C14*Pricing!C14</f>
        <v>4829.763749999999</v>
      </c>
      <c r="D14" s="74">
        <f>'Commodity Tonnages'!D14*Pricing!D14</f>
        <v>-404.97304119999995</v>
      </c>
      <c r="E14" s="74">
        <f>'Commodity Tonnages'!E14*Pricing!E14</f>
        <v>0</v>
      </c>
      <c r="F14" s="74">
        <f>'Commodity Tonnages'!F14*Pricing!F14</f>
        <v>509.417803125</v>
      </c>
      <c r="G14" s="74">
        <f>'Commodity Tonnages'!G14*Pricing!G14</f>
        <v>6710.253663750001</v>
      </c>
      <c r="H14" s="74">
        <f>'Commodity Tonnages'!H14*Pricing!H14</f>
        <v>9978.472870799998</v>
      </c>
      <c r="I14" s="74">
        <f>'Commodity Tonnages'!I14*Pricing!I14</f>
        <v>1705.7539521749998</v>
      </c>
      <c r="J14" s="74">
        <f>'Commodity Tonnages'!J14*Pricing!J14</f>
        <v>1705.7539521749998</v>
      </c>
      <c r="K14" s="74">
        <f>'Commodity Tonnages'!K14*Pricing!K14</f>
        <v>8886.26398275</v>
      </c>
      <c r="L14" s="74">
        <f>'Commodity Tonnages'!L14*Pricing!L14</f>
        <v>-4149.160662250009</v>
      </c>
      <c r="M14" s="133">
        <f t="shared" si="0"/>
        <v>29771.546271324987</v>
      </c>
      <c r="O14" s="98">
        <f t="shared" si="1"/>
        <v>14432.546271324987</v>
      </c>
      <c r="P14" s="160">
        <f t="shared" si="2"/>
        <v>0.48477650907994524</v>
      </c>
      <c r="Q14" s="161">
        <f>'[3]Lynnwood SF Recycle Credits'!$L37</f>
        <v>15339</v>
      </c>
      <c r="R14" s="134"/>
    </row>
    <row r="15" spans="1:18" ht="15.75" customHeight="1">
      <c r="A15" s="65">
        <f>+Pricing!A15</f>
        <v>42063</v>
      </c>
      <c r="B15" s="66"/>
      <c r="C15" s="71">
        <f>'Commodity Tonnages'!C15*Pricing!C15</f>
        <v>3812.5984097249993</v>
      </c>
      <c r="D15" s="74">
        <f>'Commodity Tonnages'!D15*Pricing!D15</f>
        <v>-747.7816076639999</v>
      </c>
      <c r="E15" s="74">
        <f>'Commodity Tonnages'!E15*Pricing!E15</f>
        <v>0</v>
      </c>
      <c r="F15" s="74">
        <f>'Commodity Tonnages'!F15*Pricing!F15</f>
        <v>299.356474725</v>
      </c>
      <c r="G15" s="74">
        <f>'Commodity Tonnages'!G15*Pricing!G15</f>
        <v>5295.688397999999</v>
      </c>
      <c r="H15" s="74">
        <f>'Commodity Tonnages'!H15*Pricing!H15</f>
        <v>7760.782944767998</v>
      </c>
      <c r="I15" s="74">
        <f>'Commodity Tonnages'!I15*Pricing!I15</f>
        <v>1085.9797900455</v>
      </c>
      <c r="J15" s="74">
        <f>'Commodity Tonnages'!J15*Pricing!J15</f>
        <v>1085.9797900455</v>
      </c>
      <c r="K15" s="74">
        <f>'Commodity Tonnages'!K15*Pricing!K15</f>
        <v>6073.618591656</v>
      </c>
      <c r="L15" s="74">
        <f>'Commodity Tonnages'!L15*Pricing!L15</f>
        <v>-3307.0004096700072</v>
      </c>
      <c r="M15" s="133">
        <f t="shared" si="0"/>
        <v>21359.222381630992</v>
      </c>
      <c r="O15" s="98">
        <f t="shared" si="1"/>
        <v>10679.611190815498</v>
      </c>
      <c r="P15" s="160">
        <f t="shared" si="2"/>
        <v>0.5000000000000001</v>
      </c>
      <c r="Q15" s="161">
        <f>'[3]Lynnwood SF Recycle Credits'!$L38</f>
        <v>10679.611190815494</v>
      </c>
      <c r="R15" s="134"/>
    </row>
    <row r="16" spans="1:18" ht="15.75" customHeight="1">
      <c r="A16" s="65">
        <f>+Pricing!A16</f>
        <v>42094</v>
      </c>
      <c r="B16" s="66"/>
      <c r="C16" s="71">
        <f>'Commodity Tonnages'!C16*Pricing!C16</f>
        <v>3890.8118287499997</v>
      </c>
      <c r="D16" s="74">
        <f>'Commodity Tonnages'!D16*Pricing!D16</f>
        <v>-457.54257640000003</v>
      </c>
      <c r="E16" s="74">
        <f>'Commodity Tonnages'!E16*Pricing!E16</f>
        <v>0</v>
      </c>
      <c r="F16" s="74">
        <f>'Commodity Tonnages'!F16*Pricing!F16</f>
        <v>326.814382125</v>
      </c>
      <c r="G16" s="74">
        <f>'Commodity Tonnages'!G16*Pricing!G16</f>
        <v>5821.752299999999</v>
      </c>
      <c r="H16" s="74">
        <f>'Commodity Tonnages'!H16*Pricing!H16</f>
        <v>8990.087179499998</v>
      </c>
      <c r="I16" s="74">
        <f>'Commodity Tonnages'!I16*Pricing!I16</f>
        <v>1334.075187025</v>
      </c>
      <c r="J16" s="74">
        <f>'Commodity Tonnages'!J16*Pricing!J16</f>
        <v>1334.075187025</v>
      </c>
      <c r="K16" s="74">
        <f>'Commodity Tonnages'!K16*Pricing!K16</f>
        <v>6369.92824545</v>
      </c>
      <c r="L16" s="74">
        <f>'Commodity Tonnages'!L16*Pricing!L16</f>
        <v>-3550.5698582500077</v>
      </c>
      <c r="M16" s="133">
        <f t="shared" si="0"/>
        <v>24059.431875224986</v>
      </c>
      <c r="O16" s="98">
        <f t="shared" si="1"/>
        <v>12028.944175224986</v>
      </c>
      <c r="P16" s="160">
        <f t="shared" si="2"/>
        <v>0.49996792266785395</v>
      </c>
      <c r="Q16" s="161">
        <f>'[3]Lynnwood SF Recycle Credits'!$L39</f>
        <v>12030.4877</v>
      </c>
      <c r="R16" s="134"/>
    </row>
    <row r="17" spans="1:18" ht="15.75" customHeight="1">
      <c r="A17" s="65">
        <f>+Pricing!A17</f>
        <v>42124</v>
      </c>
      <c r="B17" s="66"/>
      <c r="C17" s="71">
        <f>'Commodity Tonnages'!C17*Pricing!C17</f>
        <v>3632.4173271749996</v>
      </c>
      <c r="D17" s="74">
        <f>'Commodity Tonnages'!D17*Pricing!D17</f>
        <v>-1229.26934312</v>
      </c>
      <c r="E17" s="74">
        <f>'Commodity Tonnages'!E17*Pricing!E17</f>
        <v>0</v>
      </c>
      <c r="F17" s="74">
        <f>'Commodity Tonnages'!F17*Pricing!F17</f>
        <v>323.41377915</v>
      </c>
      <c r="G17" s="74">
        <f>'Commodity Tonnages'!G17*Pricing!G17</f>
        <v>5964.890499749999</v>
      </c>
      <c r="H17" s="74">
        <f>'Commodity Tonnages'!H17*Pricing!H17</f>
        <v>9005.965306379998</v>
      </c>
      <c r="I17" s="74">
        <f>'Commodity Tonnages'!I17*Pricing!I17</f>
        <v>1604.1412540544998</v>
      </c>
      <c r="J17" s="74">
        <f>'Commodity Tonnages'!J17*Pricing!J17</f>
        <v>1604.1412540544998</v>
      </c>
      <c r="K17" s="74">
        <f>'Commodity Tonnages'!K17*Pricing!K17</f>
        <v>7119.599803469999</v>
      </c>
      <c r="L17" s="74">
        <f>'Commodity Tonnages'!L17*Pricing!L17</f>
        <v>-3556.840809530008</v>
      </c>
      <c r="M17" s="133">
        <f t="shared" si="0"/>
        <v>24468.459071383986</v>
      </c>
      <c r="O17" s="98">
        <f t="shared" si="1"/>
        <v>12213.459071383986</v>
      </c>
      <c r="P17" s="160">
        <f t="shared" si="2"/>
        <v>0.49915113312826886</v>
      </c>
      <c r="Q17" s="161">
        <f>'[3]Lynnwood SF Recycle Credits'!$L40</f>
        <v>12255</v>
      </c>
      <c r="R17" s="134"/>
    </row>
    <row r="18" spans="1:19" ht="15.75" customHeight="1">
      <c r="A18" s="69" t="s">
        <v>32</v>
      </c>
      <c r="B18" s="66"/>
      <c r="C18" s="135">
        <f aca="true" t="shared" si="3" ref="C18:L18">SUM(C6:C17)</f>
        <v>50872.50616627499</v>
      </c>
      <c r="D18" s="136">
        <f t="shared" si="3"/>
        <v>-6700.372598608001</v>
      </c>
      <c r="E18" s="136">
        <f t="shared" si="3"/>
        <v>0</v>
      </c>
      <c r="F18" s="135">
        <f t="shared" si="3"/>
        <v>6066.468795915</v>
      </c>
      <c r="G18" s="135">
        <f t="shared" si="3"/>
        <v>79298.43785175</v>
      </c>
      <c r="H18" s="135">
        <f t="shared" si="3"/>
        <v>119333.04897374398</v>
      </c>
      <c r="I18" s="135">
        <f t="shared" si="3"/>
        <v>24718.0841592935</v>
      </c>
      <c r="J18" s="135">
        <f t="shared" si="3"/>
        <v>24718.0841592935</v>
      </c>
      <c r="K18" s="135">
        <f t="shared" si="3"/>
        <v>98084.885157072</v>
      </c>
      <c r="L18" s="136">
        <f t="shared" si="3"/>
        <v>-43741.3816550101</v>
      </c>
      <c r="M18" s="137">
        <f>SUM(C18:L18)</f>
        <v>352649.76100972487</v>
      </c>
      <c r="O18" s="138">
        <f>SUM(O6:O17)</f>
        <v>176023.48386890933</v>
      </c>
      <c r="P18" s="144">
        <f>+O18/M18</f>
        <v>0.4991453371892551</v>
      </c>
      <c r="Q18" s="138">
        <f>+M18-O18</f>
        <v>176626.27714081554</v>
      </c>
      <c r="S18" s="72"/>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5" right="0.5" top="0.75" bottom="0.75" header="0.5" footer="0.5"/>
  <pageSetup fitToHeight="0" fitToWidth="1"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D29" sqref="D29"/>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2014 through April 2015)</v>
      </c>
      <c r="B1" s="60"/>
    </row>
    <row r="2" spans="1:2" ht="12.75">
      <c r="A2" s="61" t="str">
        <f>'WUTC_AW of Lynnwood_SF'!A1</f>
        <v>Rabanco Ltd (dba Allied Waste of Lynnwood)</v>
      </c>
      <c r="B2" s="61"/>
    </row>
    <row r="3" spans="1:2" ht="12.75">
      <c r="A3" s="61"/>
      <c r="B3" s="61"/>
    </row>
    <row r="4" spans="1:2" ht="12.75">
      <c r="A4" s="61"/>
      <c r="B4" s="61"/>
    </row>
    <row r="5" spans="1:14" ht="12.75">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c r="A6" s="132">
        <f>'Single Family'!$C$6</f>
        <v>41760</v>
      </c>
      <c r="B6" s="66" t="s">
        <v>67</v>
      </c>
      <c r="C6" s="108">
        <f>'Single Family'!C32</f>
        <v>3.7820249999999995</v>
      </c>
      <c r="D6" s="109">
        <f>'Single Family'!C34</f>
        <v>89.154936</v>
      </c>
      <c r="E6" s="108">
        <f>'Single Family'!C35</f>
        <v>0</v>
      </c>
      <c r="F6" s="108">
        <f>'Single Family'!C30</f>
        <v>8.320455</v>
      </c>
      <c r="G6" s="108">
        <f>'Single Family'!C27</f>
        <v>98.33265</v>
      </c>
      <c r="H6" s="108">
        <f>'Single Family'!C37</f>
        <v>162.27408599999998</v>
      </c>
      <c r="I6" s="108">
        <f>'Single Family'!C31/2</f>
        <v>11.3208615</v>
      </c>
      <c r="J6" s="108">
        <f>'Single Family'!C31/2</f>
        <v>11.3208615</v>
      </c>
      <c r="K6" s="108">
        <f>'Single Family'!C28</f>
        <v>89.860914</v>
      </c>
      <c r="L6" s="108">
        <f>'Single Family'!C36</f>
        <v>29.903211000000066</v>
      </c>
      <c r="M6" s="64"/>
      <c r="N6" s="139">
        <f aca="true" t="shared" si="0" ref="N6:N17">SUM(C6:L6)</f>
        <v>504.27</v>
      </c>
      <c r="O6" s="75"/>
      <c r="P6" s="68"/>
    </row>
    <row r="7" spans="1:16" ht="15.75" customHeight="1">
      <c r="A7" s="65">
        <f aca="true" t="shared" si="1" ref="A7:A17">EOMONTH(A6,1)</f>
        <v>41820</v>
      </c>
      <c r="B7" s="66" t="s">
        <v>68</v>
      </c>
      <c r="C7" s="108">
        <f>'Single Family'!D32</f>
        <v>3.74295</v>
      </c>
      <c r="D7" s="109">
        <f>'Single Family'!D34</f>
        <v>88.23380800000001</v>
      </c>
      <c r="E7" s="108">
        <f>'Single Family'!D35</f>
        <v>0</v>
      </c>
      <c r="F7" s="108">
        <f>'Single Family'!D30</f>
        <v>8.234490000000001</v>
      </c>
      <c r="G7" s="108">
        <f>'Single Family'!D27</f>
        <v>97.3167</v>
      </c>
      <c r="H7" s="108">
        <f>'Single Family'!D37</f>
        <v>160.59750799999998</v>
      </c>
      <c r="I7" s="108">
        <f>'Single Family'!D31/2</f>
        <v>11.203897000000001</v>
      </c>
      <c r="J7" s="108">
        <f>'Single Family'!D31/2</f>
        <v>11.203897000000001</v>
      </c>
      <c r="K7" s="108">
        <f>'Single Family'!D28</f>
        <v>88.932492</v>
      </c>
      <c r="L7" s="108">
        <f>'Single Family'!D36</f>
        <v>29.594258000000064</v>
      </c>
      <c r="M7" s="64"/>
      <c r="N7" s="139">
        <f t="shared" si="0"/>
        <v>499.06000000000006</v>
      </c>
      <c r="P7" s="68"/>
    </row>
    <row r="8" spans="1:16" ht="15.75" customHeight="1">
      <c r="A8" s="65">
        <f t="shared" si="1"/>
        <v>41851</v>
      </c>
      <c r="B8" s="66" t="s">
        <v>69</v>
      </c>
      <c r="C8" s="108">
        <f>'Single Family'!E32</f>
        <v>4.05195</v>
      </c>
      <c r="D8" s="109">
        <f>'Single Family'!E34</f>
        <v>95.51796800000001</v>
      </c>
      <c r="E8" s="108">
        <f>'Single Family'!E35</f>
        <v>0</v>
      </c>
      <c r="F8" s="108">
        <f>'Single Family'!E30</f>
        <v>8.914290000000001</v>
      </c>
      <c r="G8" s="108">
        <f>'Single Family'!E27</f>
        <v>105.3507</v>
      </c>
      <c r="H8" s="108">
        <f>'Single Family'!E37</f>
        <v>173.85566799999998</v>
      </c>
      <c r="I8" s="108">
        <f>'Single Family'!E31/2</f>
        <v>12.128837</v>
      </c>
      <c r="J8" s="108">
        <f>'Single Family'!E31/2</f>
        <v>12.128837</v>
      </c>
      <c r="K8" s="108">
        <f>'Single Family'!E28</f>
        <v>96.274332</v>
      </c>
      <c r="L8" s="108">
        <f>'Single Family'!E36</f>
        <v>32.03741800000007</v>
      </c>
      <c r="M8" s="64"/>
      <c r="N8" s="139">
        <f t="shared" si="0"/>
        <v>540.2600000000001</v>
      </c>
      <c r="P8" s="68"/>
    </row>
    <row r="9" spans="1:16" ht="15.75" customHeight="1">
      <c r="A9" s="65">
        <f t="shared" si="1"/>
        <v>41882</v>
      </c>
      <c r="B9" s="66" t="s">
        <v>70</v>
      </c>
      <c r="C9" s="108">
        <f>'Single Family'!F32</f>
        <v>3.653775</v>
      </c>
      <c r="D9" s="109">
        <f>'Single Family'!F34</f>
        <v>86.131656</v>
      </c>
      <c r="E9" s="108">
        <f>'Single Family'!F35</f>
        <v>0</v>
      </c>
      <c r="F9" s="108">
        <f>'Single Family'!F30</f>
        <v>8.038305000000001</v>
      </c>
      <c r="G9" s="108">
        <f>'Single Family'!F27</f>
        <v>94.99815000000001</v>
      </c>
      <c r="H9" s="108">
        <f>'Single Family'!F37</f>
        <v>156.77130599999998</v>
      </c>
      <c r="I9" s="108">
        <f>'Single Family'!F31/2</f>
        <v>10.9369665</v>
      </c>
      <c r="J9" s="108">
        <f>'Single Family'!F31/2</f>
        <v>10.9369665</v>
      </c>
      <c r="K9" s="108">
        <f>'Single Family'!F28</f>
        <v>86.813694</v>
      </c>
      <c r="L9" s="108">
        <f>'Single Family'!F36</f>
        <v>28.889181000000065</v>
      </c>
      <c r="M9" s="64"/>
      <c r="N9" s="139">
        <f t="shared" si="0"/>
        <v>487.17</v>
      </c>
      <c r="P9" s="68"/>
    </row>
    <row r="10" spans="1:16" ht="15.75" customHeight="1">
      <c r="A10" s="65">
        <f t="shared" si="1"/>
        <v>41912</v>
      </c>
      <c r="B10" s="66" t="s">
        <v>71</v>
      </c>
      <c r="C10" s="108">
        <f>'Single Family'!G32</f>
        <v>3.88275</v>
      </c>
      <c r="D10" s="109">
        <f>'Single Family'!G34</f>
        <v>91.52936000000001</v>
      </c>
      <c r="E10" s="108">
        <f>'Single Family'!G35</f>
        <v>0</v>
      </c>
      <c r="F10" s="108">
        <f>'Single Family'!G30</f>
        <v>8.542050000000001</v>
      </c>
      <c r="G10" s="108">
        <f>'Single Family'!G27</f>
        <v>100.95150000000001</v>
      </c>
      <c r="H10" s="108">
        <f>'Single Family'!G37</f>
        <v>166.59586</v>
      </c>
      <c r="I10" s="108">
        <f>'Single Family'!G31/2</f>
        <v>11.622365000000002</v>
      </c>
      <c r="J10" s="108">
        <f>'Single Family'!G31/2</f>
        <v>11.622365000000002</v>
      </c>
      <c r="K10" s="108">
        <f>'Single Family'!G28</f>
        <v>92.25414</v>
      </c>
      <c r="L10" s="108">
        <f>'Single Family'!G36</f>
        <v>30.69961000000007</v>
      </c>
      <c r="M10" s="64"/>
      <c r="N10" s="139">
        <f t="shared" si="0"/>
        <v>517.7000000000002</v>
      </c>
      <c r="P10" s="68"/>
    </row>
    <row r="11" spans="1:16" ht="15.75" customHeight="1">
      <c r="A11" s="65">
        <f t="shared" si="1"/>
        <v>41943</v>
      </c>
      <c r="B11" s="66" t="s">
        <v>72</v>
      </c>
      <c r="C11" s="108">
        <f>'Single Family'!H32</f>
        <v>3.748875</v>
      </c>
      <c r="D11" s="109">
        <f>'Single Family'!H34</f>
        <v>88.37348000000001</v>
      </c>
      <c r="E11" s="108">
        <f>'Single Family'!H35</f>
        <v>0</v>
      </c>
      <c r="F11" s="108">
        <f>'Single Family'!H30</f>
        <v>8.247525000000001</v>
      </c>
      <c r="G11" s="108">
        <f>'Single Family'!H27</f>
        <v>97.47075000000001</v>
      </c>
      <c r="H11" s="108">
        <f>'Single Family'!H37</f>
        <v>160.85173</v>
      </c>
      <c r="I11" s="108">
        <f>'Single Family'!H31/2</f>
        <v>11.221632500000002</v>
      </c>
      <c r="J11" s="108">
        <f>'Single Family'!H31/2</f>
        <v>11.221632500000002</v>
      </c>
      <c r="K11" s="108">
        <f>'Single Family'!H28</f>
        <v>89.07327000000001</v>
      </c>
      <c r="L11" s="108">
        <f>'Single Family'!H36</f>
        <v>29.641105000000067</v>
      </c>
      <c r="M11" s="64"/>
      <c r="N11" s="139">
        <f t="shared" si="0"/>
        <v>499.85</v>
      </c>
      <c r="P11" s="68"/>
    </row>
    <row r="12" spans="1:16" ht="15.75" customHeight="1">
      <c r="A12" s="65">
        <f t="shared" si="1"/>
        <v>41973</v>
      </c>
      <c r="B12" s="66" t="s">
        <v>73</v>
      </c>
      <c r="C12" s="108">
        <f>'Single Family'!I32</f>
        <v>3.2875499999999995</v>
      </c>
      <c r="D12" s="109">
        <f>'Single Family'!I34</f>
        <v>77.498512</v>
      </c>
      <c r="E12" s="108">
        <f>'Single Family'!I35</f>
        <v>0</v>
      </c>
      <c r="F12" s="108">
        <f>'Single Family'!I30</f>
        <v>7.23261</v>
      </c>
      <c r="G12" s="108">
        <f>'Single Family'!I27</f>
        <v>85.4763</v>
      </c>
      <c r="H12" s="108">
        <f>'Single Family'!I37</f>
        <v>141.05781199999998</v>
      </c>
      <c r="I12" s="108">
        <f>'Single Family'!I31/2</f>
        <v>9.840733</v>
      </c>
      <c r="J12" s="108">
        <f>'Single Family'!I31/2</f>
        <v>9.840733</v>
      </c>
      <c r="K12" s="108">
        <f>'Single Family'!I28</f>
        <v>78.11218799999999</v>
      </c>
      <c r="L12" s="108">
        <f>'Single Family'!I36</f>
        <v>25.993562000000054</v>
      </c>
      <c r="M12" s="64"/>
      <c r="N12" s="139">
        <f t="shared" si="0"/>
        <v>438.34000000000003</v>
      </c>
      <c r="P12" s="68"/>
    </row>
    <row r="13" spans="1:16" ht="15.75" customHeight="1">
      <c r="A13" s="65">
        <f t="shared" si="1"/>
        <v>42004</v>
      </c>
      <c r="B13" s="66" t="s">
        <v>74</v>
      </c>
      <c r="C13" s="108">
        <f>'Single Family'!J32</f>
        <v>4.55895</v>
      </c>
      <c r="D13" s="109">
        <f>'Single Family'!J34</f>
        <v>107.469648</v>
      </c>
      <c r="E13" s="108">
        <f>'Single Family'!J35</f>
        <v>0</v>
      </c>
      <c r="F13" s="108">
        <f>'Single Family'!J30</f>
        <v>10.02969</v>
      </c>
      <c r="G13" s="108">
        <f>'Single Family'!J27</f>
        <v>118.5327</v>
      </c>
      <c r="H13" s="108">
        <f>'Single Family'!J37</f>
        <v>195.60934799999998</v>
      </c>
      <c r="I13" s="108">
        <f>'Single Family'!J31/2</f>
        <v>13.646457000000002</v>
      </c>
      <c r="J13" s="108">
        <f>'Single Family'!J31/2</f>
        <v>13.646457000000002</v>
      </c>
      <c r="K13" s="108">
        <f>'Single Family'!J28</f>
        <v>108.320652</v>
      </c>
      <c r="L13" s="108">
        <f>'Single Family'!J36</f>
        <v>36.04609800000008</v>
      </c>
      <c r="M13" s="64"/>
      <c r="N13" s="139">
        <f t="shared" si="0"/>
        <v>607.86</v>
      </c>
      <c r="P13" s="68"/>
    </row>
    <row r="14" spans="1:16" ht="15.75" customHeight="1">
      <c r="A14" s="65">
        <f t="shared" si="1"/>
        <v>42035</v>
      </c>
      <c r="B14" s="66" t="s">
        <v>75</v>
      </c>
      <c r="C14" s="108">
        <f>'Single Family'!K32</f>
        <v>4.366874999999999</v>
      </c>
      <c r="D14" s="109">
        <f>'Single Family'!K34</f>
        <v>102.9418</v>
      </c>
      <c r="E14" s="108">
        <f>'Single Family'!K35</f>
        <v>0</v>
      </c>
      <c r="F14" s="108">
        <f>'Single Family'!K30</f>
        <v>9.607125</v>
      </c>
      <c r="G14" s="108">
        <f>'Single Family'!K27</f>
        <v>113.53875000000001</v>
      </c>
      <c r="H14" s="108">
        <f>'Single Family'!K37</f>
        <v>187.36804999999998</v>
      </c>
      <c r="I14" s="108">
        <f>'Single Family'!K31/2</f>
        <v>13.0715125</v>
      </c>
      <c r="J14" s="108">
        <f>'Single Family'!K31/2</f>
        <v>13.0715125</v>
      </c>
      <c r="K14" s="108">
        <f>'Single Family'!K28</f>
        <v>103.75695</v>
      </c>
      <c r="L14" s="108">
        <f>'Single Family'!K36</f>
        <v>34.52742500000008</v>
      </c>
      <c r="M14" s="64"/>
      <c r="N14" s="139">
        <f t="shared" si="0"/>
        <v>582.25</v>
      </c>
      <c r="P14" s="68"/>
    </row>
    <row r="15" spans="1:16" ht="15.75" customHeight="1">
      <c r="A15" s="65">
        <f t="shared" si="1"/>
        <v>42063</v>
      </c>
      <c r="B15" s="66" t="s">
        <v>76</v>
      </c>
      <c r="C15" s="108">
        <f>'Single Family'!L32</f>
        <v>3.4805249999999996</v>
      </c>
      <c r="D15" s="109">
        <f>'Single Family'!L34</f>
        <v>82.047576</v>
      </c>
      <c r="E15" s="108">
        <f>'Single Family'!L35</f>
        <v>0</v>
      </c>
      <c r="F15" s="108">
        <f>'Single Family'!L30</f>
        <v>7.657155</v>
      </c>
      <c r="G15" s="108">
        <f>'Single Family'!L27</f>
        <v>90.49365</v>
      </c>
      <c r="H15" s="108">
        <f>'Single Family'!L37</f>
        <v>149.33772599999998</v>
      </c>
      <c r="I15" s="108">
        <f>'Single Family'!L31/2</f>
        <v>10.418371500000001</v>
      </c>
      <c r="J15" s="108">
        <f>'Single Family'!L31/2</f>
        <v>10.418371500000001</v>
      </c>
      <c r="K15" s="108">
        <f>'Single Family'!L28</f>
        <v>82.697274</v>
      </c>
      <c r="L15" s="108">
        <f>'Single Family'!L36</f>
        <v>27.51935100000006</v>
      </c>
      <c r="M15" s="64"/>
      <c r="N15" s="139">
        <f t="shared" si="0"/>
        <v>464.07</v>
      </c>
      <c r="P15" s="68"/>
    </row>
    <row r="16" spans="1:16" ht="15.75" customHeight="1">
      <c r="A16" s="65">
        <f t="shared" si="1"/>
        <v>42094</v>
      </c>
      <c r="B16" s="66" t="s">
        <v>77</v>
      </c>
      <c r="C16" s="108">
        <f>'Single Family'!M32</f>
        <v>3.736875</v>
      </c>
      <c r="D16" s="109">
        <f>'Single Family'!M34</f>
        <v>88.09060000000001</v>
      </c>
      <c r="E16" s="108">
        <f>'Single Family'!M35</f>
        <v>0</v>
      </c>
      <c r="F16" s="108">
        <f>'Single Family'!M30</f>
        <v>8.221125</v>
      </c>
      <c r="G16" s="108">
        <f>'Single Family'!M27</f>
        <v>97.15875</v>
      </c>
      <c r="H16" s="108">
        <f>'Single Family'!M37</f>
        <v>160.33685</v>
      </c>
      <c r="I16" s="108">
        <f>'Single Family'!M31/2</f>
        <v>11.185712500000001</v>
      </c>
      <c r="J16" s="108">
        <f>'Single Family'!M31/2</f>
        <v>11.185712500000001</v>
      </c>
      <c r="K16" s="108">
        <f>'Single Family'!M28</f>
        <v>88.78815</v>
      </c>
      <c r="L16" s="108">
        <f>'Single Family'!M36</f>
        <v>29.546225000000064</v>
      </c>
      <c r="M16" s="64"/>
      <c r="N16" s="139">
        <f t="shared" si="0"/>
        <v>498.2500000000001</v>
      </c>
      <c r="P16" s="68"/>
    </row>
    <row r="17" spans="1:16" ht="15.75" customHeight="1">
      <c r="A17" s="65">
        <f t="shared" si="1"/>
        <v>42124</v>
      </c>
      <c r="B17" s="66" t="s">
        <v>78</v>
      </c>
      <c r="C17" s="108">
        <f>'Single Family'!N32</f>
        <v>3.7434749999999997</v>
      </c>
      <c r="D17" s="109">
        <f>'Single Family'!N34</f>
        <v>88.246184</v>
      </c>
      <c r="E17" s="108">
        <f>'Single Family'!N35</f>
        <v>0</v>
      </c>
      <c r="F17" s="108">
        <f>'Single Family'!N30</f>
        <v>8.235645</v>
      </c>
      <c r="G17" s="108">
        <f>'Single Family'!N27</f>
        <v>97.33035</v>
      </c>
      <c r="H17" s="108">
        <f>'Single Family'!N37</f>
        <v>160.62003399999998</v>
      </c>
      <c r="I17" s="108">
        <f>'Single Family'!N31/2</f>
        <v>11.2054685</v>
      </c>
      <c r="J17" s="108">
        <f>'Single Family'!N31/2</f>
        <v>11.2054685</v>
      </c>
      <c r="K17" s="108">
        <f>'Single Family'!N28</f>
        <v>88.944966</v>
      </c>
      <c r="L17" s="108">
        <f>'Single Family'!N36</f>
        <v>29.598409000000064</v>
      </c>
      <c r="M17" s="64"/>
      <c r="N17" s="139">
        <f t="shared" si="0"/>
        <v>499.13</v>
      </c>
      <c r="P17" s="68"/>
    </row>
    <row r="18" spans="1:15" ht="15.75" customHeight="1">
      <c r="A18" s="69" t="s">
        <v>32</v>
      </c>
      <c r="B18" s="66"/>
      <c r="C18" s="140">
        <f aca="true" t="shared" si="2" ref="C18:L18">SUM(C6:C17)</f>
        <v>46.03657499999999</v>
      </c>
      <c r="D18" s="140">
        <f t="shared" si="2"/>
        <v>1085.2355280000002</v>
      </c>
      <c r="E18" s="140">
        <f t="shared" si="2"/>
        <v>0</v>
      </c>
      <c r="F18" s="140">
        <f t="shared" si="2"/>
        <v>101.28046500000002</v>
      </c>
      <c r="G18" s="140">
        <f t="shared" si="2"/>
        <v>1196.9509500000001</v>
      </c>
      <c r="H18" s="140">
        <f t="shared" si="2"/>
        <v>1975.275978</v>
      </c>
      <c r="I18" s="140">
        <f t="shared" si="2"/>
        <v>137.8028145</v>
      </c>
      <c r="J18" s="140">
        <f t="shared" si="2"/>
        <v>137.8028145</v>
      </c>
      <c r="K18" s="140">
        <f t="shared" si="2"/>
        <v>1093.829022</v>
      </c>
      <c r="L18" s="140">
        <f t="shared" si="2"/>
        <v>363.9958530000008</v>
      </c>
      <c r="M18" s="64"/>
      <c r="N18" s="141">
        <f>SUM(N6:N17)</f>
        <v>6138.21</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PageLayoutView="0" workbookViewId="0" topLeftCell="A1">
      <selection activeCell="L13" sqref="L13"/>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2014 through April 2015)</v>
      </c>
      <c r="B1" s="60"/>
    </row>
    <row r="2" spans="1:2" ht="12.75">
      <c r="A2" s="61" t="str">
        <f>Value!A2</f>
        <v>Rabanco Ltd (dba Allied Waste of Lynnwood)</v>
      </c>
      <c r="B2" s="61"/>
    </row>
    <row r="3" spans="1:2" ht="12.75">
      <c r="A3" s="61"/>
      <c r="B3" s="61"/>
    </row>
    <row r="4" spans="1:2" ht="12.75">
      <c r="A4" s="61"/>
      <c r="B4" s="61"/>
    </row>
    <row r="5" spans="2:13" ht="12.75">
      <c r="B5" s="70"/>
      <c r="C5" s="63" t="s">
        <v>21</v>
      </c>
      <c r="D5" s="63" t="s">
        <v>22</v>
      </c>
      <c r="E5" s="63" t="s">
        <v>33</v>
      </c>
      <c r="F5" s="63" t="s">
        <v>23</v>
      </c>
      <c r="G5" s="63" t="s">
        <v>24</v>
      </c>
      <c r="H5" s="63" t="s">
        <v>25</v>
      </c>
      <c r="I5" s="63" t="s">
        <v>26</v>
      </c>
      <c r="J5" s="63" t="s">
        <v>27</v>
      </c>
      <c r="K5" s="63" t="s">
        <v>28</v>
      </c>
      <c r="L5" s="63" t="s">
        <v>29</v>
      </c>
      <c r="M5" s="63"/>
    </row>
    <row r="6" spans="1:13" ht="15.75" customHeight="1">
      <c r="A6" s="132">
        <f>'Single Family'!$C$6</f>
        <v>41760</v>
      </c>
      <c r="B6" s="66" t="s">
        <v>67</v>
      </c>
      <c r="C6" s="106">
        <f>'Single Family'!C74</f>
        <v>1078.01</v>
      </c>
      <c r="D6" s="107">
        <f>'Single Family'!C76</f>
        <v>-15.18</v>
      </c>
      <c r="E6" s="107">
        <f>'Single Family'!C77</f>
        <v>-120.17</v>
      </c>
      <c r="F6" s="108">
        <f>'Single Family'!C72</f>
        <v>80.19</v>
      </c>
      <c r="G6" s="106">
        <f>'Single Family'!C69</f>
        <v>75.1</v>
      </c>
      <c r="H6" s="106">
        <f>'Single Family'!C79</f>
        <v>70.07</v>
      </c>
      <c r="I6" s="106">
        <f>'Single Family'!C73</f>
        <v>189.09</v>
      </c>
      <c r="J6" s="106">
        <f>'Single Family'!C73</f>
        <v>189.09</v>
      </c>
      <c r="K6" s="106">
        <f>'Single Family'!C70</f>
        <v>99.54</v>
      </c>
      <c r="L6" s="107">
        <f>'Single Family'!C78</f>
        <v>-120.17</v>
      </c>
      <c r="M6" s="70"/>
    </row>
    <row r="7" spans="1:13" ht="15.75" customHeight="1">
      <c r="A7" s="65">
        <f>+'Commodity Tonnages'!A7</f>
        <v>41820</v>
      </c>
      <c r="B7" s="66" t="s">
        <v>68</v>
      </c>
      <c r="C7" s="106">
        <f>'Single Family'!D74</f>
        <v>1048.72</v>
      </c>
      <c r="D7" s="107">
        <f>'Single Family'!D76</f>
        <v>-6.98</v>
      </c>
      <c r="E7" s="107">
        <f>'Single Family'!D77</f>
        <v>-120.17</v>
      </c>
      <c r="F7" s="108">
        <f>'Single Family'!D72</f>
        <v>74.19</v>
      </c>
      <c r="G7" s="106">
        <f>'Single Family'!D69</f>
        <v>73.84</v>
      </c>
      <c r="H7" s="106">
        <f>'Single Family'!D79</f>
        <v>68.36</v>
      </c>
      <c r="I7" s="106">
        <f>'Single Family'!D73</f>
        <v>190.61</v>
      </c>
      <c r="J7" s="106">
        <f>'Single Family'!D73</f>
        <v>190.61</v>
      </c>
      <c r="K7" s="106">
        <f>'Single Family'!D70</f>
        <v>95.65</v>
      </c>
      <c r="L7" s="107">
        <f>'Single Family'!D78</f>
        <v>-120.17</v>
      </c>
      <c r="M7" s="70"/>
    </row>
    <row r="8" spans="1:13" ht="15.75" customHeight="1">
      <c r="A8" s="65">
        <f>+'Commodity Tonnages'!A8</f>
        <v>41851</v>
      </c>
      <c r="B8" s="66" t="s">
        <v>69</v>
      </c>
      <c r="C8" s="106">
        <f>'Single Family'!E74</f>
        <v>1082.54</v>
      </c>
      <c r="D8" s="107">
        <f>'Single Family'!E76</f>
        <v>-7.6</v>
      </c>
      <c r="E8" s="107">
        <f>'Single Family'!E77</f>
        <v>-120.17</v>
      </c>
      <c r="F8" s="108">
        <f>'Single Family'!E72</f>
        <v>73.75</v>
      </c>
      <c r="G8" s="106">
        <f>'Single Family'!E69</f>
        <v>74.45</v>
      </c>
      <c r="H8" s="106">
        <f>'Single Family'!E79</f>
        <v>68.42</v>
      </c>
      <c r="I8" s="106">
        <f>'Single Family'!E73</f>
        <v>213.81</v>
      </c>
      <c r="J8" s="106">
        <f>'Single Family'!E73</f>
        <v>213.81</v>
      </c>
      <c r="K8" s="106">
        <f>'Single Family'!E70</f>
        <v>101.64</v>
      </c>
      <c r="L8" s="107">
        <f>'Single Family'!E78</f>
        <v>-120.17</v>
      </c>
      <c r="M8" s="67"/>
    </row>
    <row r="9" spans="1:13" ht="15.75" customHeight="1">
      <c r="A9" s="65">
        <f>+'Commodity Tonnages'!A9</f>
        <v>41882</v>
      </c>
      <c r="B9" s="66" t="s">
        <v>70</v>
      </c>
      <c r="C9" s="106">
        <f>'Single Family'!F74</f>
        <v>1138.19</v>
      </c>
      <c r="D9" s="107">
        <f>'Single Family'!F76</f>
        <v>-8.71</v>
      </c>
      <c r="E9" s="107">
        <f>'Single Family'!F77</f>
        <v>-120.17</v>
      </c>
      <c r="F9" s="108">
        <f>'Single Family'!F72</f>
        <v>73.26</v>
      </c>
      <c r="G9" s="106">
        <f>'Single Family'!F69</f>
        <v>73.7</v>
      </c>
      <c r="H9" s="106">
        <f>'Single Family'!F79</f>
        <v>68.02</v>
      </c>
      <c r="I9" s="106">
        <f>'Single Family'!F73</f>
        <v>216.37</v>
      </c>
      <c r="J9" s="106">
        <f>'Single Family'!F73</f>
        <v>216.37</v>
      </c>
      <c r="K9" s="106">
        <f>'Single Family'!F70</f>
        <v>98.99</v>
      </c>
      <c r="L9" s="107">
        <f>'Single Family'!F78</f>
        <v>-120.17</v>
      </c>
      <c r="M9" s="67"/>
    </row>
    <row r="10" spans="1:13" ht="15.75" customHeight="1">
      <c r="A10" s="65">
        <f>+'Commodity Tonnages'!A10</f>
        <v>41912</v>
      </c>
      <c r="B10" s="66" t="s">
        <v>71</v>
      </c>
      <c r="C10" s="106">
        <f>'Single Family'!G74</f>
        <v>1150.8559999999998</v>
      </c>
      <c r="D10" s="107">
        <f>'Single Family'!G76</f>
        <v>2.6</v>
      </c>
      <c r="E10" s="107">
        <f>'Single Family'!G77</f>
        <v>-120.17</v>
      </c>
      <c r="F10" s="108">
        <f>'Single Family'!G72</f>
        <v>76.70599999999999</v>
      </c>
      <c r="G10" s="106">
        <f>'Single Family'!G69</f>
        <v>67.00399999999999</v>
      </c>
      <c r="H10" s="106">
        <f>'Single Family'!G79</f>
        <v>62.811</v>
      </c>
      <c r="I10" s="106">
        <f>'Single Family'!G73</f>
        <v>238.16799999999998</v>
      </c>
      <c r="J10" s="106">
        <f>'Single Family'!G73</f>
        <v>238.16799999999998</v>
      </c>
      <c r="K10" s="106">
        <f>'Single Family'!G70</f>
        <v>91.476</v>
      </c>
      <c r="L10" s="107">
        <f>'Single Family'!G78</f>
        <v>-120.17</v>
      </c>
      <c r="M10" s="67"/>
    </row>
    <row r="11" spans="1:13" ht="15.75" customHeight="1">
      <c r="A11" s="65">
        <f>+'Commodity Tonnages'!A11</f>
        <v>41943</v>
      </c>
      <c r="B11" s="66" t="s">
        <v>72</v>
      </c>
      <c r="C11" s="106">
        <f>'Single Family'!H74</f>
        <v>1124.487</v>
      </c>
      <c r="D11" s="107">
        <f>'Single Family'!H76</f>
        <v>0.9939999999999999</v>
      </c>
      <c r="E11" s="107">
        <f>'Single Family'!H77</f>
        <v>-120.17</v>
      </c>
      <c r="F11" s="108">
        <f>'Single Family'!H72</f>
        <v>61.949999999999996</v>
      </c>
      <c r="G11" s="106">
        <f>'Single Family'!H69</f>
        <v>68.453</v>
      </c>
      <c r="H11" s="106">
        <f>'Single Family'!H79</f>
        <v>60.71799999999999</v>
      </c>
      <c r="I11" s="106">
        <f>'Single Family'!H73</f>
        <v>230.12499999999997</v>
      </c>
      <c r="J11" s="106">
        <f>'Single Family'!H73</f>
        <v>230.12499999999997</v>
      </c>
      <c r="K11" s="106">
        <f>'Single Family'!H70</f>
        <v>95.333</v>
      </c>
      <c r="L11" s="107">
        <f>'Single Family'!H78</f>
        <v>-120.17</v>
      </c>
      <c r="M11" s="67"/>
    </row>
    <row r="12" spans="1:13" ht="15.75" customHeight="1">
      <c r="A12" s="65">
        <f>+'Commodity Tonnages'!A12</f>
        <v>41973</v>
      </c>
      <c r="B12" s="66" t="s">
        <v>73</v>
      </c>
      <c r="C12" s="106">
        <f>'Single Family'!I74</f>
        <v>1232</v>
      </c>
      <c r="D12" s="107">
        <f>'Single Family'!I76</f>
        <v>-2.9539999999999997</v>
      </c>
      <c r="E12" s="107">
        <f>'Single Family'!I77</f>
        <v>-120.17</v>
      </c>
      <c r="F12" s="108">
        <f>'Single Family'!I72</f>
        <v>52.857</v>
      </c>
      <c r="G12" s="106">
        <f>'Single Family'!I69</f>
        <v>63.75599999999999</v>
      </c>
      <c r="H12" s="106">
        <f>'Single Family'!I79</f>
        <v>56.370999999999995</v>
      </c>
      <c r="I12" s="106">
        <f>'Single Family'!I73</f>
        <v>209.377</v>
      </c>
      <c r="J12" s="106">
        <f>'Single Family'!I73</f>
        <v>209.377</v>
      </c>
      <c r="K12" s="106">
        <f>'Single Family'!I70</f>
        <v>93.1</v>
      </c>
      <c r="L12" s="107">
        <f>'Single Family'!I78</f>
        <v>-120.17</v>
      </c>
      <c r="M12" s="67"/>
    </row>
    <row r="13" spans="1:13" ht="15.75" customHeight="1">
      <c r="A13" s="65">
        <f>+'Commodity Tonnages'!A13</f>
        <v>42004</v>
      </c>
      <c r="B13" s="66" t="s">
        <v>74</v>
      </c>
      <c r="C13" s="106">
        <f>'Single Family'!J74</f>
        <v>1190</v>
      </c>
      <c r="D13" s="107">
        <f>'Single Family'!J76</f>
        <v>-4.7669999999999995</v>
      </c>
      <c r="E13" s="107">
        <f>'Single Family'!J77</f>
        <v>-120.17</v>
      </c>
      <c r="F13" s="108">
        <f>'Single Family'!J72</f>
        <v>53.297999999999995</v>
      </c>
      <c r="G13" s="106">
        <f>'Single Family'!J69</f>
        <v>60.78099999999999</v>
      </c>
      <c r="H13" s="106">
        <f>'Single Family'!J79</f>
        <v>53.717999999999996</v>
      </c>
      <c r="I13" s="106">
        <f>'Single Family'!J73</f>
        <v>171.57</v>
      </c>
      <c r="J13" s="106">
        <f>'Single Family'!J73</f>
        <v>171.57</v>
      </c>
      <c r="K13" s="106">
        <f>'Single Family'!J70</f>
        <v>88.648</v>
      </c>
      <c r="L13" s="107">
        <f>'Single Family'!J78</f>
        <v>-120.17</v>
      </c>
      <c r="M13" s="67"/>
    </row>
    <row r="14" spans="1:13" ht="15.75" customHeight="1">
      <c r="A14" s="65">
        <f>+'Commodity Tonnages'!A14</f>
        <v>42035</v>
      </c>
      <c r="B14" s="66" t="s">
        <v>75</v>
      </c>
      <c r="C14" s="106">
        <f>'Single Family'!K74</f>
        <v>1106</v>
      </c>
      <c r="D14" s="107">
        <f>'Single Family'!K76</f>
        <v>-3.9339999999999997</v>
      </c>
      <c r="E14" s="107">
        <f>'Single Family'!K77</f>
        <v>-120.17</v>
      </c>
      <c r="F14" s="108">
        <f>'Single Family'!K72</f>
        <v>53.025</v>
      </c>
      <c r="G14" s="106">
        <f>'Single Family'!K69</f>
        <v>59.101</v>
      </c>
      <c r="H14" s="106">
        <f>'Single Family'!K79</f>
        <v>53.25599999999999</v>
      </c>
      <c r="I14" s="106">
        <f>'Single Family'!K73</f>
        <v>130.49399999999997</v>
      </c>
      <c r="J14" s="106">
        <f>'Single Family'!K73</f>
        <v>130.49399999999997</v>
      </c>
      <c r="K14" s="106">
        <f>'Single Family'!K70</f>
        <v>85.645</v>
      </c>
      <c r="L14" s="107">
        <f>'Single Family'!K78</f>
        <v>-120.17</v>
      </c>
      <c r="M14" s="67"/>
    </row>
    <row r="15" spans="1:13" ht="15.75" customHeight="1">
      <c r="A15" s="65">
        <f>+'Commodity Tonnages'!A15</f>
        <v>42063</v>
      </c>
      <c r="B15" s="66" t="s">
        <v>76</v>
      </c>
      <c r="C15" s="106">
        <f>'Single Family'!L74</f>
        <v>1095.4089999999999</v>
      </c>
      <c r="D15" s="107">
        <f>'Single Family'!L76</f>
        <v>-9.113999999999999</v>
      </c>
      <c r="E15" s="107">
        <f>'Single Family'!L77</f>
        <v>-120.17</v>
      </c>
      <c r="F15" s="108">
        <f>'Single Family'!L72</f>
        <v>39.095</v>
      </c>
      <c r="G15" s="106">
        <f>'Single Family'!L69</f>
        <v>58.51999999999999</v>
      </c>
      <c r="H15" s="106">
        <f>'Single Family'!L79</f>
        <v>51.967999999999996</v>
      </c>
      <c r="I15" s="106">
        <f>'Single Family'!L73</f>
        <v>104.237</v>
      </c>
      <c r="J15" s="106">
        <f>'Single Family'!L73</f>
        <v>104.237</v>
      </c>
      <c r="K15" s="106">
        <f>'Single Family'!L70</f>
        <v>73.444</v>
      </c>
      <c r="L15" s="107">
        <f>'Single Family'!L78</f>
        <v>-120.17</v>
      </c>
      <c r="M15" s="67"/>
    </row>
    <row r="16" spans="1:13" ht="15.75" customHeight="1">
      <c r="A16" s="65">
        <f>+'Commodity Tonnages'!A16</f>
        <v>42094</v>
      </c>
      <c r="B16" s="66" t="s">
        <v>77</v>
      </c>
      <c r="C16" s="106">
        <f>'Single Family'!M74</f>
        <v>1041.194</v>
      </c>
      <c r="D16" s="107">
        <f>'Single Family'!M76</f>
        <v>-5.194</v>
      </c>
      <c r="E16" s="107">
        <f>'Single Family'!M77</f>
        <v>-120.17</v>
      </c>
      <c r="F16" s="108">
        <f>'Single Family'!M72</f>
        <v>39.753</v>
      </c>
      <c r="G16" s="106">
        <f>'Single Family'!M69</f>
        <v>59.919999999999995</v>
      </c>
      <c r="H16" s="106">
        <f>'Single Family'!M79</f>
        <v>56.06999999999999</v>
      </c>
      <c r="I16" s="106">
        <f>'Single Family'!M73</f>
        <v>119.26599999999999</v>
      </c>
      <c r="J16" s="106">
        <f>'Single Family'!M73</f>
        <v>119.26599999999999</v>
      </c>
      <c r="K16" s="106">
        <f>'Single Family'!M70</f>
        <v>71.743</v>
      </c>
      <c r="L16" s="107">
        <f>'Single Family'!M78</f>
        <v>-120.17</v>
      </c>
      <c r="M16" s="67"/>
    </row>
    <row r="17" spans="1:13" ht="15.75" customHeight="1">
      <c r="A17" s="65">
        <f>+'Commodity Tonnages'!A17</f>
        <v>42124</v>
      </c>
      <c r="B17" s="66" t="s">
        <v>78</v>
      </c>
      <c r="C17" s="106">
        <f>'Single Family'!N74</f>
        <v>970.333</v>
      </c>
      <c r="D17" s="107">
        <f>'Single Family'!N76</f>
        <v>-13.93</v>
      </c>
      <c r="E17" s="107">
        <f>'Single Family'!N77</f>
        <v>-120.17</v>
      </c>
      <c r="F17" s="108">
        <f>'Single Family'!N72</f>
        <v>39.269999999999996</v>
      </c>
      <c r="G17" s="106">
        <f>'Single Family'!N69</f>
        <v>61.285</v>
      </c>
      <c r="H17" s="106">
        <f>'Single Family'!N79</f>
        <v>56.06999999999999</v>
      </c>
      <c r="I17" s="106">
        <f>'Single Family'!N73</f>
        <v>143.15699999999998</v>
      </c>
      <c r="J17" s="106">
        <f>'Single Family'!N73</f>
        <v>143.15699999999998</v>
      </c>
      <c r="K17" s="106">
        <f>'Single Family'!N70</f>
        <v>80.04499999999999</v>
      </c>
      <c r="L17" s="107">
        <f>'Single Family'!N78</f>
        <v>-120.17</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31</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U105"/>
  <sheetViews>
    <sheetView showGridLines="0" zoomScalePageLayoutView="0" workbookViewId="0" topLeftCell="A1">
      <pane xSplit="2" ySplit="6" topLeftCell="C72" activePane="bottomRight" state="frozen"/>
      <selection pane="topLeft" activeCell="I58" sqref="I58"/>
      <selection pane="topRight" activeCell="I58" sqref="I58"/>
      <selection pane="bottomLeft" activeCell="I58" sqref="I58"/>
      <selection pane="bottomRight" activeCell="A1" sqref="A1:O105"/>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5" width="10.7109375" style="66" bestFit="1" customWidth="1"/>
    <col min="16" max="16" width="10.00390625" style="66" bestFit="1" customWidth="1"/>
    <col min="17" max="17" width="9.140625" style="66" customWidth="1"/>
    <col min="18" max="18" width="16.28125" style="66" customWidth="1"/>
    <col min="19" max="20" width="9.421875" style="66" customWidth="1"/>
    <col min="21" max="16384" width="9.140625" style="66" customWidth="1"/>
  </cols>
  <sheetData>
    <row r="1" ht="11.25"/>
    <row r="2" spans="2:3" ht="11.25">
      <c r="B2" s="158" t="s">
        <v>99</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8">
        <v>41760</v>
      </c>
      <c r="D6" s="87">
        <f aca="true" t="shared" si="0" ref="D6:N6">EOMONTH(C6,1)</f>
        <v>41820</v>
      </c>
      <c r="E6" s="87">
        <f t="shared" si="0"/>
        <v>41851</v>
      </c>
      <c r="F6" s="87">
        <f t="shared" si="0"/>
        <v>41882</v>
      </c>
      <c r="G6" s="87">
        <f t="shared" si="0"/>
        <v>41912</v>
      </c>
      <c r="H6" s="87">
        <f t="shared" si="0"/>
        <v>41943</v>
      </c>
      <c r="I6" s="87">
        <f t="shared" si="0"/>
        <v>41973</v>
      </c>
      <c r="J6" s="87">
        <f t="shared" si="0"/>
        <v>42004</v>
      </c>
      <c r="K6" s="87">
        <f t="shared" si="0"/>
        <v>42035</v>
      </c>
      <c r="L6" s="87">
        <f t="shared" si="0"/>
        <v>42063</v>
      </c>
      <c r="M6" s="87">
        <f t="shared" si="0"/>
        <v>42094</v>
      </c>
      <c r="N6" s="87">
        <f t="shared" si="0"/>
        <v>42124</v>
      </c>
    </row>
    <row r="7" spans="1:14" s="67" customFormat="1" ht="11.25">
      <c r="A7" s="88" t="s">
        <v>47</v>
      </c>
      <c r="C7" s="129">
        <v>504.27</v>
      </c>
      <c r="D7" s="129">
        <v>499.06</v>
      </c>
      <c r="E7" s="129">
        <v>540.26</v>
      </c>
      <c r="F7" s="129">
        <v>487.17</v>
      </c>
      <c r="G7" s="129">
        <v>517.7</v>
      </c>
      <c r="H7" s="129">
        <v>499.85</v>
      </c>
      <c r="I7" s="129">
        <v>438.34</v>
      </c>
      <c r="J7" s="129">
        <v>607.86</v>
      </c>
      <c r="K7" s="129">
        <v>582.25</v>
      </c>
      <c r="L7" s="129">
        <v>464.07</v>
      </c>
      <c r="M7" s="129">
        <v>498.25</v>
      </c>
      <c r="N7" s="129">
        <v>499.13</v>
      </c>
    </row>
    <row r="8" spans="1:14" ht="11.25">
      <c r="A8" s="66" t="s">
        <v>48</v>
      </c>
      <c r="C8" s="89">
        <v>0</v>
      </c>
      <c r="D8" s="89">
        <v>0</v>
      </c>
      <c r="E8" s="89">
        <v>0</v>
      </c>
      <c r="F8" s="89">
        <v>0</v>
      </c>
      <c r="G8" s="89">
        <v>0</v>
      </c>
      <c r="H8" s="89">
        <v>0</v>
      </c>
      <c r="I8" s="89">
        <v>0</v>
      </c>
      <c r="J8" s="89">
        <v>0</v>
      </c>
      <c r="K8" s="89">
        <v>0</v>
      </c>
      <c r="L8" s="89">
        <v>0</v>
      </c>
      <c r="M8" s="89">
        <v>0</v>
      </c>
      <c r="N8" s="89">
        <v>0</v>
      </c>
    </row>
    <row r="9" spans="1:14" ht="11.25">
      <c r="A9" s="66" t="s">
        <v>49</v>
      </c>
      <c r="C9" s="90">
        <f aca="true" t="shared" si="1" ref="C9:N9">+C7*C8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4" ht="11.25">
      <c r="A10" s="83" t="s">
        <v>50</v>
      </c>
      <c r="C10" s="91">
        <f aca="true" t="shared" si="2" ref="C10:N10">+C7-C9</f>
        <v>504.27</v>
      </c>
      <c r="D10" s="91">
        <f t="shared" si="2"/>
        <v>499.06</v>
      </c>
      <c r="E10" s="91">
        <f t="shared" si="2"/>
        <v>540.26</v>
      </c>
      <c r="F10" s="91">
        <f t="shared" si="2"/>
        <v>487.17</v>
      </c>
      <c r="G10" s="91">
        <f t="shared" si="2"/>
        <v>517.7</v>
      </c>
      <c r="H10" s="91">
        <f t="shared" si="2"/>
        <v>499.85</v>
      </c>
      <c r="I10" s="91">
        <f t="shared" si="2"/>
        <v>438.34</v>
      </c>
      <c r="J10" s="91">
        <f t="shared" si="2"/>
        <v>607.86</v>
      </c>
      <c r="K10" s="91">
        <f t="shared" si="2"/>
        <v>582.25</v>
      </c>
      <c r="L10" s="91">
        <f t="shared" si="2"/>
        <v>464.07</v>
      </c>
      <c r="M10" s="91">
        <f t="shared" si="2"/>
        <v>498.25</v>
      </c>
      <c r="N10" s="91">
        <f t="shared" si="2"/>
        <v>499.13</v>
      </c>
    </row>
    <row r="11" ht="11.25"/>
    <row r="12" ht="11.25">
      <c r="A12" s="83" t="s">
        <v>51</v>
      </c>
    </row>
    <row r="13" spans="2:14" s="92" customFormat="1" ht="11.25">
      <c r="B13" s="92" t="s">
        <v>24</v>
      </c>
      <c r="C13" s="126">
        <v>0.195</v>
      </c>
      <c r="D13" s="126">
        <f>+C13</f>
        <v>0.195</v>
      </c>
      <c r="E13" s="126">
        <f aca="true" t="shared" si="3" ref="E13:N13">+D13</f>
        <v>0.195</v>
      </c>
      <c r="F13" s="126">
        <f t="shared" si="3"/>
        <v>0.195</v>
      </c>
      <c r="G13" s="126">
        <f t="shared" si="3"/>
        <v>0.195</v>
      </c>
      <c r="H13" s="126">
        <f t="shared" si="3"/>
        <v>0.195</v>
      </c>
      <c r="I13" s="126">
        <f t="shared" si="3"/>
        <v>0.195</v>
      </c>
      <c r="J13" s="126">
        <f t="shared" si="3"/>
        <v>0.195</v>
      </c>
      <c r="K13" s="126">
        <f t="shared" si="3"/>
        <v>0.195</v>
      </c>
      <c r="L13" s="126">
        <f t="shared" si="3"/>
        <v>0.195</v>
      </c>
      <c r="M13" s="126">
        <f t="shared" si="3"/>
        <v>0.195</v>
      </c>
      <c r="N13" s="126">
        <f t="shared" si="3"/>
        <v>0.195</v>
      </c>
    </row>
    <row r="14" spans="2:14" s="92" customFormat="1" ht="11.25">
      <c r="B14" s="92" t="s">
        <v>28</v>
      </c>
      <c r="C14" s="126">
        <v>0.1782</v>
      </c>
      <c r="D14" s="126">
        <f aca="true" t="shared" si="4" ref="D14:N23">+C14</f>
        <v>0.1782</v>
      </c>
      <c r="E14" s="126">
        <f t="shared" si="4"/>
        <v>0.1782</v>
      </c>
      <c r="F14" s="126">
        <f t="shared" si="4"/>
        <v>0.1782</v>
      </c>
      <c r="G14" s="126">
        <f t="shared" si="4"/>
        <v>0.1782</v>
      </c>
      <c r="H14" s="126">
        <f t="shared" si="4"/>
        <v>0.1782</v>
      </c>
      <c r="I14" s="126">
        <f t="shared" si="4"/>
        <v>0.1782</v>
      </c>
      <c r="J14" s="126">
        <f t="shared" si="4"/>
        <v>0.1782</v>
      </c>
      <c r="K14" s="126">
        <f t="shared" si="4"/>
        <v>0.1782</v>
      </c>
      <c r="L14" s="126">
        <f t="shared" si="4"/>
        <v>0.1782</v>
      </c>
      <c r="M14" s="126">
        <f t="shared" si="4"/>
        <v>0.1782</v>
      </c>
      <c r="N14" s="126">
        <f t="shared" si="4"/>
        <v>0.1782</v>
      </c>
    </row>
    <row r="15" spans="2:14" s="92" customFormat="1" ht="11.25">
      <c r="B15" s="92" t="s">
        <v>52</v>
      </c>
      <c r="C15" s="126">
        <v>0</v>
      </c>
      <c r="D15" s="126">
        <f t="shared" si="4"/>
        <v>0</v>
      </c>
      <c r="E15" s="126">
        <f t="shared" si="4"/>
        <v>0</v>
      </c>
      <c r="F15" s="126">
        <f t="shared" si="4"/>
        <v>0</v>
      </c>
      <c r="G15" s="126">
        <f t="shared" si="4"/>
        <v>0</v>
      </c>
      <c r="H15" s="126">
        <f t="shared" si="4"/>
        <v>0</v>
      </c>
      <c r="I15" s="126">
        <f t="shared" si="4"/>
        <v>0</v>
      </c>
      <c r="J15" s="126">
        <f t="shared" si="4"/>
        <v>0</v>
      </c>
      <c r="K15" s="126">
        <f t="shared" si="4"/>
        <v>0</v>
      </c>
      <c r="L15" s="126">
        <f t="shared" si="4"/>
        <v>0</v>
      </c>
      <c r="M15" s="126">
        <f t="shared" si="4"/>
        <v>0</v>
      </c>
      <c r="N15" s="126">
        <f t="shared" si="4"/>
        <v>0</v>
      </c>
    </row>
    <row r="16" spans="2:14" s="92" customFormat="1" ht="11.25">
      <c r="B16" s="92" t="s">
        <v>53</v>
      </c>
      <c r="C16" s="126">
        <v>0.0165</v>
      </c>
      <c r="D16" s="126">
        <f t="shared" si="4"/>
        <v>0.0165</v>
      </c>
      <c r="E16" s="126">
        <f t="shared" si="4"/>
        <v>0.0165</v>
      </c>
      <c r="F16" s="126">
        <f t="shared" si="4"/>
        <v>0.0165</v>
      </c>
      <c r="G16" s="126">
        <f t="shared" si="4"/>
        <v>0.0165</v>
      </c>
      <c r="H16" s="126">
        <f t="shared" si="4"/>
        <v>0.0165</v>
      </c>
      <c r="I16" s="126">
        <f t="shared" si="4"/>
        <v>0.0165</v>
      </c>
      <c r="J16" s="126">
        <f t="shared" si="4"/>
        <v>0.0165</v>
      </c>
      <c r="K16" s="126">
        <f t="shared" si="4"/>
        <v>0.0165</v>
      </c>
      <c r="L16" s="126">
        <f t="shared" si="4"/>
        <v>0.0165</v>
      </c>
      <c r="M16" s="126">
        <f t="shared" si="4"/>
        <v>0.0165</v>
      </c>
      <c r="N16" s="126">
        <f t="shared" si="4"/>
        <v>0.0165</v>
      </c>
    </row>
    <row r="17" spans="2:14" s="92" customFormat="1" ht="11.25">
      <c r="B17" s="92" t="s">
        <v>54</v>
      </c>
      <c r="C17" s="126">
        <v>0.0449</v>
      </c>
      <c r="D17" s="126">
        <f t="shared" si="4"/>
        <v>0.0449</v>
      </c>
      <c r="E17" s="126">
        <f t="shared" si="4"/>
        <v>0.0449</v>
      </c>
      <c r="F17" s="126">
        <f t="shared" si="4"/>
        <v>0.0449</v>
      </c>
      <c r="G17" s="126">
        <f t="shared" si="4"/>
        <v>0.0449</v>
      </c>
      <c r="H17" s="126">
        <f t="shared" si="4"/>
        <v>0.0449</v>
      </c>
      <c r="I17" s="126">
        <f t="shared" si="4"/>
        <v>0.0449</v>
      </c>
      <c r="J17" s="126">
        <f t="shared" si="4"/>
        <v>0.0449</v>
      </c>
      <c r="K17" s="126">
        <f t="shared" si="4"/>
        <v>0.0449</v>
      </c>
      <c r="L17" s="126">
        <f t="shared" si="4"/>
        <v>0.0449</v>
      </c>
      <c r="M17" s="126">
        <f t="shared" si="4"/>
        <v>0.0449</v>
      </c>
      <c r="N17" s="126">
        <f t="shared" si="4"/>
        <v>0.0449</v>
      </c>
    </row>
    <row r="18" spans="2:14" s="92" customFormat="1" ht="11.25">
      <c r="B18" s="92" t="s">
        <v>55</v>
      </c>
      <c r="C18" s="126">
        <v>0.0075</v>
      </c>
      <c r="D18" s="126">
        <f t="shared" si="4"/>
        <v>0.0075</v>
      </c>
      <c r="E18" s="126">
        <f t="shared" si="4"/>
        <v>0.0075</v>
      </c>
      <c r="F18" s="126">
        <f t="shared" si="4"/>
        <v>0.0075</v>
      </c>
      <c r="G18" s="126">
        <f t="shared" si="4"/>
        <v>0.0075</v>
      </c>
      <c r="H18" s="126">
        <f t="shared" si="4"/>
        <v>0.0075</v>
      </c>
      <c r="I18" s="126">
        <f t="shared" si="4"/>
        <v>0.0075</v>
      </c>
      <c r="J18" s="126">
        <f t="shared" si="4"/>
        <v>0.0075</v>
      </c>
      <c r="K18" s="126">
        <f t="shared" si="4"/>
        <v>0.0075</v>
      </c>
      <c r="L18" s="126">
        <f t="shared" si="4"/>
        <v>0.0075</v>
      </c>
      <c r="M18" s="126">
        <f t="shared" si="4"/>
        <v>0.0075</v>
      </c>
      <c r="N18" s="126">
        <f t="shared" si="4"/>
        <v>0.0075</v>
      </c>
    </row>
    <row r="19" spans="2:14" s="92" customFormat="1" ht="11.25">
      <c r="B19" s="66" t="s">
        <v>56</v>
      </c>
      <c r="C19" s="126">
        <v>0</v>
      </c>
      <c r="D19" s="126">
        <f t="shared" si="4"/>
        <v>0</v>
      </c>
      <c r="E19" s="126">
        <f t="shared" si="4"/>
        <v>0</v>
      </c>
      <c r="F19" s="126">
        <f t="shared" si="4"/>
        <v>0</v>
      </c>
      <c r="G19" s="126">
        <f t="shared" si="4"/>
        <v>0</v>
      </c>
      <c r="H19" s="126">
        <f t="shared" si="4"/>
        <v>0</v>
      </c>
      <c r="I19" s="126">
        <f t="shared" si="4"/>
        <v>0</v>
      </c>
      <c r="J19" s="126">
        <f t="shared" si="4"/>
        <v>0</v>
      </c>
      <c r="K19" s="126">
        <f t="shared" si="4"/>
        <v>0</v>
      </c>
      <c r="L19" s="126">
        <f t="shared" si="4"/>
        <v>0</v>
      </c>
      <c r="M19" s="126">
        <f t="shared" si="4"/>
        <v>0</v>
      </c>
      <c r="N19" s="126">
        <f t="shared" si="4"/>
        <v>0</v>
      </c>
    </row>
    <row r="20" spans="2:14" s="92" customFormat="1" ht="11.25">
      <c r="B20" s="66" t="s">
        <v>22</v>
      </c>
      <c r="C20" s="126">
        <v>0.1768</v>
      </c>
      <c r="D20" s="126">
        <f t="shared" si="4"/>
        <v>0.1768</v>
      </c>
      <c r="E20" s="126">
        <f t="shared" si="4"/>
        <v>0.1768</v>
      </c>
      <c r="F20" s="126">
        <f t="shared" si="4"/>
        <v>0.1768</v>
      </c>
      <c r="G20" s="126">
        <f t="shared" si="4"/>
        <v>0.1768</v>
      </c>
      <c r="H20" s="126">
        <f t="shared" si="4"/>
        <v>0.1768</v>
      </c>
      <c r="I20" s="126">
        <f t="shared" si="4"/>
        <v>0.1768</v>
      </c>
      <c r="J20" s="126">
        <f t="shared" si="4"/>
        <v>0.1768</v>
      </c>
      <c r="K20" s="126">
        <f t="shared" si="4"/>
        <v>0.1768</v>
      </c>
      <c r="L20" s="126">
        <f t="shared" si="4"/>
        <v>0.1768</v>
      </c>
      <c r="M20" s="126">
        <f t="shared" si="4"/>
        <v>0.1768</v>
      </c>
      <c r="N20" s="126">
        <f t="shared" si="4"/>
        <v>0.1768</v>
      </c>
    </row>
    <row r="21" spans="2:14" s="92" customFormat="1" ht="11.25">
      <c r="B21" s="92" t="s">
        <v>57</v>
      </c>
      <c r="C21" s="126">
        <v>0</v>
      </c>
      <c r="D21" s="126">
        <f t="shared" si="4"/>
        <v>0</v>
      </c>
      <c r="E21" s="126">
        <f t="shared" si="4"/>
        <v>0</v>
      </c>
      <c r="F21" s="126">
        <f t="shared" si="4"/>
        <v>0</v>
      </c>
      <c r="G21" s="126">
        <f t="shared" si="4"/>
        <v>0</v>
      </c>
      <c r="H21" s="126">
        <f t="shared" si="4"/>
        <v>0</v>
      </c>
      <c r="I21" s="126">
        <f t="shared" si="4"/>
        <v>0</v>
      </c>
      <c r="J21" s="126">
        <f t="shared" si="4"/>
        <v>0</v>
      </c>
      <c r="K21" s="126">
        <f t="shared" si="4"/>
        <v>0</v>
      </c>
      <c r="L21" s="126">
        <f t="shared" si="4"/>
        <v>0</v>
      </c>
      <c r="M21" s="126">
        <f t="shared" si="4"/>
        <v>0</v>
      </c>
      <c r="N21" s="126">
        <f t="shared" si="4"/>
        <v>0</v>
      </c>
    </row>
    <row r="22" spans="2:14" s="92" customFormat="1" ht="11.25">
      <c r="B22" s="92" t="s">
        <v>58</v>
      </c>
      <c r="C22" s="126">
        <v>0.05930000000000013</v>
      </c>
      <c r="D22" s="126">
        <f t="shared" si="4"/>
        <v>0.05930000000000013</v>
      </c>
      <c r="E22" s="126">
        <f t="shared" si="4"/>
        <v>0.05930000000000013</v>
      </c>
      <c r="F22" s="126">
        <f t="shared" si="4"/>
        <v>0.05930000000000013</v>
      </c>
      <c r="G22" s="126">
        <f t="shared" si="4"/>
        <v>0.05930000000000013</v>
      </c>
      <c r="H22" s="126">
        <f t="shared" si="4"/>
        <v>0.05930000000000013</v>
      </c>
      <c r="I22" s="126">
        <f t="shared" si="4"/>
        <v>0.05930000000000013</v>
      </c>
      <c r="J22" s="126">
        <f t="shared" si="4"/>
        <v>0.05930000000000013</v>
      </c>
      <c r="K22" s="126">
        <f t="shared" si="4"/>
        <v>0.05930000000000013</v>
      </c>
      <c r="L22" s="126">
        <f t="shared" si="4"/>
        <v>0.05930000000000013</v>
      </c>
      <c r="M22" s="126">
        <f t="shared" si="4"/>
        <v>0.05930000000000013</v>
      </c>
      <c r="N22" s="126">
        <f t="shared" si="4"/>
        <v>0.05930000000000013</v>
      </c>
    </row>
    <row r="23" spans="2:14" s="92" customFormat="1" ht="11.25">
      <c r="B23" s="92" t="s">
        <v>59</v>
      </c>
      <c r="C23" s="127">
        <v>0.3218</v>
      </c>
      <c r="D23" s="126">
        <f t="shared" si="4"/>
        <v>0.3218</v>
      </c>
      <c r="E23" s="126">
        <f t="shared" si="4"/>
        <v>0.3218</v>
      </c>
      <c r="F23" s="126">
        <f t="shared" si="4"/>
        <v>0.3218</v>
      </c>
      <c r="G23" s="126">
        <f t="shared" si="4"/>
        <v>0.3218</v>
      </c>
      <c r="H23" s="126">
        <f t="shared" si="4"/>
        <v>0.3218</v>
      </c>
      <c r="I23" s="126">
        <f t="shared" si="4"/>
        <v>0.3218</v>
      </c>
      <c r="J23" s="126">
        <f t="shared" si="4"/>
        <v>0.3218</v>
      </c>
      <c r="K23" s="126">
        <f t="shared" si="4"/>
        <v>0.3218</v>
      </c>
      <c r="L23" s="126">
        <f t="shared" si="4"/>
        <v>0.3218</v>
      </c>
      <c r="M23" s="126">
        <f t="shared" si="4"/>
        <v>0.3218</v>
      </c>
      <c r="N23" s="126">
        <f t="shared" si="4"/>
        <v>0.3218</v>
      </c>
    </row>
    <row r="24" spans="3:14" ht="11.25">
      <c r="C24" s="93">
        <v>1</v>
      </c>
      <c r="D24" s="93">
        <v>1</v>
      </c>
      <c r="E24" s="93">
        <v>1</v>
      </c>
      <c r="F24" s="93">
        <v>1</v>
      </c>
      <c r="G24" s="93">
        <v>1</v>
      </c>
      <c r="H24" s="93">
        <v>1</v>
      </c>
      <c r="I24" s="93">
        <v>1</v>
      </c>
      <c r="J24" s="93">
        <v>1</v>
      </c>
      <c r="K24" s="93">
        <v>1</v>
      </c>
      <c r="L24" s="93">
        <v>1</v>
      </c>
      <c r="M24" s="93">
        <v>1</v>
      </c>
      <c r="N24" s="93">
        <v>1</v>
      </c>
    </row>
    <row r="25" ht="11.25"/>
    <row r="26" ht="11.25">
      <c r="A26" s="83" t="s">
        <v>60</v>
      </c>
    </row>
    <row r="27" spans="2:14" ht="11.25">
      <c r="B27" s="66" t="s">
        <v>24</v>
      </c>
      <c r="C27" s="75">
        <f aca="true" t="shared" si="5" ref="C27:M27">+C$10*C13</f>
        <v>98.33265</v>
      </c>
      <c r="D27" s="75">
        <f t="shared" si="5"/>
        <v>97.3167</v>
      </c>
      <c r="E27" s="75">
        <f t="shared" si="5"/>
        <v>105.3507</v>
      </c>
      <c r="F27" s="75">
        <f t="shared" si="5"/>
        <v>94.99815000000001</v>
      </c>
      <c r="G27" s="75">
        <f t="shared" si="5"/>
        <v>100.95150000000001</v>
      </c>
      <c r="H27" s="75">
        <f t="shared" si="5"/>
        <v>97.47075000000001</v>
      </c>
      <c r="I27" s="75">
        <f t="shared" si="5"/>
        <v>85.4763</v>
      </c>
      <c r="J27" s="75">
        <f t="shared" si="5"/>
        <v>118.5327</v>
      </c>
      <c r="K27" s="75">
        <f t="shared" si="5"/>
        <v>113.53875000000001</v>
      </c>
      <c r="L27" s="75">
        <f t="shared" si="5"/>
        <v>90.49365</v>
      </c>
      <c r="M27" s="75">
        <f t="shared" si="5"/>
        <v>97.15875</v>
      </c>
      <c r="N27" s="75">
        <f>+N$10*N13</f>
        <v>97.33035</v>
      </c>
    </row>
    <row r="28" spans="2:14" ht="11.25">
      <c r="B28" s="66" t="s">
        <v>28</v>
      </c>
      <c r="C28" s="75">
        <f aca="true" t="shared" si="6" ref="C28:M28">+C$10*C14</f>
        <v>89.860914</v>
      </c>
      <c r="D28" s="75">
        <f t="shared" si="6"/>
        <v>88.932492</v>
      </c>
      <c r="E28" s="75">
        <f>+E$10*E14</f>
        <v>96.274332</v>
      </c>
      <c r="F28" s="75">
        <f t="shared" si="6"/>
        <v>86.813694</v>
      </c>
      <c r="G28" s="75">
        <f t="shared" si="6"/>
        <v>92.25414</v>
      </c>
      <c r="H28" s="75">
        <f t="shared" si="6"/>
        <v>89.07327000000001</v>
      </c>
      <c r="I28" s="75">
        <f t="shared" si="6"/>
        <v>78.11218799999999</v>
      </c>
      <c r="J28" s="75">
        <f t="shared" si="6"/>
        <v>108.320652</v>
      </c>
      <c r="K28" s="75">
        <f t="shared" si="6"/>
        <v>103.75695</v>
      </c>
      <c r="L28" s="75">
        <f t="shared" si="6"/>
        <v>82.697274</v>
      </c>
      <c r="M28" s="75">
        <f t="shared" si="6"/>
        <v>88.78815</v>
      </c>
      <c r="N28" s="75">
        <f>+N$10*N14</f>
        <v>88.944966</v>
      </c>
    </row>
    <row r="29" spans="2:14" ht="11.25">
      <c r="B29" s="66" t="s">
        <v>52</v>
      </c>
      <c r="C29" s="75">
        <f aca="true" t="shared" si="7" ref="C29:N29">+C$10*C15</f>
        <v>0</v>
      </c>
      <c r="D29" s="75">
        <f t="shared" si="7"/>
        <v>0</v>
      </c>
      <c r="E29" s="75">
        <f t="shared" si="7"/>
        <v>0</v>
      </c>
      <c r="F29" s="75">
        <f t="shared" si="7"/>
        <v>0</v>
      </c>
      <c r="G29" s="75">
        <f t="shared" si="7"/>
        <v>0</v>
      </c>
      <c r="H29" s="75">
        <f t="shared" si="7"/>
        <v>0</v>
      </c>
      <c r="I29" s="75">
        <f t="shared" si="7"/>
        <v>0</v>
      </c>
      <c r="J29" s="75">
        <f t="shared" si="7"/>
        <v>0</v>
      </c>
      <c r="K29" s="75">
        <f t="shared" si="7"/>
        <v>0</v>
      </c>
      <c r="L29" s="75">
        <f t="shared" si="7"/>
        <v>0</v>
      </c>
      <c r="M29" s="75">
        <f t="shared" si="7"/>
        <v>0</v>
      </c>
      <c r="N29" s="75">
        <f t="shared" si="7"/>
        <v>0</v>
      </c>
    </row>
    <row r="30" spans="2:14" ht="11.25">
      <c r="B30" s="66" t="s">
        <v>53</v>
      </c>
      <c r="C30" s="75">
        <f aca="true" t="shared" si="8" ref="C30:N30">+C$10*C16</f>
        <v>8.320455</v>
      </c>
      <c r="D30" s="75">
        <f t="shared" si="8"/>
        <v>8.234490000000001</v>
      </c>
      <c r="E30" s="75">
        <f t="shared" si="8"/>
        <v>8.914290000000001</v>
      </c>
      <c r="F30" s="75">
        <f t="shared" si="8"/>
        <v>8.038305000000001</v>
      </c>
      <c r="G30" s="75">
        <f t="shared" si="8"/>
        <v>8.542050000000001</v>
      </c>
      <c r="H30" s="75">
        <f t="shared" si="8"/>
        <v>8.247525000000001</v>
      </c>
      <c r="I30" s="75">
        <f t="shared" si="8"/>
        <v>7.23261</v>
      </c>
      <c r="J30" s="75">
        <f t="shared" si="8"/>
        <v>10.02969</v>
      </c>
      <c r="K30" s="75">
        <f t="shared" si="8"/>
        <v>9.607125</v>
      </c>
      <c r="L30" s="75">
        <f t="shared" si="8"/>
        <v>7.657155</v>
      </c>
      <c r="M30" s="75">
        <f t="shared" si="8"/>
        <v>8.221125</v>
      </c>
      <c r="N30" s="75">
        <f t="shared" si="8"/>
        <v>8.235645</v>
      </c>
    </row>
    <row r="31" spans="2:14" ht="11.25">
      <c r="B31" s="66" t="s">
        <v>54</v>
      </c>
      <c r="C31" s="75">
        <f aca="true" t="shared" si="9" ref="C31:N31">+C$10*C17</f>
        <v>22.641723</v>
      </c>
      <c r="D31" s="75">
        <f t="shared" si="9"/>
        <v>22.407794000000003</v>
      </c>
      <c r="E31" s="75">
        <f t="shared" si="9"/>
        <v>24.257674</v>
      </c>
      <c r="F31" s="75">
        <f t="shared" si="9"/>
        <v>21.873933</v>
      </c>
      <c r="G31" s="75">
        <f t="shared" si="9"/>
        <v>23.244730000000004</v>
      </c>
      <c r="H31" s="75">
        <f t="shared" si="9"/>
        <v>22.443265000000004</v>
      </c>
      <c r="I31" s="75">
        <f t="shared" si="9"/>
        <v>19.681466</v>
      </c>
      <c r="J31" s="75">
        <f t="shared" si="9"/>
        <v>27.292914000000003</v>
      </c>
      <c r="K31" s="75">
        <f t="shared" si="9"/>
        <v>26.143025</v>
      </c>
      <c r="L31" s="75">
        <f t="shared" si="9"/>
        <v>20.836743000000002</v>
      </c>
      <c r="M31" s="75">
        <f t="shared" si="9"/>
        <v>22.371425000000002</v>
      </c>
      <c r="N31" s="75">
        <f t="shared" si="9"/>
        <v>22.410937</v>
      </c>
    </row>
    <row r="32" spans="2:14" ht="11.25">
      <c r="B32" s="66" t="s">
        <v>55</v>
      </c>
      <c r="C32" s="75">
        <f aca="true" t="shared" si="10" ref="C32:N32">+C$10*C18</f>
        <v>3.7820249999999995</v>
      </c>
      <c r="D32" s="75">
        <f t="shared" si="10"/>
        <v>3.74295</v>
      </c>
      <c r="E32" s="75">
        <f t="shared" si="10"/>
        <v>4.05195</v>
      </c>
      <c r="F32" s="75">
        <f t="shared" si="10"/>
        <v>3.653775</v>
      </c>
      <c r="G32" s="75">
        <f t="shared" si="10"/>
        <v>3.88275</v>
      </c>
      <c r="H32" s="75">
        <f t="shared" si="10"/>
        <v>3.748875</v>
      </c>
      <c r="I32" s="75">
        <f t="shared" si="10"/>
        <v>3.2875499999999995</v>
      </c>
      <c r="J32" s="75">
        <f t="shared" si="10"/>
        <v>4.55895</v>
      </c>
      <c r="K32" s="75">
        <f t="shared" si="10"/>
        <v>4.366874999999999</v>
      </c>
      <c r="L32" s="75">
        <f t="shared" si="10"/>
        <v>3.4805249999999996</v>
      </c>
      <c r="M32" s="75">
        <f t="shared" si="10"/>
        <v>3.736875</v>
      </c>
      <c r="N32" s="75">
        <f t="shared" si="10"/>
        <v>3.7434749999999997</v>
      </c>
    </row>
    <row r="33" spans="2:14" ht="11.25">
      <c r="B33" s="66" t="s">
        <v>56</v>
      </c>
      <c r="C33" s="75">
        <f aca="true" t="shared" si="11" ref="C33:N33">+C$10*C19</f>
        <v>0</v>
      </c>
      <c r="D33" s="75">
        <f t="shared" si="11"/>
        <v>0</v>
      </c>
      <c r="E33" s="75">
        <f t="shared" si="11"/>
        <v>0</v>
      </c>
      <c r="F33" s="75">
        <f t="shared" si="11"/>
        <v>0</v>
      </c>
      <c r="G33" s="75">
        <f t="shared" si="11"/>
        <v>0</v>
      </c>
      <c r="H33" s="75">
        <f t="shared" si="11"/>
        <v>0</v>
      </c>
      <c r="I33" s="75">
        <f t="shared" si="11"/>
        <v>0</v>
      </c>
      <c r="J33" s="75">
        <f t="shared" si="11"/>
        <v>0</v>
      </c>
      <c r="K33" s="75">
        <f t="shared" si="11"/>
        <v>0</v>
      </c>
      <c r="L33" s="75">
        <f t="shared" si="11"/>
        <v>0</v>
      </c>
      <c r="M33" s="75">
        <f t="shared" si="11"/>
        <v>0</v>
      </c>
      <c r="N33" s="75">
        <f t="shared" si="11"/>
        <v>0</v>
      </c>
    </row>
    <row r="34" spans="2:14" ht="11.25">
      <c r="B34" s="66" t="s">
        <v>22</v>
      </c>
      <c r="C34" s="75">
        <f aca="true" t="shared" si="12" ref="C34:N34">+C$10*C20</f>
        <v>89.154936</v>
      </c>
      <c r="D34" s="75">
        <f t="shared" si="12"/>
        <v>88.23380800000001</v>
      </c>
      <c r="E34" s="75">
        <f t="shared" si="12"/>
        <v>95.51796800000001</v>
      </c>
      <c r="F34" s="75">
        <f t="shared" si="12"/>
        <v>86.131656</v>
      </c>
      <c r="G34" s="75">
        <f t="shared" si="12"/>
        <v>91.52936000000001</v>
      </c>
      <c r="H34" s="75">
        <f t="shared" si="12"/>
        <v>88.37348000000001</v>
      </c>
      <c r="I34" s="75">
        <f t="shared" si="12"/>
        <v>77.498512</v>
      </c>
      <c r="J34" s="75">
        <f t="shared" si="12"/>
        <v>107.469648</v>
      </c>
      <c r="K34" s="75">
        <f t="shared" si="12"/>
        <v>102.9418</v>
      </c>
      <c r="L34" s="75">
        <f t="shared" si="12"/>
        <v>82.047576</v>
      </c>
      <c r="M34" s="75">
        <f t="shared" si="12"/>
        <v>88.09060000000001</v>
      </c>
      <c r="N34" s="75">
        <f t="shared" si="12"/>
        <v>88.246184</v>
      </c>
    </row>
    <row r="35" spans="2:14" ht="11.25">
      <c r="B35" s="66" t="s">
        <v>57</v>
      </c>
      <c r="C35" s="75">
        <f aca="true" t="shared" si="13" ref="C35:N35">+C$10*C21</f>
        <v>0</v>
      </c>
      <c r="D35" s="75">
        <f t="shared" si="13"/>
        <v>0</v>
      </c>
      <c r="E35" s="75">
        <f t="shared" si="13"/>
        <v>0</v>
      </c>
      <c r="F35" s="75">
        <f t="shared" si="13"/>
        <v>0</v>
      </c>
      <c r="G35" s="75">
        <f t="shared" si="13"/>
        <v>0</v>
      </c>
      <c r="H35" s="75">
        <f t="shared" si="13"/>
        <v>0</v>
      </c>
      <c r="I35" s="75">
        <f t="shared" si="13"/>
        <v>0</v>
      </c>
      <c r="J35" s="75">
        <f t="shared" si="13"/>
        <v>0</v>
      </c>
      <c r="K35" s="75">
        <f t="shared" si="13"/>
        <v>0</v>
      </c>
      <c r="L35" s="75">
        <f t="shared" si="13"/>
        <v>0</v>
      </c>
      <c r="M35" s="75">
        <f t="shared" si="13"/>
        <v>0</v>
      </c>
      <c r="N35" s="75">
        <f t="shared" si="13"/>
        <v>0</v>
      </c>
    </row>
    <row r="36" spans="2:14" ht="11.25">
      <c r="B36" s="66" t="s">
        <v>58</v>
      </c>
      <c r="C36" s="75">
        <f aca="true" t="shared" si="14" ref="C36:N36">+C$10*C22</f>
        <v>29.903211000000066</v>
      </c>
      <c r="D36" s="75">
        <f t="shared" si="14"/>
        <v>29.594258000000064</v>
      </c>
      <c r="E36" s="75">
        <f t="shared" si="14"/>
        <v>32.03741800000007</v>
      </c>
      <c r="F36" s="75">
        <f t="shared" si="14"/>
        <v>28.889181000000065</v>
      </c>
      <c r="G36" s="75">
        <f t="shared" si="14"/>
        <v>30.69961000000007</v>
      </c>
      <c r="H36" s="75">
        <f t="shared" si="14"/>
        <v>29.641105000000067</v>
      </c>
      <c r="I36" s="75">
        <f t="shared" si="14"/>
        <v>25.993562000000054</v>
      </c>
      <c r="J36" s="75">
        <f t="shared" si="14"/>
        <v>36.04609800000008</v>
      </c>
      <c r="K36" s="75">
        <f t="shared" si="14"/>
        <v>34.52742500000008</v>
      </c>
      <c r="L36" s="75">
        <f t="shared" si="14"/>
        <v>27.51935100000006</v>
      </c>
      <c r="M36" s="75">
        <f t="shared" si="14"/>
        <v>29.546225000000064</v>
      </c>
      <c r="N36" s="75">
        <f t="shared" si="14"/>
        <v>29.598409000000064</v>
      </c>
    </row>
    <row r="37" spans="2:14" ht="11.25">
      <c r="B37" s="66" t="s">
        <v>59</v>
      </c>
      <c r="C37" s="90">
        <f aca="true" t="shared" si="15" ref="C37:N37">+C$10*C23</f>
        <v>162.27408599999998</v>
      </c>
      <c r="D37" s="90">
        <f t="shared" si="15"/>
        <v>160.59750799999998</v>
      </c>
      <c r="E37" s="90">
        <f t="shared" si="15"/>
        <v>173.85566799999998</v>
      </c>
      <c r="F37" s="90">
        <f t="shared" si="15"/>
        <v>156.77130599999998</v>
      </c>
      <c r="G37" s="90">
        <f t="shared" si="15"/>
        <v>166.59586</v>
      </c>
      <c r="H37" s="90">
        <f t="shared" si="15"/>
        <v>160.85173</v>
      </c>
      <c r="I37" s="90">
        <f t="shared" si="15"/>
        <v>141.05781199999998</v>
      </c>
      <c r="J37" s="90">
        <f t="shared" si="15"/>
        <v>195.60934799999998</v>
      </c>
      <c r="K37" s="90">
        <f t="shared" si="15"/>
        <v>187.36804999999998</v>
      </c>
      <c r="L37" s="90">
        <f t="shared" si="15"/>
        <v>149.33772599999998</v>
      </c>
      <c r="M37" s="90">
        <f t="shared" si="15"/>
        <v>160.33685</v>
      </c>
      <c r="N37" s="90">
        <f t="shared" si="15"/>
        <v>160.62003399999998</v>
      </c>
    </row>
    <row r="38" spans="3:14" ht="11.25">
      <c r="C38" s="75">
        <f aca="true" t="shared" si="16" ref="C38:N38">SUM(C27:C37)</f>
        <v>504.27</v>
      </c>
      <c r="D38" s="75">
        <f t="shared" si="16"/>
        <v>499.06000000000006</v>
      </c>
      <c r="E38" s="75">
        <f t="shared" si="16"/>
        <v>540.26</v>
      </c>
      <c r="F38" s="75">
        <f t="shared" si="16"/>
        <v>487.1700000000001</v>
      </c>
      <c r="G38" s="75">
        <f t="shared" si="16"/>
        <v>517.7</v>
      </c>
      <c r="H38" s="75">
        <f t="shared" si="16"/>
        <v>499.85</v>
      </c>
      <c r="I38" s="75">
        <f t="shared" si="16"/>
        <v>438.34000000000003</v>
      </c>
      <c r="J38" s="75">
        <f t="shared" si="16"/>
        <v>607.86</v>
      </c>
      <c r="K38" s="75">
        <f t="shared" si="16"/>
        <v>582.25</v>
      </c>
      <c r="L38" s="75">
        <f t="shared" si="16"/>
        <v>464.07000000000005</v>
      </c>
      <c r="M38" s="75">
        <f t="shared" si="16"/>
        <v>498.25</v>
      </c>
      <c r="N38" s="75">
        <f t="shared" si="16"/>
        <v>499.13</v>
      </c>
    </row>
    <row r="39" ht="11.25"/>
    <row r="40" ht="11.25">
      <c r="A40" s="83" t="s">
        <v>61</v>
      </c>
    </row>
    <row r="41" spans="2:14" ht="11.25">
      <c r="B41" s="66" t="s">
        <v>24</v>
      </c>
      <c r="C41" s="94">
        <v>1</v>
      </c>
      <c r="D41" s="95">
        <v>1</v>
      </c>
      <c r="E41" s="95">
        <v>1</v>
      </c>
      <c r="F41" s="95">
        <v>1</v>
      </c>
      <c r="G41" s="95">
        <v>1</v>
      </c>
      <c r="H41" s="95">
        <v>1</v>
      </c>
      <c r="I41" s="95">
        <v>1</v>
      </c>
      <c r="J41" s="95">
        <v>1</v>
      </c>
      <c r="K41" s="95">
        <v>1</v>
      </c>
      <c r="L41" s="95">
        <v>1</v>
      </c>
      <c r="M41" s="95">
        <v>1</v>
      </c>
      <c r="N41" s="95">
        <v>1</v>
      </c>
    </row>
    <row r="42" spans="2:14" ht="11.25">
      <c r="B42" s="66" t="s">
        <v>28</v>
      </c>
      <c r="C42" s="94">
        <v>1</v>
      </c>
      <c r="D42" s="95">
        <v>1</v>
      </c>
      <c r="E42" s="95">
        <v>1</v>
      </c>
      <c r="F42" s="95">
        <v>1</v>
      </c>
      <c r="G42" s="95">
        <v>1</v>
      </c>
      <c r="H42" s="95">
        <v>1</v>
      </c>
      <c r="I42" s="95">
        <v>1</v>
      </c>
      <c r="J42" s="95">
        <v>1</v>
      </c>
      <c r="K42" s="95">
        <v>1</v>
      </c>
      <c r="L42" s="95">
        <v>1</v>
      </c>
      <c r="M42" s="95">
        <v>1</v>
      </c>
      <c r="N42" s="95">
        <v>1</v>
      </c>
    </row>
    <row r="43" spans="2:14" ht="11.25">
      <c r="B43" s="66" t="s">
        <v>52</v>
      </c>
      <c r="C43" s="94">
        <v>1</v>
      </c>
      <c r="D43" s="95">
        <v>1</v>
      </c>
      <c r="E43" s="95">
        <v>1</v>
      </c>
      <c r="F43" s="95">
        <v>1</v>
      </c>
      <c r="G43" s="95">
        <v>1</v>
      </c>
      <c r="H43" s="95">
        <v>1</v>
      </c>
      <c r="I43" s="95">
        <v>1</v>
      </c>
      <c r="J43" s="95">
        <v>1</v>
      </c>
      <c r="K43" s="95">
        <v>1</v>
      </c>
      <c r="L43" s="95">
        <v>1</v>
      </c>
      <c r="M43" s="95">
        <v>1</v>
      </c>
      <c r="N43" s="95">
        <v>1</v>
      </c>
    </row>
    <row r="44" spans="2:14" ht="11.25">
      <c r="B44" s="66" t="s">
        <v>53</v>
      </c>
      <c r="C44" s="94">
        <v>1</v>
      </c>
      <c r="D44" s="95">
        <v>1</v>
      </c>
      <c r="E44" s="95">
        <v>1</v>
      </c>
      <c r="F44" s="95">
        <v>1</v>
      </c>
      <c r="G44" s="95">
        <v>1</v>
      </c>
      <c r="H44" s="95">
        <v>1</v>
      </c>
      <c r="I44" s="95">
        <v>1</v>
      </c>
      <c r="J44" s="95">
        <v>1</v>
      </c>
      <c r="K44" s="95">
        <v>1</v>
      </c>
      <c r="L44" s="95">
        <v>1</v>
      </c>
      <c r="M44" s="95">
        <v>1</v>
      </c>
      <c r="N44" s="95">
        <v>1</v>
      </c>
    </row>
    <row r="45" spans="2:14" ht="11.25">
      <c r="B45" s="66" t="s">
        <v>54</v>
      </c>
      <c r="C45" s="94">
        <v>1</v>
      </c>
      <c r="D45" s="95">
        <v>1</v>
      </c>
      <c r="E45" s="95">
        <v>1</v>
      </c>
      <c r="F45" s="95">
        <v>1</v>
      </c>
      <c r="G45" s="95">
        <v>1</v>
      </c>
      <c r="H45" s="95">
        <v>1</v>
      </c>
      <c r="I45" s="95">
        <v>1</v>
      </c>
      <c r="J45" s="95">
        <v>1</v>
      </c>
      <c r="K45" s="95">
        <v>1</v>
      </c>
      <c r="L45" s="95">
        <v>1</v>
      </c>
      <c r="M45" s="95">
        <v>1</v>
      </c>
      <c r="N45" s="95">
        <v>1</v>
      </c>
    </row>
    <row r="46" spans="2:14" ht="11.25">
      <c r="B46" s="66" t="s">
        <v>55</v>
      </c>
      <c r="C46" s="94">
        <v>1</v>
      </c>
      <c r="D46" s="95">
        <v>1</v>
      </c>
      <c r="E46" s="95">
        <v>1</v>
      </c>
      <c r="F46" s="95">
        <v>1</v>
      </c>
      <c r="G46" s="95">
        <v>1</v>
      </c>
      <c r="H46" s="95">
        <v>1</v>
      </c>
      <c r="I46" s="95">
        <v>1</v>
      </c>
      <c r="J46" s="95">
        <v>1</v>
      </c>
      <c r="K46" s="95">
        <v>1</v>
      </c>
      <c r="L46" s="95">
        <v>1</v>
      </c>
      <c r="M46" s="95">
        <v>1</v>
      </c>
      <c r="N46" s="95">
        <v>1</v>
      </c>
    </row>
    <row r="47" spans="2:14" ht="11.25">
      <c r="B47" s="66" t="s">
        <v>56</v>
      </c>
      <c r="C47" s="94">
        <v>1</v>
      </c>
      <c r="D47" s="95">
        <v>1</v>
      </c>
      <c r="E47" s="95">
        <v>1</v>
      </c>
      <c r="F47" s="95">
        <v>1</v>
      </c>
      <c r="G47" s="95">
        <v>1</v>
      </c>
      <c r="H47" s="95">
        <v>1</v>
      </c>
      <c r="I47" s="95">
        <v>1</v>
      </c>
      <c r="J47" s="95">
        <v>1</v>
      </c>
      <c r="K47" s="95">
        <v>1</v>
      </c>
      <c r="L47" s="95">
        <v>1</v>
      </c>
      <c r="M47" s="95">
        <v>1</v>
      </c>
      <c r="N47" s="95">
        <v>1</v>
      </c>
    </row>
    <row r="48" spans="2:14" ht="11.25">
      <c r="B48" s="66" t="s">
        <v>22</v>
      </c>
      <c r="C48" s="94">
        <v>1</v>
      </c>
      <c r="D48" s="95">
        <v>1</v>
      </c>
      <c r="E48" s="95">
        <v>1</v>
      </c>
      <c r="F48" s="95">
        <v>1</v>
      </c>
      <c r="G48" s="95">
        <v>1</v>
      </c>
      <c r="H48" s="95">
        <v>1</v>
      </c>
      <c r="I48" s="95">
        <v>1</v>
      </c>
      <c r="J48" s="95">
        <v>1</v>
      </c>
      <c r="K48" s="95">
        <v>1</v>
      </c>
      <c r="L48" s="95">
        <v>1</v>
      </c>
      <c r="M48" s="95">
        <v>1</v>
      </c>
      <c r="N48" s="95">
        <v>1</v>
      </c>
    </row>
    <row r="49" spans="2:14" ht="11.25">
      <c r="B49" s="66" t="s">
        <v>57</v>
      </c>
      <c r="C49" s="94">
        <v>1</v>
      </c>
      <c r="D49" s="95">
        <v>1</v>
      </c>
      <c r="E49" s="95">
        <v>1</v>
      </c>
      <c r="F49" s="95">
        <v>1</v>
      </c>
      <c r="G49" s="95">
        <v>1</v>
      </c>
      <c r="H49" s="95">
        <v>1</v>
      </c>
      <c r="I49" s="95">
        <v>1</v>
      </c>
      <c r="J49" s="95">
        <v>1</v>
      </c>
      <c r="K49" s="95">
        <v>1</v>
      </c>
      <c r="L49" s="95">
        <v>1</v>
      </c>
      <c r="M49" s="95">
        <v>1</v>
      </c>
      <c r="N49" s="95">
        <v>1</v>
      </c>
    </row>
    <row r="50" spans="2:14" ht="11.25">
      <c r="B50" s="66" t="s">
        <v>58</v>
      </c>
      <c r="C50" s="94">
        <v>1</v>
      </c>
      <c r="D50" s="95">
        <v>1</v>
      </c>
      <c r="E50" s="95">
        <v>1</v>
      </c>
      <c r="F50" s="95">
        <v>1</v>
      </c>
      <c r="G50" s="95">
        <v>1</v>
      </c>
      <c r="H50" s="95">
        <v>1</v>
      </c>
      <c r="I50" s="95">
        <v>1</v>
      </c>
      <c r="J50" s="95">
        <v>1</v>
      </c>
      <c r="K50" s="95">
        <v>1</v>
      </c>
      <c r="L50" s="95">
        <v>1</v>
      </c>
      <c r="M50" s="95">
        <v>1</v>
      </c>
      <c r="N50" s="95">
        <v>1</v>
      </c>
    </row>
    <row r="51" spans="3:14" ht="14.25" customHeight="1">
      <c r="C51" s="93"/>
      <c r="D51" s="95"/>
      <c r="E51" s="95"/>
      <c r="F51" s="95"/>
      <c r="G51" s="95"/>
      <c r="H51" s="95"/>
      <c r="I51" s="95"/>
      <c r="J51" s="95"/>
      <c r="K51" s="95"/>
      <c r="L51" s="95"/>
      <c r="M51" s="95"/>
      <c r="N51" s="95"/>
    </row>
    <row r="52" spans="1:14" ht="11.25">
      <c r="A52" s="66" t="s">
        <v>59</v>
      </c>
      <c r="C52" s="93">
        <f>+C65/C37</f>
        <v>0.9999999999999998</v>
      </c>
      <c r="D52" s="95">
        <v>1</v>
      </c>
      <c r="E52" s="95">
        <v>1</v>
      </c>
      <c r="F52" s="95">
        <v>1</v>
      </c>
      <c r="G52" s="95">
        <v>1</v>
      </c>
      <c r="H52" s="95">
        <v>1</v>
      </c>
      <c r="I52" s="95">
        <v>1</v>
      </c>
      <c r="J52" s="95">
        <v>1</v>
      </c>
      <c r="K52" s="95">
        <v>1</v>
      </c>
      <c r="L52" s="95">
        <v>1</v>
      </c>
      <c r="M52" s="95">
        <v>1</v>
      </c>
      <c r="N52" s="95">
        <v>1</v>
      </c>
    </row>
    <row r="53" spans="12:14" ht="11.25">
      <c r="L53" s="93"/>
      <c r="N53" s="95"/>
    </row>
    <row r="54" spans="1:14" ht="11.25">
      <c r="A54" s="83" t="s">
        <v>62</v>
      </c>
      <c r="L54" s="93"/>
      <c r="N54" s="95"/>
    </row>
    <row r="55" spans="2:14" ht="11.25">
      <c r="B55" s="66" t="s">
        <v>24</v>
      </c>
      <c r="C55" s="75">
        <f aca="true" t="shared" si="17" ref="C55:N55">+C27*C41</f>
        <v>98.33265</v>
      </c>
      <c r="D55" s="75">
        <f t="shared" si="17"/>
        <v>97.3167</v>
      </c>
      <c r="E55" s="75">
        <f>+E27*E41</f>
        <v>105.3507</v>
      </c>
      <c r="F55" s="75">
        <f t="shared" si="17"/>
        <v>94.99815000000001</v>
      </c>
      <c r="G55" s="75">
        <f t="shared" si="17"/>
        <v>100.95150000000001</v>
      </c>
      <c r="H55" s="75">
        <f t="shared" si="17"/>
        <v>97.47075000000001</v>
      </c>
      <c r="I55" s="75">
        <f t="shared" si="17"/>
        <v>85.4763</v>
      </c>
      <c r="J55" s="75">
        <f t="shared" si="17"/>
        <v>118.5327</v>
      </c>
      <c r="K55" s="75">
        <f t="shared" si="17"/>
        <v>113.53875000000001</v>
      </c>
      <c r="L55" s="75">
        <f t="shared" si="17"/>
        <v>90.49365</v>
      </c>
      <c r="M55" s="75">
        <f t="shared" si="17"/>
        <v>97.15875</v>
      </c>
      <c r="N55" s="75">
        <f t="shared" si="17"/>
        <v>97.33035</v>
      </c>
    </row>
    <row r="56" spans="2:14" ht="11.25">
      <c r="B56" s="66" t="s">
        <v>28</v>
      </c>
      <c r="C56" s="75">
        <f aca="true" t="shared" si="18" ref="C56:N56">+C28*C42</f>
        <v>89.860914</v>
      </c>
      <c r="D56" s="75">
        <f t="shared" si="18"/>
        <v>88.932492</v>
      </c>
      <c r="E56" s="75">
        <f t="shared" si="18"/>
        <v>96.274332</v>
      </c>
      <c r="F56" s="75">
        <f t="shared" si="18"/>
        <v>86.813694</v>
      </c>
      <c r="G56" s="75">
        <f t="shared" si="18"/>
        <v>92.25414</v>
      </c>
      <c r="H56" s="75">
        <f t="shared" si="18"/>
        <v>89.07327000000001</v>
      </c>
      <c r="I56" s="75">
        <f t="shared" si="18"/>
        <v>78.11218799999999</v>
      </c>
      <c r="J56" s="75">
        <f t="shared" si="18"/>
        <v>108.320652</v>
      </c>
      <c r="K56" s="75">
        <f t="shared" si="18"/>
        <v>103.75695</v>
      </c>
      <c r="L56" s="75">
        <f t="shared" si="18"/>
        <v>82.697274</v>
      </c>
      <c r="M56" s="75">
        <f t="shared" si="18"/>
        <v>88.78815</v>
      </c>
      <c r="N56" s="75">
        <f t="shared" si="18"/>
        <v>88.944966</v>
      </c>
    </row>
    <row r="57" spans="2:14" ht="11.25">
      <c r="B57" s="66" t="s">
        <v>52</v>
      </c>
      <c r="C57" s="75">
        <f aca="true" t="shared" si="19" ref="C57:N57">+C29*C43</f>
        <v>0</v>
      </c>
      <c r="D57" s="75">
        <f t="shared" si="19"/>
        <v>0</v>
      </c>
      <c r="E57" s="75">
        <f t="shared" si="19"/>
        <v>0</v>
      </c>
      <c r="F57" s="75">
        <f t="shared" si="19"/>
        <v>0</v>
      </c>
      <c r="G57" s="75">
        <f t="shared" si="19"/>
        <v>0</v>
      </c>
      <c r="H57" s="75">
        <f t="shared" si="19"/>
        <v>0</v>
      </c>
      <c r="I57" s="75">
        <f t="shared" si="19"/>
        <v>0</v>
      </c>
      <c r="J57" s="75">
        <f t="shared" si="19"/>
        <v>0</v>
      </c>
      <c r="K57" s="75">
        <f t="shared" si="19"/>
        <v>0</v>
      </c>
      <c r="L57" s="75">
        <f t="shared" si="19"/>
        <v>0</v>
      </c>
      <c r="M57" s="75">
        <f t="shared" si="19"/>
        <v>0</v>
      </c>
      <c r="N57" s="75">
        <f t="shared" si="19"/>
        <v>0</v>
      </c>
    </row>
    <row r="58" spans="2:14" ht="11.25">
      <c r="B58" s="66" t="s">
        <v>53</v>
      </c>
      <c r="C58" s="75">
        <f aca="true" t="shared" si="20" ref="C58:N58">+C30*C44</f>
        <v>8.320455</v>
      </c>
      <c r="D58" s="75">
        <f t="shared" si="20"/>
        <v>8.234490000000001</v>
      </c>
      <c r="E58" s="75">
        <f t="shared" si="20"/>
        <v>8.914290000000001</v>
      </c>
      <c r="F58" s="75">
        <f t="shared" si="20"/>
        <v>8.038305000000001</v>
      </c>
      <c r="G58" s="75">
        <f t="shared" si="20"/>
        <v>8.542050000000001</v>
      </c>
      <c r="H58" s="75">
        <f t="shared" si="20"/>
        <v>8.247525000000001</v>
      </c>
      <c r="I58" s="75">
        <f t="shared" si="20"/>
        <v>7.23261</v>
      </c>
      <c r="J58" s="75">
        <f t="shared" si="20"/>
        <v>10.02969</v>
      </c>
      <c r="K58" s="75">
        <f t="shared" si="20"/>
        <v>9.607125</v>
      </c>
      <c r="L58" s="75">
        <f t="shared" si="20"/>
        <v>7.657155</v>
      </c>
      <c r="M58" s="75">
        <f t="shared" si="20"/>
        <v>8.221125</v>
      </c>
      <c r="N58" s="75">
        <f t="shared" si="20"/>
        <v>8.235645</v>
      </c>
    </row>
    <row r="59" spans="2:14" ht="11.25">
      <c r="B59" s="66" t="s">
        <v>54</v>
      </c>
      <c r="C59" s="75">
        <f aca="true" t="shared" si="21" ref="C59:N59">+C31*C45</f>
        <v>22.641723</v>
      </c>
      <c r="D59" s="75">
        <f t="shared" si="21"/>
        <v>22.407794000000003</v>
      </c>
      <c r="E59" s="75">
        <f t="shared" si="21"/>
        <v>24.257674</v>
      </c>
      <c r="F59" s="75">
        <f t="shared" si="21"/>
        <v>21.873933</v>
      </c>
      <c r="G59" s="75">
        <f t="shared" si="21"/>
        <v>23.244730000000004</v>
      </c>
      <c r="H59" s="75">
        <f t="shared" si="21"/>
        <v>22.443265000000004</v>
      </c>
      <c r="I59" s="75">
        <f t="shared" si="21"/>
        <v>19.681466</v>
      </c>
      <c r="J59" s="75">
        <f t="shared" si="21"/>
        <v>27.292914000000003</v>
      </c>
      <c r="K59" s="75">
        <f t="shared" si="21"/>
        <v>26.143025</v>
      </c>
      <c r="L59" s="75">
        <f t="shared" si="21"/>
        <v>20.836743000000002</v>
      </c>
      <c r="M59" s="75">
        <f t="shared" si="21"/>
        <v>22.371425000000002</v>
      </c>
      <c r="N59" s="75">
        <f t="shared" si="21"/>
        <v>22.410937</v>
      </c>
    </row>
    <row r="60" spans="2:14" ht="11.25">
      <c r="B60" s="66" t="s">
        <v>55</v>
      </c>
      <c r="C60" s="96">
        <f aca="true" t="shared" si="22" ref="C60:N60">+C32*C46</f>
        <v>3.7820249999999995</v>
      </c>
      <c r="D60" s="96">
        <f t="shared" si="22"/>
        <v>3.74295</v>
      </c>
      <c r="E60" s="96">
        <f t="shared" si="22"/>
        <v>4.05195</v>
      </c>
      <c r="F60" s="96">
        <f t="shared" si="22"/>
        <v>3.653775</v>
      </c>
      <c r="G60" s="96">
        <f t="shared" si="22"/>
        <v>3.88275</v>
      </c>
      <c r="H60" s="96">
        <f t="shared" si="22"/>
        <v>3.748875</v>
      </c>
      <c r="I60" s="96">
        <f t="shared" si="22"/>
        <v>3.2875499999999995</v>
      </c>
      <c r="J60" s="96">
        <f t="shared" si="22"/>
        <v>4.55895</v>
      </c>
      <c r="K60" s="96">
        <f t="shared" si="22"/>
        <v>4.366874999999999</v>
      </c>
      <c r="L60" s="96">
        <f t="shared" si="22"/>
        <v>3.4805249999999996</v>
      </c>
      <c r="M60" s="96">
        <f t="shared" si="22"/>
        <v>3.736875</v>
      </c>
      <c r="N60" s="96">
        <f t="shared" si="22"/>
        <v>3.7434749999999997</v>
      </c>
    </row>
    <row r="61" spans="2:14" ht="11.25">
      <c r="B61" s="66" t="s">
        <v>56</v>
      </c>
      <c r="C61" s="75">
        <f aca="true" t="shared" si="23" ref="C61:N61">+C33*C47</f>
        <v>0</v>
      </c>
      <c r="D61" s="75">
        <f t="shared" si="23"/>
        <v>0</v>
      </c>
      <c r="E61" s="75">
        <f t="shared" si="23"/>
        <v>0</v>
      </c>
      <c r="F61" s="75">
        <f t="shared" si="23"/>
        <v>0</v>
      </c>
      <c r="G61" s="75">
        <f t="shared" si="23"/>
        <v>0</v>
      </c>
      <c r="H61" s="75">
        <f t="shared" si="23"/>
        <v>0</v>
      </c>
      <c r="I61" s="75">
        <f t="shared" si="23"/>
        <v>0</v>
      </c>
      <c r="J61" s="75">
        <f t="shared" si="23"/>
        <v>0</v>
      </c>
      <c r="K61" s="75">
        <f t="shared" si="23"/>
        <v>0</v>
      </c>
      <c r="L61" s="75">
        <f t="shared" si="23"/>
        <v>0</v>
      </c>
      <c r="M61" s="75">
        <f t="shared" si="23"/>
        <v>0</v>
      </c>
      <c r="N61" s="75">
        <f t="shared" si="23"/>
        <v>0</v>
      </c>
    </row>
    <row r="62" spans="2:14" ht="11.25">
      <c r="B62" s="66" t="s">
        <v>49</v>
      </c>
      <c r="C62" s="75">
        <f aca="true" t="shared" si="24" ref="C62:N62">+C34*C48</f>
        <v>89.154936</v>
      </c>
      <c r="D62" s="75">
        <f t="shared" si="24"/>
        <v>88.23380800000001</v>
      </c>
      <c r="E62" s="75">
        <f t="shared" si="24"/>
        <v>95.51796800000001</v>
      </c>
      <c r="F62" s="75">
        <f t="shared" si="24"/>
        <v>86.131656</v>
      </c>
      <c r="G62" s="75">
        <f t="shared" si="24"/>
        <v>91.52936000000001</v>
      </c>
      <c r="H62" s="75">
        <f t="shared" si="24"/>
        <v>88.37348000000001</v>
      </c>
      <c r="I62" s="75">
        <f t="shared" si="24"/>
        <v>77.498512</v>
      </c>
      <c r="J62" s="75">
        <f t="shared" si="24"/>
        <v>107.469648</v>
      </c>
      <c r="K62" s="75">
        <f t="shared" si="24"/>
        <v>102.9418</v>
      </c>
      <c r="L62" s="75">
        <f t="shared" si="24"/>
        <v>82.047576</v>
      </c>
      <c r="M62" s="75">
        <f t="shared" si="24"/>
        <v>88.09060000000001</v>
      </c>
      <c r="N62" s="75">
        <f t="shared" si="24"/>
        <v>88.246184</v>
      </c>
    </row>
    <row r="63" spans="2:14" ht="11.25">
      <c r="B63" s="66" t="s">
        <v>57</v>
      </c>
      <c r="C63" s="75">
        <f aca="true" t="shared" si="25" ref="C63:N63">+C35*C49</f>
        <v>0</v>
      </c>
      <c r="D63" s="75">
        <f t="shared" si="25"/>
        <v>0</v>
      </c>
      <c r="E63" s="75">
        <f t="shared" si="25"/>
        <v>0</v>
      </c>
      <c r="F63" s="75">
        <f t="shared" si="25"/>
        <v>0</v>
      </c>
      <c r="G63" s="75">
        <f t="shared" si="25"/>
        <v>0</v>
      </c>
      <c r="H63" s="75">
        <f t="shared" si="25"/>
        <v>0</v>
      </c>
      <c r="I63" s="75">
        <f t="shared" si="25"/>
        <v>0</v>
      </c>
      <c r="J63" s="75">
        <f t="shared" si="25"/>
        <v>0</v>
      </c>
      <c r="K63" s="75">
        <f t="shared" si="25"/>
        <v>0</v>
      </c>
      <c r="L63" s="75">
        <f t="shared" si="25"/>
        <v>0</v>
      </c>
      <c r="M63" s="75">
        <f t="shared" si="25"/>
        <v>0</v>
      </c>
      <c r="N63" s="75">
        <f t="shared" si="25"/>
        <v>0</v>
      </c>
    </row>
    <row r="64" spans="2:16" ht="12.75">
      <c r="B64" s="66" t="s">
        <v>58</v>
      </c>
      <c r="C64" s="75">
        <f aca="true" t="shared" si="26" ref="C64:N64">+C36*C50</f>
        <v>29.903211000000066</v>
      </c>
      <c r="D64" s="75">
        <f t="shared" si="26"/>
        <v>29.594258000000064</v>
      </c>
      <c r="E64" s="75">
        <f t="shared" si="26"/>
        <v>32.03741800000007</v>
      </c>
      <c r="F64" s="75">
        <f t="shared" si="26"/>
        <v>28.889181000000065</v>
      </c>
      <c r="G64" s="75">
        <f t="shared" si="26"/>
        <v>30.69961000000007</v>
      </c>
      <c r="H64" s="75">
        <f t="shared" si="26"/>
        <v>29.641105000000067</v>
      </c>
      <c r="I64" s="75">
        <f t="shared" si="26"/>
        <v>25.993562000000054</v>
      </c>
      <c r="J64" s="75">
        <f t="shared" si="26"/>
        <v>36.04609800000008</v>
      </c>
      <c r="K64" s="75">
        <f t="shared" si="26"/>
        <v>34.52742500000008</v>
      </c>
      <c r="L64" s="75">
        <f t="shared" si="26"/>
        <v>27.51935100000006</v>
      </c>
      <c r="M64" s="75">
        <f t="shared" si="26"/>
        <v>29.546225000000064</v>
      </c>
      <c r="N64" s="75">
        <f t="shared" si="26"/>
        <v>29.598409000000064</v>
      </c>
      <c r="P64" s="169"/>
    </row>
    <row r="65" spans="2:16" ht="12.75">
      <c r="B65" s="66" t="s">
        <v>59</v>
      </c>
      <c r="C65" s="90">
        <f aca="true" t="shared" si="27" ref="C65:N65">+C7-SUM(C55:C64)</f>
        <v>162.27408599999995</v>
      </c>
      <c r="D65" s="90">
        <f t="shared" si="27"/>
        <v>160.5975079999999</v>
      </c>
      <c r="E65" s="90">
        <f t="shared" si="27"/>
        <v>173.85566799999992</v>
      </c>
      <c r="F65" s="90">
        <f t="shared" si="27"/>
        <v>156.77130599999992</v>
      </c>
      <c r="G65" s="90">
        <f t="shared" si="27"/>
        <v>166.59585999999996</v>
      </c>
      <c r="H65" s="90">
        <f t="shared" si="27"/>
        <v>160.85172999999998</v>
      </c>
      <c r="I65" s="90">
        <f t="shared" si="27"/>
        <v>141.0578119999999</v>
      </c>
      <c r="J65" s="90">
        <f t="shared" si="27"/>
        <v>195.60934799999995</v>
      </c>
      <c r="K65" s="90">
        <f t="shared" si="27"/>
        <v>187.36804999999993</v>
      </c>
      <c r="L65" s="90">
        <f t="shared" si="27"/>
        <v>149.33772599999992</v>
      </c>
      <c r="M65" s="90">
        <f t="shared" si="27"/>
        <v>160.33684999999997</v>
      </c>
      <c r="N65" s="90">
        <f t="shared" si="27"/>
        <v>160.62003399999998</v>
      </c>
      <c r="P65" s="169"/>
    </row>
    <row r="66" spans="3:16" ht="12.75">
      <c r="C66" s="75">
        <f aca="true" t="shared" si="28" ref="C66:N66">SUM(C55:C65)</f>
        <v>504.27</v>
      </c>
      <c r="D66" s="75">
        <f t="shared" si="28"/>
        <v>499.06</v>
      </c>
      <c r="E66" s="75">
        <f t="shared" si="28"/>
        <v>540.26</v>
      </c>
      <c r="F66" s="75">
        <f t="shared" si="28"/>
        <v>487.17</v>
      </c>
      <c r="G66" s="75">
        <f t="shared" si="28"/>
        <v>517.7</v>
      </c>
      <c r="H66" s="75">
        <f t="shared" si="28"/>
        <v>499.85</v>
      </c>
      <c r="I66" s="75">
        <f t="shared" si="28"/>
        <v>438.34</v>
      </c>
      <c r="J66" s="75">
        <f t="shared" si="28"/>
        <v>607.86</v>
      </c>
      <c r="K66" s="75">
        <f t="shared" si="28"/>
        <v>582.25</v>
      </c>
      <c r="L66" s="75">
        <f t="shared" si="28"/>
        <v>464.07</v>
      </c>
      <c r="M66" s="75">
        <f t="shared" si="28"/>
        <v>498.25</v>
      </c>
      <c r="N66" s="75">
        <f t="shared" si="28"/>
        <v>499.13</v>
      </c>
      <c r="P66" s="169"/>
    </row>
    <row r="67" spans="16:20" ht="12.75">
      <c r="P67" s="171" t="s">
        <v>107</v>
      </c>
      <c r="S67" s="69"/>
      <c r="T67" s="69" t="s">
        <v>106</v>
      </c>
    </row>
    <row r="68" spans="1:20" ht="12.75">
      <c r="A68" s="97" t="s">
        <v>63</v>
      </c>
      <c r="P68" s="171" t="s">
        <v>108</v>
      </c>
      <c r="R68" s="66" t="s">
        <v>101</v>
      </c>
      <c r="S68" s="69" t="s">
        <v>103</v>
      </c>
      <c r="T68" s="166" t="str">
        <f>TEXT(C6,"mm/yy")&amp;" - "&amp;TEXT(I6,"mm/yy")</f>
        <v>05/14 - 11/14</v>
      </c>
    </row>
    <row r="69" spans="2:21" ht="12">
      <c r="B69" s="66" t="s">
        <v>24</v>
      </c>
      <c r="C69" s="130">
        <v>75.1</v>
      </c>
      <c r="D69" s="130">
        <v>73.84</v>
      </c>
      <c r="E69" s="130">
        <v>74.45</v>
      </c>
      <c r="F69" s="130">
        <v>73.7</v>
      </c>
      <c r="G69" s="172">
        <v>67.00399999999999</v>
      </c>
      <c r="H69" s="130">
        <v>68.453</v>
      </c>
      <c r="I69" s="130">
        <v>63.75599999999999</v>
      </c>
      <c r="J69" s="130">
        <v>60.78099999999999</v>
      </c>
      <c r="K69" s="130">
        <v>59.101</v>
      </c>
      <c r="L69" s="130">
        <v>58.51999999999999</v>
      </c>
      <c r="M69" s="130">
        <v>59.919999999999995</v>
      </c>
      <c r="N69" s="130">
        <v>61.285</v>
      </c>
      <c r="P69" s="170">
        <f aca="true" t="shared" si="29" ref="P69:P79">AVERAGE(B69:N69)</f>
        <v>66.3258333333333</v>
      </c>
      <c r="R69" s="66" t="str">
        <f>+B69</f>
        <v>ONP</v>
      </c>
      <c r="S69" s="164">
        <f>'[2]Single Family'!N69*N13</f>
        <v>14.37345</v>
      </c>
      <c r="T69" s="162">
        <f>P69*N13</f>
        <v>12.933537499999995</v>
      </c>
      <c r="U69" s="111">
        <f>+T69-S69</f>
        <v>-1.4399125000000055</v>
      </c>
    </row>
    <row r="70" spans="2:21" ht="12">
      <c r="B70" s="66" t="s">
        <v>28</v>
      </c>
      <c r="C70" s="130">
        <v>99.54</v>
      </c>
      <c r="D70" s="130">
        <v>95.65</v>
      </c>
      <c r="E70" s="130">
        <v>101.64</v>
      </c>
      <c r="F70" s="130">
        <v>98.99</v>
      </c>
      <c r="G70" s="172">
        <v>91.476</v>
      </c>
      <c r="H70" s="130">
        <v>95.333</v>
      </c>
      <c r="I70" s="130">
        <v>93.1</v>
      </c>
      <c r="J70" s="130">
        <v>88.648</v>
      </c>
      <c r="K70" s="130">
        <v>85.645</v>
      </c>
      <c r="L70" s="130">
        <v>73.444</v>
      </c>
      <c r="M70" s="130">
        <v>71.743</v>
      </c>
      <c r="N70" s="130">
        <v>80.04499999999999</v>
      </c>
      <c r="P70" s="170">
        <f t="shared" si="29"/>
        <v>89.60450000000002</v>
      </c>
      <c r="R70" s="66" t="str">
        <f aca="true" t="shared" si="30" ref="R70:R79">+B70</f>
        <v>OCC</v>
      </c>
      <c r="S70" s="164">
        <f>'[2]Single Family'!N70*N14</f>
        <v>17.5796082</v>
      </c>
      <c r="T70" s="162">
        <f aca="true" t="shared" si="31" ref="T70:T79">P70*N14</f>
        <v>15.967521900000003</v>
      </c>
      <c r="U70" s="111">
        <f aca="true" t="shared" si="32" ref="U70:U80">+T70-S70</f>
        <v>-1.612086299999996</v>
      </c>
    </row>
    <row r="71" spans="2:21" ht="12">
      <c r="B71" s="66" t="s">
        <v>52</v>
      </c>
      <c r="C71" s="172">
        <v>0</v>
      </c>
      <c r="D71" s="172">
        <v>0</v>
      </c>
      <c r="E71" s="172">
        <v>0</v>
      </c>
      <c r="F71" s="172">
        <v>0</v>
      </c>
      <c r="G71" s="172">
        <v>0</v>
      </c>
      <c r="H71" s="130">
        <v>0</v>
      </c>
      <c r="I71" s="130">
        <v>0</v>
      </c>
      <c r="J71" s="130">
        <v>0</v>
      </c>
      <c r="K71" s="130"/>
      <c r="L71" s="130"/>
      <c r="M71" s="130"/>
      <c r="N71" s="130"/>
      <c r="P71" s="170">
        <f t="shared" si="29"/>
        <v>0</v>
      </c>
      <c r="R71" s="66" t="str">
        <f t="shared" si="30"/>
        <v>Magazines</v>
      </c>
      <c r="S71" s="164">
        <f>'[2]Single Family'!N71*N15</f>
        <v>0</v>
      </c>
      <c r="T71" s="162">
        <f t="shared" si="31"/>
        <v>0</v>
      </c>
      <c r="U71" s="111">
        <f t="shared" si="32"/>
        <v>0</v>
      </c>
    </row>
    <row r="72" spans="2:21" ht="11.25">
      <c r="B72" s="66" t="s">
        <v>53</v>
      </c>
      <c r="C72" s="130">
        <v>80.19</v>
      </c>
      <c r="D72" s="130">
        <v>74.19</v>
      </c>
      <c r="E72" s="130">
        <v>73.75</v>
      </c>
      <c r="F72" s="130">
        <v>73.26</v>
      </c>
      <c r="G72" s="172">
        <v>76.70599999999999</v>
      </c>
      <c r="H72" s="130">
        <v>61.949999999999996</v>
      </c>
      <c r="I72" s="130">
        <v>52.857</v>
      </c>
      <c r="J72" s="130">
        <v>53.297999999999995</v>
      </c>
      <c r="K72" s="130">
        <v>53.025</v>
      </c>
      <c r="L72" s="130">
        <v>39.095</v>
      </c>
      <c r="M72" s="130">
        <v>39.753</v>
      </c>
      <c r="N72" s="130">
        <v>39.269999999999996</v>
      </c>
      <c r="P72" s="170">
        <f t="shared" si="29"/>
        <v>59.77866666666667</v>
      </c>
      <c r="R72" s="66" t="str">
        <f t="shared" si="30"/>
        <v>Tin</v>
      </c>
      <c r="S72" s="164">
        <f>'[2]Single Family'!N72*N16</f>
        <v>1.3476540000000001</v>
      </c>
      <c r="T72" s="162">
        <f t="shared" si="31"/>
        <v>0.9863480000000001</v>
      </c>
      <c r="U72" s="111">
        <f t="shared" si="32"/>
        <v>-0.361306</v>
      </c>
    </row>
    <row r="73" spans="2:21" ht="11.25">
      <c r="B73" s="66" t="s">
        <v>54</v>
      </c>
      <c r="C73" s="130">
        <v>189.09</v>
      </c>
      <c r="D73" s="130">
        <v>190.61</v>
      </c>
      <c r="E73" s="130">
        <v>213.81</v>
      </c>
      <c r="F73" s="130">
        <v>216.37</v>
      </c>
      <c r="G73" s="172">
        <v>238.16799999999998</v>
      </c>
      <c r="H73" s="130">
        <v>230.12499999999997</v>
      </c>
      <c r="I73" s="130">
        <v>209.377</v>
      </c>
      <c r="J73" s="130">
        <v>171.57</v>
      </c>
      <c r="K73" s="130">
        <v>130.49399999999997</v>
      </c>
      <c r="L73" s="130">
        <v>104.237</v>
      </c>
      <c r="M73" s="130">
        <v>119.26599999999999</v>
      </c>
      <c r="N73" s="130">
        <v>143.15699999999998</v>
      </c>
      <c r="P73" s="170">
        <f t="shared" si="29"/>
        <v>179.68949999999998</v>
      </c>
      <c r="R73" s="66" t="str">
        <f t="shared" si="30"/>
        <v>Plastic</v>
      </c>
      <c r="S73" s="164">
        <f>'[2]Single Family'!N73*N17</f>
        <v>7.959961799999999</v>
      </c>
      <c r="T73" s="162">
        <f t="shared" si="31"/>
        <v>8.06805855</v>
      </c>
      <c r="U73" s="111">
        <f t="shared" si="32"/>
        <v>0.10809675000000052</v>
      </c>
    </row>
    <row r="74" spans="2:21" ht="11.25">
      <c r="B74" s="66" t="s">
        <v>55</v>
      </c>
      <c r="C74" s="130">
        <v>1078.01</v>
      </c>
      <c r="D74" s="130">
        <v>1048.72</v>
      </c>
      <c r="E74" s="130">
        <v>1082.54</v>
      </c>
      <c r="F74" s="130">
        <v>1138.19</v>
      </c>
      <c r="G74" s="172">
        <v>1150.8559999999998</v>
      </c>
      <c r="H74" s="130">
        <v>1124.487</v>
      </c>
      <c r="I74" s="130">
        <v>1232</v>
      </c>
      <c r="J74" s="130">
        <v>1190</v>
      </c>
      <c r="K74" s="130">
        <v>1106</v>
      </c>
      <c r="L74" s="130">
        <v>1095.4089999999999</v>
      </c>
      <c r="M74" s="130">
        <v>1041.194</v>
      </c>
      <c r="N74" s="130">
        <v>970.333</v>
      </c>
      <c r="P74" s="170">
        <f t="shared" si="29"/>
        <v>1104.8115833333334</v>
      </c>
      <c r="R74" s="66" t="str">
        <f t="shared" si="30"/>
        <v>Aluminum</v>
      </c>
      <c r="S74" s="164">
        <f>'[2]Single Family'!N74*N18</f>
        <v>8.19</v>
      </c>
      <c r="T74" s="162">
        <f t="shared" si="31"/>
        <v>8.286086875</v>
      </c>
      <c r="U74" s="111">
        <f t="shared" si="32"/>
        <v>0.09608687500000102</v>
      </c>
    </row>
    <row r="75" spans="2:21" ht="11.25">
      <c r="B75" s="66" t="s">
        <v>56</v>
      </c>
      <c r="C75" s="172">
        <v>0</v>
      </c>
      <c r="D75" s="172">
        <v>0</v>
      </c>
      <c r="E75" s="172">
        <v>0</v>
      </c>
      <c r="F75" s="172">
        <v>0</v>
      </c>
      <c r="G75" s="172">
        <v>0</v>
      </c>
      <c r="H75" s="130">
        <v>0</v>
      </c>
      <c r="I75" s="130">
        <v>0</v>
      </c>
      <c r="J75" s="130">
        <v>0</v>
      </c>
      <c r="K75" s="130"/>
      <c r="L75" s="130"/>
      <c r="M75" s="130"/>
      <c r="N75" s="130"/>
      <c r="P75" s="170">
        <f t="shared" si="29"/>
        <v>0</v>
      </c>
      <c r="R75" s="66" t="str">
        <f t="shared" si="30"/>
        <v>Ferris Metal</v>
      </c>
      <c r="S75" s="164">
        <f>'[2]Single Family'!N75*N19</f>
        <v>0</v>
      </c>
      <c r="T75" s="162">
        <f t="shared" si="31"/>
        <v>0</v>
      </c>
      <c r="U75" s="111">
        <f t="shared" si="32"/>
        <v>0</v>
      </c>
    </row>
    <row r="76" spans="2:21" ht="11.25">
      <c r="B76" s="66" t="s">
        <v>49</v>
      </c>
      <c r="C76" s="130">
        <v>-15.18</v>
      </c>
      <c r="D76" s="130">
        <v>-6.98</v>
      </c>
      <c r="E76" s="130">
        <v>-7.6</v>
      </c>
      <c r="F76" s="130">
        <v>-8.71</v>
      </c>
      <c r="G76" s="172">
        <v>2.6</v>
      </c>
      <c r="H76" s="130">
        <v>0.9939999999999999</v>
      </c>
      <c r="I76" s="130">
        <v>-2.9539999999999997</v>
      </c>
      <c r="J76" s="130">
        <v>-4.7669999999999995</v>
      </c>
      <c r="K76" s="130">
        <v>-3.9339999999999997</v>
      </c>
      <c r="L76" s="130">
        <v>-9.113999999999999</v>
      </c>
      <c r="M76" s="130">
        <v>-5.194</v>
      </c>
      <c r="N76" s="130">
        <v>-13.93</v>
      </c>
      <c r="P76" s="170">
        <f t="shared" si="29"/>
        <v>-6.23075</v>
      </c>
      <c r="R76" s="66" t="str">
        <f t="shared" si="30"/>
        <v>Sorted Glass</v>
      </c>
      <c r="S76" s="164">
        <f>'[2]Single Family'!N76*N20</f>
        <v>-3.1382000000000003</v>
      </c>
      <c r="T76" s="162">
        <f t="shared" si="31"/>
        <v>-1.1015966</v>
      </c>
      <c r="U76" s="111">
        <f t="shared" si="32"/>
        <v>2.0366034000000006</v>
      </c>
    </row>
    <row r="77" spans="2:21" ht="11.25">
      <c r="B77" s="66" t="s">
        <v>57</v>
      </c>
      <c r="C77" s="130">
        <v>-120.17</v>
      </c>
      <c r="D77" s="130">
        <v>-120.17</v>
      </c>
      <c r="E77" s="130">
        <v>-120.17</v>
      </c>
      <c r="F77" s="130">
        <v>-120.17</v>
      </c>
      <c r="G77" s="172">
        <v>-120.17</v>
      </c>
      <c r="H77" s="130">
        <v>-120.17</v>
      </c>
      <c r="I77" s="130">
        <v>-120.17</v>
      </c>
      <c r="J77" s="130">
        <v>-120.17</v>
      </c>
      <c r="K77" s="130">
        <v>-120.17</v>
      </c>
      <c r="L77" s="130">
        <v>-120.17</v>
      </c>
      <c r="M77" s="130">
        <v>-120.17</v>
      </c>
      <c r="N77" s="130">
        <v>-120.17</v>
      </c>
      <c r="P77" s="170">
        <f t="shared" si="29"/>
        <v>-120.17000000000002</v>
      </c>
      <c r="R77" s="66" t="str">
        <f t="shared" si="30"/>
        <v>Glass Contamination</v>
      </c>
      <c r="S77" s="164">
        <f>'[2]Single Family'!N77*N21</f>
        <v>0</v>
      </c>
      <c r="T77" s="162">
        <f t="shared" si="31"/>
        <v>0</v>
      </c>
      <c r="U77" s="111">
        <f t="shared" si="32"/>
        <v>0</v>
      </c>
    </row>
    <row r="78" spans="2:21" ht="11.25">
      <c r="B78" s="66" t="s">
        <v>58</v>
      </c>
      <c r="C78" s="130">
        <v>-120.17</v>
      </c>
      <c r="D78" s="130">
        <v>-120.17</v>
      </c>
      <c r="E78" s="130">
        <v>-120.17</v>
      </c>
      <c r="F78" s="130">
        <v>-120.17</v>
      </c>
      <c r="G78" s="172">
        <v>-120.17</v>
      </c>
      <c r="H78" s="130">
        <v>-120.17</v>
      </c>
      <c r="I78" s="130">
        <v>-120.17</v>
      </c>
      <c r="J78" s="130">
        <v>-120.17</v>
      </c>
      <c r="K78" s="130">
        <v>-120.17</v>
      </c>
      <c r="L78" s="130">
        <v>-120.17</v>
      </c>
      <c r="M78" s="130">
        <v>-120.17</v>
      </c>
      <c r="N78" s="130">
        <v>-120.17</v>
      </c>
      <c r="P78" s="170">
        <f t="shared" si="29"/>
        <v>-120.17000000000002</v>
      </c>
      <c r="R78" s="66" t="str">
        <f t="shared" si="30"/>
        <v>Trash</v>
      </c>
      <c r="S78" s="164">
        <f>'[2]Single Family'!N78*N22</f>
        <v>-7.126081000000016</v>
      </c>
      <c r="T78" s="162">
        <f t="shared" si="31"/>
        <v>-7.126081000000017</v>
      </c>
      <c r="U78" s="111">
        <f t="shared" si="32"/>
        <v>0</v>
      </c>
    </row>
    <row r="79" spans="2:21" ht="12" thickBot="1">
      <c r="B79" s="66" t="s">
        <v>59</v>
      </c>
      <c r="C79" s="130">
        <v>70.07</v>
      </c>
      <c r="D79" s="130">
        <v>68.36</v>
      </c>
      <c r="E79" s="130">
        <v>68.42</v>
      </c>
      <c r="F79" s="130">
        <v>68.02</v>
      </c>
      <c r="G79" s="172">
        <v>62.811</v>
      </c>
      <c r="H79" s="130">
        <v>60.71799999999999</v>
      </c>
      <c r="I79" s="130">
        <v>56.370999999999995</v>
      </c>
      <c r="J79" s="130">
        <v>53.717999999999996</v>
      </c>
      <c r="K79" s="130">
        <v>53.25599999999999</v>
      </c>
      <c r="L79" s="130">
        <v>51.967999999999996</v>
      </c>
      <c r="M79" s="130">
        <v>56.06999999999999</v>
      </c>
      <c r="N79" s="130">
        <v>56.06999999999999</v>
      </c>
      <c r="O79" s="111">
        <f>SUM(C69:N79)</f>
        <v>15769.524000000014</v>
      </c>
      <c r="P79" s="170">
        <f t="shared" si="29"/>
        <v>60.487666666666655</v>
      </c>
      <c r="R79" s="66" t="str">
        <f t="shared" si="30"/>
        <v>Mixed Paper</v>
      </c>
      <c r="S79" s="164">
        <f>'[2]Single Family'!N79*N23</f>
        <v>22.278214</v>
      </c>
      <c r="T79" s="162">
        <f t="shared" si="31"/>
        <v>19.464931133333327</v>
      </c>
      <c r="U79" s="111">
        <f t="shared" si="32"/>
        <v>-2.813282866666672</v>
      </c>
    </row>
    <row r="80" spans="18:21" ht="10.5" thickBot="1">
      <c r="R80" s="158" t="s">
        <v>102</v>
      </c>
      <c r="S80" s="165">
        <f>SUM(S69:S79)</f>
        <v>61.46460699999999</v>
      </c>
      <c r="T80" s="163">
        <f>SUMPRODUCT(P69:P79,N13:N23)</f>
        <v>57.4788063583333</v>
      </c>
      <c r="U80" s="111">
        <f t="shared" si="32"/>
        <v>-3.9858006416666854</v>
      </c>
    </row>
    <row r="81" ht="9.75">
      <c r="A81" s="83" t="s">
        <v>64</v>
      </c>
    </row>
    <row r="82" spans="2:20" ht="9.75">
      <c r="B82" s="66" t="s">
        <v>24</v>
      </c>
      <c r="C82" s="98">
        <f>+C69*C55</f>
        <v>7384.782015</v>
      </c>
      <c r="D82" s="75">
        <f aca="true" t="shared" si="33" ref="D82:M82">+D69*D55</f>
        <v>7185.865128</v>
      </c>
      <c r="E82" s="75">
        <f>+E69*E55</f>
        <v>7843.359615</v>
      </c>
      <c r="F82" s="75">
        <f t="shared" si="33"/>
        <v>7001.363655000001</v>
      </c>
      <c r="G82" s="75">
        <f t="shared" si="33"/>
        <v>6764.154305999999</v>
      </c>
      <c r="H82" s="75">
        <f t="shared" si="33"/>
        <v>6672.165249750001</v>
      </c>
      <c r="I82" s="75">
        <f t="shared" si="33"/>
        <v>5449.6269827999995</v>
      </c>
      <c r="J82" s="75">
        <f>+J69*J55</f>
        <v>7204.536038699999</v>
      </c>
      <c r="K82" s="75">
        <f t="shared" si="33"/>
        <v>6710.253663750001</v>
      </c>
      <c r="L82" s="75">
        <f t="shared" si="33"/>
        <v>5295.688397999999</v>
      </c>
      <c r="M82" s="75">
        <f t="shared" si="33"/>
        <v>5821.752299999999</v>
      </c>
      <c r="N82" s="75">
        <f>+N69*N55</f>
        <v>5964.890499749999</v>
      </c>
      <c r="R82" s="66" t="s">
        <v>104</v>
      </c>
      <c r="T82" s="111">
        <f>+T80-S80</f>
        <v>-3.9858006416666854</v>
      </c>
    </row>
    <row r="83" spans="2:20" ht="9.75">
      <c r="B83" s="66" t="s">
        <v>28</v>
      </c>
      <c r="C83" s="98">
        <f aca="true" t="shared" si="34" ref="C83:N83">+C70*C56</f>
        <v>8944.75537956</v>
      </c>
      <c r="D83" s="75">
        <f t="shared" si="34"/>
        <v>8506.3928598</v>
      </c>
      <c r="E83" s="75">
        <f t="shared" si="34"/>
        <v>9785.32310448</v>
      </c>
      <c r="F83" s="75">
        <f t="shared" si="34"/>
        <v>8593.687569059999</v>
      </c>
      <c r="G83" s="75">
        <f t="shared" si="34"/>
        <v>8439.039710640001</v>
      </c>
      <c r="H83" s="75">
        <f t="shared" si="34"/>
        <v>8491.622048910001</v>
      </c>
      <c r="I83" s="75">
        <f t="shared" si="34"/>
        <v>7272.244702799999</v>
      </c>
      <c r="J83" s="75">
        <f t="shared" si="34"/>
        <v>9602.409158495999</v>
      </c>
      <c r="K83" s="75">
        <f t="shared" si="34"/>
        <v>8886.26398275</v>
      </c>
      <c r="L83" s="75">
        <f t="shared" si="34"/>
        <v>6073.618591656</v>
      </c>
      <c r="M83" s="75">
        <f t="shared" si="34"/>
        <v>6369.92824545</v>
      </c>
      <c r="N83" s="75">
        <f t="shared" si="34"/>
        <v>7119.599803469999</v>
      </c>
      <c r="R83" s="66" t="s">
        <v>110</v>
      </c>
      <c r="T83" s="173">
        <f>SUM(C7:N7)</f>
        <v>6138.21</v>
      </c>
    </row>
    <row r="84" spans="2:20" ht="9.75">
      <c r="B84" s="66" t="s">
        <v>52</v>
      </c>
      <c r="C84" s="98">
        <f aca="true" t="shared" si="35" ref="C84:N84">+C71*C57</f>
        <v>0</v>
      </c>
      <c r="D84" s="75">
        <f t="shared" si="35"/>
        <v>0</v>
      </c>
      <c r="E84" s="75">
        <f t="shared" si="35"/>
        <v>0</v>
      </c>
      <c r="F84" s="75">
        <f t="shared" si="35"/>
        <v>0</v>
      </c>
      <c r="G84" s="75">
        <f t="shared" si="35"/>
        <v>0</v>
      </c>
      <c r="H84" s="75">
        <f t="shared" si="35"/>
        <v>0</v>
      </c>
      <c r="I84" s="75">
        <f t="shared" si="35"/>
        <v>0</v>
      </c>
      <c r="J84" s="75">
        <f t="shared" si="35"/>
        <v>0</v>
      </c>
      <c r="K84" s="75">
        <f t="shared" si="35"/>
        <v>0</v>
      </c>
      <c r="L84" s="75">
        <f t="shared" si="35"/>
        <v>0</v>
      </c>
      <c r="M84" s="75">
        <f t="shared" si="35"/>
        <v>0</v>
      </c>
      <c r="N84" s="75">
        <f t="shared" si="35"/>
        <v>0</v>
      </c>
      <c r="R84" s="167" t="s">
        <v>111</v>
      </c>
      <c r="S84" s="167"/>
      <c r="T84" s="168">
        <v>601</v>
      </c>
    </row>
    <row r="85" spans="2:20" ht="9.75">
      <c r="B85" s="66" t="s">
        <v>53</v>
      </c>
      <c r="C85" s="98">
        <f aca="true" t="shared" si="36" ref="C85:N85">+C72*C58</f>
        <v>667.2172864500001</v>
      </c>
      <c r="D85" s="75">
        <f t="shared" si="36"/>
        <v>610.9168131</v>
      </c>
      <c r="E85" s="75">
        <f t="shared" si="36"/>
        <v>657.4288875000001</v>
      </c>
      <c r="F85" s="75">
        <f t="shared" si="36"/>
        <v>588.8862243000001</v>
      </c>
      <c r="G85" s="75">
        <f t="shared" si="36"/>
        <v>655.2264873</v>
      </c>
      <c r="H85" s="75">
        <f t="shared" si="36"/>
        <v>510.93417375000007</v>
      </c>
      <c r="I85" s="75">
        <f t="shared" si="36"/>
        <v>382.29406677000003</v>
      </c>
      <c r="J85" s="75">
        <f t="shared" si="36"/>
        <v>534.56241762</v>
      </c>
      <c r="K85" s="75">
        <f t="shared" si="36"/>
        <v>509.417803125</v>
      </c>
      <c r="L85" s="75">
        <f t="shared" si="36"/>
        <v>299.356474725</v>
      </c>
      <c r="M85" s="75">
        <f t="shared" si="36"/>
        <v>326.814382125</v>
      </c>
      <c r="N85" s="75">
        <f t="shared" si="36"/>
        <v>323.41377915</v>
      </c>
      <c r="R85" s="167" t="s">
        <v>109</v>
      </c>
      <c r="S85" s="167"/>
      <c r="T85" s="168">
        <f>AVERAGE(C7:N7)</f>
        <v>511.5175</v>
      </c>
    </row>
    <row r="86" spans="2:20" ht="9.75">
      <c r="B86" s="66" t="s">
        <v>54</v>
      </c>
      <c r="C86" s="98">
        <f aca="true" t="shared" si="37" ref="C86:N86">+C73*C59</f>
        <v>4281.32340207</v>
      </c>
      <c r="D86" s="75">
        <f t="shared" si="37"/>
        <v>4271.149614340001</v>
      </c>
      <c r="E86" s="75">
        <f t="shared" si="37"/>
        <v>5186.5332779400005</v>
      </c>
      <c r="F86" s="75">
        <f t="shared" si="37"/>
        <v>4732.86288321</v>
      </c>
      <c r="G86" s="75">
        <f t="shared" si="37"/>
        <v>5536.15085464</v>
      </c>
      <c r="H86" s="75">
        <f t="shared" si="37"/>
        <v>5164.756358125001</v>
      </c>
      <c r="I86" s="75">
        <f t="shared" si="37"/>
        <v>4120.846306682</v>
      </c>
      <c r="J86" s="75">
        <f t="shared" si="37"/>
        <v>4682.645254980001</v>
      </c>
      <c r="K86" s="75">
        <f t="shared" si="37"/>
        <v>3411.5079043499995</v>
      </c>
      <c r="L86" s="75">
        <f t="shared" si="37"/>
        <v>2171.959580091</v>
      </c>
      <c r="M86" s="75">
        <f t="shared" si="37"/>
        <v>2668.15037405</v>
      </c>
      <c r="N86" s="75">
        <f t="shared" si="37"/>
        <v>3208.2825081089995</v>
      </c>
      <c r="R86" s="66" t="s">
        <v>105</v>
      </c>
      <c r="T86" s="143">
        <f>+T82*T83</f>
        <v>-24465.681356684865</v>
      </c>
    </row>
    <row r="87" spans="2:14" ht="9.75">
      <c r="B87" s="66" t="s">
        <v>55</v>
      </c>
      <c r="C87" s="98">
        <f aca="true" t="shared" si="38" ref="C87:N87">+C74*C60</f>
        <v>4077.0607702499997</v>
      </c>
      <c r="D87" s="75">
        <f t="shared" si="38"/>
        <v>3925.306524</v>
      </c>
      <c r="E87" s="75">
        <f t="shared" si="38"/>
        <v>4386.397953</v>
      </c>
      <c r="F87" s="75">
        <f t="shared" si="38"/>
        <v>4158.69016725</v>
      </c>
      <c r="G87" s="75">
        <f t="shared" si="38"/>
        <v>4468.486133999999</v>
      </c>
      <c r="H87" s="75">
        <f t="shared" si="38"/>
        <v>4215.561202125</v>
      </c>
      <c r="I87" s="75">
        <f t="shared" si="38"/>
        <v>4050.2615999999994</v>
      </c>
      <c r="J87" s="75">
        <f t="shared" si="38"/>
        <v>5425.150500000001</v>
      </c>
      <c r="K87" s="75">
        <f t="shared" si="38"/>
        <v>4829.763749999999</v>
      </c>
      <c r="L87" s="75">
        <f t="shared" si="38"/>
        <v>3812.5984097249993</v>
      </c>
      <c r="M87" s="75">
        <f t="shared" si="38"/>
        <v>3890.8118287499997</v>
      </c>
      <c r="N87" s="75">
        <f t="shared" si="38"/>
        <v>3632.4173271749996</v>
      </c>
    </row>
    <row r="88" spans="2:14" ht="9.75">
      <c r="B88" s="66" t="s">
        <v>56</v>
      </c>
      <c r="C88" s="98">
        <f aca="true" t="shared" si="39" ref="C88:N88">+C75*C61</f>
        <v>0</v>
      </c>
      <c r="D88" s="75">
        <f t="shared" si="39"/>
        <v>0</v>
      </c>
      <c r="E88" s="75">
        <f t="shared" si="39"/>
        <v>0</v>
      </c>
      <c r="F88" s="75">
        <f t="shared" si="39"/>
        <v>0</v>
      </c>
      <c r="G88" s="75">
        <f t="shared" si="39"/>
        <v>0</v>
      </c>
      <c r="H88" s="75">
        <f t="shared" si="39"/>
        <v>0</v>
      </c>
      <c r="I88" s="75">
        <f t="shared" si="39"/>
        <v>0</v>
      </c>
      <c r="J88" s="75">
        <f t="shared" si="39"/>
        <v>0</v>
      </c>
      <c r="K88" s="75">
        <f t="shared" si="39"/>
        <v>0</v>
      </c>
      <c r="L88" s="75">
        <f t="shared" si="39"/>
        <v>0</v>
      </c>
      <c r="M88" s="75">
        <f t="shared" si="39"/>
        <v>0</v>
      </c>
      <c r="N88" s="75">
        <f t="shared" si="39"/>
        <v>0</v>
      </c>
    </row>
    <row r="89" spans="2:14" ht="9.75">
      <c r="B89" s="66" t="s">
        <v>49</v>
      </c>
      <c r="C89" s="98">
        <f aca="true" t="shared" si="40" ref="C89:N89">+C76*C62</f>
        <v>-1353.3719284800002</v>
      </c>
      <c r="D89" s="75">
        <f t="shared" si="40"/>
        <v>-615.8719798400001</v>
      </c>
      <c r="E89" s="75">
        <f t="shared" si="40"/>
        <v>-725.9365568000001</v>
      </c>
      <c r="F89" s="75">
        <f t="shared" si="40"/>
        <v>-750.2067237600002</v>
      </c>
      <c r="G89" s="75">
        <f t="shared" si="40"/>
        <v>237.97633600000003</v>
      </c>
      <c r="H89" s="75">
        <f t="shared" si="40"/>
        <v>87.84323912</v>
      </c>
      <c r="I89" s="75">
        <f t="shared" si="40"/>
        <v>-228.930604448</v>
      </c>
      <c r="J89" s="75">
        <f t="shared" si="40"/>
        <v>-512.307812016</v>
      </c>
      <c r="K89" s="75">
        <f t="shared" si="40"/>
        <v>-404.97304119999995</v>
      </c>
      <c r="L89" s="75">
        <f t="shared" si="40"/>
        <v>-747.7816076639999</v>
      </c>
      <c r="M89" s="75">
        <f t="shared" si="40"/>
        <v>-457.54257640000003</v>
      </c>
      <c r="N89" s="75">
        <f t="shared" si="40"/>
        <v>-1229.26934312</v>
      </c>
    </row>
    <row r="90" spans="2:14" ht="9.75">
      <c r="B90" s="66" t="s">
        <v>57</v>
      </c>
      <c r="C90" s="98">
        <f aca="true" t="shared" si="41" ref="C90:N90">+C77*C63</f>
        <v>0</v>
      </c>
      <c r="D90" s="75">
        <f t="shared" si="41"/>
        <v>0</v>
      </c>
      <c r="E90" s="75">
        <f t="shared" si="41"/>
        <v>0</v>
      </c>
      <c r="F90" s="75">
        <f t="shared" si="41"/>
        <v>0</v>
      </c>
      <c r="G90" s="75">
        <f t="shared" si="41"/>
        <v>0</v>
      </c>
      <c r="H90" s="75">
        <f t="shared" si="41"/>
        <v>0</v>
      </c>
      <c r="I90" s="75">
        <f t="shared" si="41"/>
        <v>0</v>
      </c>
      <c r="J90" s="75">
        <f t="shared" si="41"/>
        <v>0</v>
      </c>
      <c r="K90" s="75">
        <f t="shared" si="41"/>
        <v>0</v>
      </c>
      <c r="L90" s="75">
        <f t="shared" si="41"/>
        <v>0</v>
      </c>
      <c r="M90" s="75">
        <f t="shared" si="41"/>
        <v>0</v>
      </c>
      <c r="N90" s="75">
        <f t="shared" si="41"/>
        <v>0</v>
      </c>
    </row>
    <row r="91" spans="2:14" ht="9.75">
      <c r="B91" s="66" t="s">
        <v>58</v>
      </c>
      <c r="C91" s="98">
        <f aca="true" t="shared" si="42" ref="C91:N91">+C78*C64</f>
        <v>-3593.468865870008</v>
      </c>
      <c r="D91" s="75">
        <f t="shared" si="42"/>
        <v>-3556.3419838600075</v>
      </c>
      <c r="E91" s="75">
        <f t="shared" si="42"/>
        <v>-3849.936521060009</v>
      </c>
      <c r="F91" s="75">
        <f t="shared" si="42"/>
        <v>-3471.612880770008</v>
      </c>
      <c r="G91" s="75">
        <f t="shared" si="42"/>
        <v>-3689.1721337000085</v>
      </c>
      <c r="H91" s="75">
        <f t="shared" si="42"/>
        <v>-3561.9715878500083</v>
      </c>
      <c r="I91" s="75">
        <f t="shared" si="42"/>
        <v>-3123.6463455400067</v>
      </c>
      <c r="J91" s="75">
        <f t="shared" si="42"/>
        <v>-4331.65959666001</v>
      </c>
      <c r="K91" s="75">
        <f t="shared" si="42"/>
        <v>-4149.160662250009</v>
      </c>
      <c r="L91" s="75">
        <f t="shared" si="42"/>
        <v>-3307.0004096700072</v>
      </c>
      <c r="M91" s="75">
        <f t="shared" si="42"/>
        <v>-3550.5698582500077</v>
      </c>
      <c r="N91" s="75">
        <f t="shared" si="42"/>
        <v>-3556.840809530008</v>
      </c>
    </row>
    <row r="92" spans="2:14" ht="9.75">
      <c r="B92" s="66" t="s">
        <v>59</v>
      </c>
      <c r="C92" s="99">
        <f aca="true" t="shared" si="43" ref="C92:N92">+C79*C65</f>
        <v>11370.545206019995</v>
      </c>
      <c r="D92" s="90">
        <f t="shared" si="43"/>
        <v>10978.445646879993</v>
      </c>
      <c r="E92" s="90">
        <f t="shared" si="43"/>
        <v>11895.204804559995</v>
      </c>
      <c r="F92" s="90">
        <f t="shared" si="43"/>
        <v>10663.584234119995</v>
      </c>
      <c r="G92" s="75">
        <f t="shared" si="43"/>
        <v>10464.052562459998</v>
      </c>
      <c r="H92" s="75">
        <f t="shared" si="43"/>
        <v>9766.595342139997</v>
      </c>
      <c r="I92" s="75">
        <f t="shared" si="43"/>
        <v>7951.569920251994</v>
      </c>
      <c r="J92" s="90">
        <f t="shared" si="43"/>
        <v>10507.742955863996</v>
      </c>
      <c r="K92" s="75">
        <f t="shared" si="43"/>
        <v>9978.472870799995</v>
      </c>
      <c r="L92" s="75">
        <f t="shared" si="43"/>
        <v>7760.782944767995</v>
      </c>
      <c r="M92" s="75">
        <f t="shared" si="43"/>
        <v>8990.087179499997</v>
      </c>
      <c r="N92" s="75">
        <f t="shared" si="43"/>
        <v>9005.965306379998</v>
      </c>
    </row>
    <row r="93" spans="1:15" ht="9.75">
      <c r="A93" s="83" t="s">
        <v>65</v>
      </c>
      <c r="B93" s="83"/>
      <c r="C93" s="100">
        <f aca="true" t="shared" si="44" ref="C93:N93">SUM(C82:C92)</f>
        <v>31778.84326499999</v>
      </c>
      <c r="D93" s="101">
        <f t="shared" si="44"/>
        <v>31305.862622419983</v>
      </c>
      <c r="E93" s="101">
        <f t="shared" si="44"/>
        <v>35178.37456461998</v>
      </c>
      <c r="F93" s="101">
        <f t="shared" si="44"/>
        <v>31517.25512840999</v>
      </c>
      <c r="G93" s="101">
        <f t="shared" si="44"/>
        <v>32875.91425733999</v>
      </c>
      <c r="H93" s="101">
        <f t="shared" si="44"/>
        <v>31347.50602606999</v>
      </c>
      <c r="I93" s="101">
        <f t="shared" si="44"/>
        <v>25874.266629315985</v>
      </c>
      <c r="J93" s="101">
        <f t="shared" si="44"/>
        <v>33113.078916983985</v>
      </c>
      <c r="K93" s="110">
        <f t="shared" si="44"/>
        <v>29771.546271324987</v>
      </c>
      <c r="L93" s="110">
        <f t="shared" si="44"/>
        <v>21359.222381630985</v>
      </c>
      <c r="M93" s="110">
        <f t="shared" si="44"/>
        <v>24059.43187522499</v>
      </c>
      <c r="N93" s="110">
        <f t="shared" si="44"/>
        <v>24468.459071383986</v>
      </c>
      <c r="O93" s="111"/>
    </row>
    <row r="94" spans="1:14" ht="9.75">
      <c r="A94" s="83" t="s">
        <v>66</v>
      </c>
      <c r="B94" s="83"/>
      <c r="C94" s="100">
        <f>+C93/C66</f>
        <v>63.01949999999998</v>
      </c>
      <c r="D94" s="101">
        <f aca="true" t="shared" si="45" ref="D94:N94">+D93/D66</f>
        <v>62.72965699999997</v>
      </c>
      <c r="E94" s="101">
        <f>+E93/E66</f>
        <v>65.11378699999997</v>
      </c>
      <c r="F94" s="101">
        <f t="shared" si="45"/>
        <v>64.69457299999998</v>
      </c>
      <c r="G94" s="101">
        <f t="shared" si="45"/>
        <v>63.50379419999997</v>
      </c>
      <c r="H94" s="101">
        <f t="shared" si="45"/>
        <v>62.71382619999998</v>
      </c>
      <c r="I94" s="101">
        <f t="shared" si="45"/>
        <v>59.02784739999997</v>
      </c>
      <c r="J94" s="101">
        <f t="shared" si="45"/>
        <v>54.474844399999974</v>
      </c>
      <c r="K94" s="75">
        <f t="shared" si="45"/>
        <v>51.13189569999998</v>
      </c>
      <c r="L94" s="75">
        <f t="shared" si="45"/>
        <v>46.02586329999997</v>
      </c>
      <c r="M94" s="75">
        <f t="shared" si="45"/>
        <v>48.28787129999998</v>
      </c>
      <c r="N94" s="75">
        <f t="shared" si="45"/>
        <v>49.022216799999974</v>
      </c>
    </row>
    <row r="95" ht="7.5" customHeight="1"/>
    <row r="96" spans="1:14" ht="9.75">
      <c r="A96" s="83" t="s">
        <v>81</v>
      </c>
      <c r="C96" s="111">
        <f>C94*0.7</f>
        <v>44.113649999999986</v>
      </c>
      <c r="D96" s="111">
        <f aca="true" t="shared" si="46" ref="D96:N96">D94*0.7</f>
        <v>43.910759899999974</v>
      </c>
      <c r="E96" s="111">
        <f>E94*0.7</f>
        <v>45.579650899999976</v>
      </c>
      <c r="F96" s="111">
        <f t="shared" si="46"/>
        <v>45.28620109999998</v>
      </c>
      <c r="G96" s="111">
        <f t="shared" si="46"/>
        <v>44.45265593999998</v>
      </c>
      <c r="H96" s="111">
        <f t="shared" si="46"/>
        <v>43.89967833999998</v>
      </c>
      <c r="I96" s="111">
        <f t="shared" si="46"/>
        <v>41.319493179999974</v>
      </c>
      <c r="J96" s="111">
        <f t="shared" si="46"/>
        <v>38.13239107999998</v>
      </c>
      <c r="K96" s="111">
        <f t="shared" si="46"/>
        <v>35.792326989999985</v>
      </c>
      <c r="L96" s="111">
        <f t="shared" si="46"/>
        <v>32.21810430999998</v>
      </c>
      <c r="M96" s="111">
        <f t="shared" si="46"/>
        <v>33.80150990999998</v>
      </c>
      <c r="N96" s="111">
        <f t="shared" si="46"/>
        <v>34.31555175999998</v>
      </c>
    </row>
    <row r="97" spans="3:10" ht="9.75">
      <c r="C97" s="102"/>
      <c r="D97" s="102"/>
      <c r="E97" s="102"/>
      <c r="F97" s="102"/>
      <c r="G97" s="102"/>
      <c r="H97" s="102"/>
      <c r="I97" s="102"/>
      <c r="J97" s="103"/>
    </row>
    <row r="98" spans="1:10" ht="9.75">
      <c r="A98" s="83"/>
      <c r="B98" s="83"/>
      <c r="C98" s="100"/>
      <c r="D98" s="100"/>
      <c r="E98" s="100"/>
      <c r="F98" s="100"/>
      <c r="G98" s="100"/>
      <c r="H98" s="100"/>
      <c r="I98" s="100"/>
      <c r="J98" s="104"/>
    </row>
    <row r="99" spans="3:10" ht="7.5" customHeight="1">
      <c r="C99" s="103"/>
      <c r="D99" s="103"/>
      <c r="E99" s="103"/>
      <c r="F99" s="103"/>
      <c r="G99" s="103"/>
      <c r="H99" s="103"/>
      <c r="I99" s="103"/>
      <c r="J99" s="103"/>
    </row>
    <row r="100" spans="1:10" ht="9.75">
      <c r="A100" s="83"/>
      <c r="B100" s="83"/>
      <c r="C100" s="104"/>
      <c r="D100" s="104"/>
      <c r="E100" s="104"/>
      <c r="F100" s="104"/>
      <c r="G100" s="104"/>
      <c r="H100" s="104"/>
      <c r="I100" s="104"/>
      <c r="J100" s="104"/>
    </row>
    <row r="101" spans="3:10" ht="7.5" customHeight="1">
      <c r="C101" s="103"/>
      <c r="D101" s="103"/>
      <c r="E101" s="103"/>
      <c r="F101" s="103"/>
      <c r="G101" s="103"/>
      <c r="H101" s="103"/>
      <c r="I101" s="103"/>
      <c r="J101" s="103"/>
    </row>
    <row r="102" spans="1:10" ht="9.75">
      <c r="A102" s="83"/>
      <c r="C102" s="102"/>
      <c r="D102" s="102"/>
      <c r="E102" s="102"/>
      <c r="F102" s="102"/>
      <c r="G102" s="102"/>
      <c r="H102" s="102"/>
      <c r="I102" s="102"/>
      <c r="J102" s="105"/>
    </row>
    <row r="105" ht="9.75">
      <c r="B105" s="66" t="str">
        <f ca="1">CELL("filename")</f>
        <v>C:\Users\jsnyder\Documents\Lynnwood Commodity Credit Templates\Lynnwood Commodity Credit Templates\[TG-151223 Lynnwood Single Family Commodity Credit Template - 2015.xls]WUTC_AW of Lynnwood_SF</v>
      </c>
    </row>
  </sheetData>
  <sheetProtection/>
  <printOptions/>
  <pageMargins left="0.5" right="0.5" top="0.75" bottom="0.75" header="0.5" footer="0.5"/>
  <pageSetup fitToWidth="0" fitToHeight="1" horizontalDpi="600" verticalDpi="600" orientation="portrait" scale="56" r:id="rId4"/>
  <rowBreaks count="1" manualBreakCount="1">
    <brk id="53"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Jennifer Snyder</cp:lastModifiedBy>
  <cp:lastPrinted>2015-06-09T17:15:54Z</cp:lastPrinted>
  <dcterms:created xsi:type="dcterms:W3CDTF">2008-05-23T15:47:44Z</dcterms:created>
  <dcterms:modified xsi:type="dcterms:W3CDTF">2015-06-11T23:15:58Z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DocketNumb">
    <vt:lpwstr>151223</vt:lpwstr>
  </property>
  <property fmtid="{D5CDD505-2E9C-101B-9397-08002B2CF9AE}" pid="6" name="IsConfidenti">
    <vt:lpwstr>0</vt:lpwstr>
  </property>
  <property fmtid="{D5CDD505-2E9C-101B-9397-08002B2CF9AE}" pid="7" name="Dat">
    <vt:lpwstr>2015-06-11T00:00:00Z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