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000" activeTab="0"/>
  </bookViews>
  <sheets>
    <sheet name="2014 Fee" sheetId="1" r:id="rId1"/>
    <sheet name="Commercial" sheetId="2" r:id="rId2"/>
    <sheet name="Residential" sheetId="3" r:id="rId3"/>
    <sheet name="Summary of Report to DC" sheetId="4" r:id="rId4"/>
  </sheets>
  <definedNames>
    <definedName name="_xlnm.Print_Area" localSheetId="0">'2014 Fee'!$A$1:$N$75</definedName>
    <definedName name="_xlnm.Print_Area" localSheetId="1">'Commercial'!$A$1:$G$54</definedName>
    <definedName name="_xlnm.Print_Area" localSheetId="2">'Residential'!$A$1:$F$24</definedName>
    <definedName name="_xlnm.Print_Area" localSheetId="3">'Summary of Report to DC'!$A$1:$H$31</definedName>
  </definedNames>
  <calcPr fullCalcOnLoad="1"/>
</workbook>
</file>

<file path=xl/sharedStrings.xml><?xml version="1.0" encoding="utf-8"?>
<sst xmlns="http://schemas.openxmlformats.org/spreadsheetml/2006/main" count="152" uniqueCount="120">
  <si>
    <t xml:space="preserve">          DOUGLAS COUNTY SOLID WASTE REPORTING FORM</t>
  </si>
  <si>
    <r>
      <t xml:space="preserve">Solid Waste Collection Company:  </t>
    </r>
    <r>
      <rPr>
        <b/>
        <sz val="10"/>
        <rFont val="Arial"/>
        <family val="0"/>
      </rPr>
      <t>Waste Management</t>
    </r>
  </si>
  <si>
    <t>SERVICE</t>
  </si>
  <si>
    <t>NO. OF ACCOUNTS</t>
  </si>
  <si>
    <t>NO. OF PICKUPS</t>
  </si>
  <si>
    <t>RATE</t>
  </si>
  <si>
    <t>LSB./CONTAINER</t>
  </si>
  <si>
    <t>ANNUAL POUNDS</t>
  </si>
  <si>
    <t>1 yard container</t>
  </si>
  <si>
    <t>1.25 yard container</t>
  </si>
  <si>
    <t>1.50 yard container</t>
  </si>
  <si>
    <t>2 yard container</t>
  </si>
  <si>
    <t>3 yard container</t>
  </si>
  <si>
    <t>4 yard container</t>
  </si>
  <si>
    <t>6 yard container</t>
  </si>
  <si>
    <t>8 yard container</t>
  </si>
  <si>
    <t>90 Tote</t>
  </si>
  <si>
    <t>20 yard box</t>
  </si>
  <si>
    <t>25 yard box</t>
  </si>
  <si>
    <t>30 yard box</t>
  </si>
  <si>
    <t>25 yard box (comp.)</t>
  </si>
  <si>
    <t>30 yard box (comp.)</t>
  </si>
  <si>
    <t>TOTAL COMMERCIAL</t>
  </si>
  <si>
    <t xml:space="preserve">A  =      </t>
  </si>
  <si>
    <t>RESIDENTIAL SOURCES</t>
  </si>
  <si>
    <t>1 can</t>
  </si>
  <si>
    <t>2 cans</t>
  </si>
  <si>
    <t>3 cans</t>
  </si>
  <si>
    <t>90 gallon tote</t>
  </si>
  <si>
    <t>TOTAL RESIDENTIAL</t>
  </si>
  <si>
    <t xml:space="preserve">B =     </t>
  </si>
  <si>
    <t>35 gallon tote</t>
  </si>
  <si>
    <t>64 gallon tote</t>
  </si>
  <si>
    <t>WASTE MANAGEMENT OF GR. WENATCHEE</t>
  </si>
  <si>
    <t>Total</t>
  </si>
  <si>
    <t>Fee/</t>
  </si>
  <si>
    <t># of</t>
  </si>
  <si>
    <t>Lbs./</t>
  </si>
  <si>
    <t>Annual</t>
  </si>
  <si>
    <t>Acc't or</t>
  </si>
  <si>
    <t>SERVICE DESCRIPTION</t>
  </si>
  <si>
    <t>Accounts</t>
  </si>
  <si>
    <t>pickup</t>
  </si>
  <si>
    <t>pickups</t>
  </si>
  <si>
    <t>Lbs.</t>
  </si>
  <si>
    <t>pick up</t>
  </si>
  <si>
    <t>Fee</t>
  </si>
  <si>
    <t>MINI CAN WEEKLY SVC</t>
  </si>
  <si>
    <t>1 CAN MONTHLY SVC</t>
  </si>
  <si>
    <t>1 CAN WEEKLY SVC</t>
  </si>
  <si>
    <t>2 CAN WEEKLY SVC</t>
  </si>
  <si>
    <t>3 CAN WEEKLY SVC</t>
  </si>
  <si>
    <t>35 GAL CARTS</t>
  </si>
  <si>
    <t>64 GAL CARTS</t>
  </si>
  <si>
    <t>96 GAL CARTS</t>
  </si>
  <si>
    <t>TOTAL</t>
  </si>
  <si>
    <t>40 yard box (comp.)</t>
  </si>
  <si>
    <t xml:space="preserve">40 yard box </t>
  </si>
  <si>
    <t>5-35 gallon totes</t>
  </si>
  <si>
    <t>2-64 gallons totes</t>
  </si>
  <si>
    <t>2-90 gallon totes</t>
  </si>
  <si>
    <t>3-90 gallon totes</t>
  </si>
  <si>
    <t>months</t>
  </si>
  <si>
    <t>USOA</t>
  </si>
  <si>
    <t>Total Fee</t>
  </si>
  <si>
    <t>Collected</t>
  </si>
  <si>
    <t>2-64 GAL CARTS</t>
  </si>
  <si>
    <t>2-96 GAL CARTS</t>
  </si>
  <si>
    <t>3-96 GAL CARTS</t>
  </si>
  <si>
    <t>5-35 GAL CARTS</t>
  </si>
  <si>
    <t>1-20 Gal</t>
  </si>
  <si>
    <t xml:space="preserve">1 can </t>
  </si>
  <si>
    <t>2-35 gallon tote</t>
  </si>
  <si>
    <t>1 yard EOW (every other week)</t>
  </si>
  <si>
    <t>1.25 yard container EOW</t>
  </si>
  <si>
    <t>1.50 yard container EOW</t>
  </si>
  <si>
    <t>2-1.50 yard container</t>
  </si>
  <si>
    <t>2 Yard container EOW</t>
  </si>
  <si>
    <t>2-2 yard container</t>
  </si>
  <si>
    <t>3-2 yard container</t>
  </si>
  <si>
    <t>3 yard container EOW</t>
  </si>
  <si>
    <t>4 yard Container EOW</t>
  </si>
  <si>
    <t>6 yard container EOW</t>
  </si>
  <si>
    <t>2-6 yard 1x a week</t>
  </si>
  <si>
    <t>2-6 yard 2x a week</t>
  </si>
  <si>
    <t>8 yard container EOW</t>
  </si>
  <si>
    <t>1-8yrd 2x a week</t>
  </si>
  <si>
    <t>1-8yrd 3x a week</t>
  </si>
  <si>
    <t>32 gallon can</t>
  </si>
  <si>
    <t>35 Tote</t>
  </si>
  <si>
    <t>64 Tote</t>
  </si>
  <si>
    <t>3-90 Tote</t>
  </si>
  <si>
    <t>4-90 Tote</t>
  </si>
  <si>
    <t>6-90 Tote</t>
  </si>
  <si>
    <t>9-90 Tote</t>
  </si>
  <si>
    <t>2015 DOUGLAS COUNTY SOLID WASTE COLLECTION FEE</t>
  </si>
  <si>
    <t>Total 2015 Fee</t>
  </si>
  <si>
    <t>Sunrise Disposal</t>
  </si>
  <si>
    <t>Waste Management</t>
  </si>
  <si>
    <t>Zippy Disposal</t>
  </si>
  <si>
    <t>Commercial</t>
  </si>
  <si>
    <t>Residential</t>
  </si>
  <si>
    <t>%</t>
  </si>
  <si>
    <t>As Corrected:</t>
  </si>
  <si>
    <t>As Previously Reported:</t>
  </si>
  <si>
    <t>2-35 GAL CARTS</t>
  </si>
  <si>
    <t>5-2 yard container</t>
  </si>
  <si>
    <t>2-4 yard container</t>
  </si>
  <si>
    <t>15 yard box</t>
  </si>
  <si>
    <t>Current</t>
  </si>
  <si>
    <t>Rate</t>
  </si>
  <si>
    <t>Difference</t>
  </si>
  <si>
    <t>Diff.</t>
  </si>
  <si>
    <t>2-8 yard 1x a week</t>
  </si>
  <si>
    <t>NO. OF CONTAINERS</t>
  </si>
  <si>
    <t>3-8 yard 1x a week</t>
  </si>
  <si>
    <t>DOUGLAS COUNTY COMMERCIAL SOURCES</t>
  </si>
  <si>
    <r>
      <t xml:space="preserve">          </t>
    </r>
    <r>
      <rPr>
        <b/>
        <sz val="14"/>
        <rFont val="Arial"/>
        <family val="2"/>
      </rPr>
      <t>ATTACHMENT A</t>
    </r>
  </si>
  <si>
    <r>
      <t xml:space="preserve">Reporting Period:   </t>
    </r>
    <r>
      <rPr>
        <b/>
        <sz val="10"/>
        <rFont val="Arial"/>
        <family val="0"/>
      </rPr>
      <t>2014</t>
    </r>
  </si>
  <si>
    <r>
      <t xml:space="preserve">Reporting Period: </t>
    </r>
    <r>
      <rPr>
        <b/>
        <sz val="10"/>
        <rFont val="Arial"/>
        <family val="2"/>
      </rPr>
      <t xml:space="preserve"> 2014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</si>
</sst>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_(&quot;$&quot;* #,##0_);_(&quot;$&quot;* \(#,##0\);_(&quot;$&quot;* &quot;-&quot;??_);_(@_)"/>
    <numFmt numFmtId="177" formatCode="_(* #,##0_);_(* \(#,##0\);_(* &quot;-&quot;??_);_(@_)"/>
    <numFmt numFmtId="178" formatCode="_(&quot;$&quot;* #,##0.0000_);_(&quot;$&quot;* \(#,##0.0000\);_(&quot;$&quot;* &quot;-&quot;??_);_(@_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000_-;\-* #,##0.00000_-;_-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&quot;$&quot;#,##0.000_);\(&quot;$&quot;#,##0.000\)"/>
    <numFmt numFmtId="188" formatCode="&quot;$&quot;#,##0.0000_);\(&quot;$&quot;#,##0.0000\)"/>
    <numFmt numFmtId="189" formatCode="&quot;$&quot;#,##0.00000_);\(&quot;$&quot;#,##0.00000\)"/>
    <numFmt numFmtId="190" formatCode="_-&quot;$&quot;* #,##0.000_-;\-&quot;$&quot;* #,##0.000_-;_-&quot;$&quot;* &quot;-&quot;??_-;_-@_-"/>
    <numFmt numFmtId="191" formatCode="_-&quot;$&quot;* #,##0.0000_-;\-&quot;$&quot;* #,##0.0000_-;_-&quot;$&quot;* &quot;-&quot;??_-;_-@_-"/>
    <numFmt numFmtId="192" formatCode="_-&quot;$&quot;* #,##0.00000_-;\-&quot;$&quot;* #,##0.00000_-;_-&quot;$&quot;* &quot;-&quot;??_-;_-@_-"/>
    <numFmt numFmtId="193" formatCode="_-&quot;$&quot;* #,##0.000000_-;\-&quot;$&quot;* #,##0.000000_-;_-&quot;$&quot;* &quot;-&quot;??_-;_-@_-"/>
    <numFmt numFmtId="194" formatCode="#,##0.0_);\(#,##0.0\)"/>
    <numFmt numFmtId="195" formatCode="_(&quot;$&quot;* #,##0.000_);_(&quot;$&quot;* \(#,##0.000\);_(&quot;$&quot;* &quot;-&quot;??_);_(@_)"/>
    <numFmt numFmtId="196" formatCode="_(&quot;$&quot;* #,##0.0_);_(&quot;$&quot;* \(#,##0.0\);_(&quot;$&quot;* &quot;-&quot;??_);_(@_)"/>
    <numFmt numFmtId="197" formatCode="&quot;$&quot;#,##0.000000_);\(&quot;$&quot;#,##0.000000\)"/>
    <numFmt numFmtId="198" formatCode="&quot;$&quot;#,##0.0_);\(&quot;$&quot;#,##0.0\)"/>
    <numFmt numFmtId="199" formatCode="#,##0.000_);\(#,##0.000\)"/>
    <numFmt numFmtId="200" formatCode="#,##0.0000_);\(#,##0.0000\)"/>
    <numFmt numFmtId="201" formatCode="#,##0.00000_);\(#,##0.00000\)"/>
    <numFmt numFmtId="202" formatCode="0.000"/>
    <numFmt numFmtId="203" formatCode="0.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u val="singleAccounting"/>
      <sz val="10"/>
      <name val="Arial"/>
      <family val="2"/>
    </font>
    <font>
      <b/>
      <u val="single"/>
      <sz val="12"/>
      <name val="Arial"/>
      <family val="2"/>
    </font>
    <font>
      <sz val="12"/>
      <name val="Courier"/>
      <family val="3"/>
    </font>
    <font>
      <u val="single"/>
      <sz val="12"/>
      <name val="Arial"/>
      <family val="2"/>
    </font>
    <font>
      <b/>
      <u val="doub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2"/>
      <color indexed="10"/>
      <name val="Arial"/>
      <family val="2"/>
    </font>
    <font>
      <b/>
      <sz val="12"/>
      <color indexed="10"/>
      <name val="Courier"/>
      <family val="3"/>
    </font>
    <font>
      <b/>
      <u val="single"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ourier"/>
      <family val="3"/>
    </font>
    <font>
      <b/>
      <u val="single"/>
      <sz val="12"/>
      <color rgb="FFFF0000"/>
      <name val="Arial"/>
      <family val="2"/>
    </font>
    <font>
      <b/>
      <u val="double"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2" xfId="42" applyNumberFormat="1" applyFont="1" applyBorder="1" applyAlignment="1">
      <alignment/>
    </xf>
    <xf numFmtId="0" fontId="0" fillId="0" borderId="12" xfId="0" applyFill="1" applyBorder="1" applyAlignment="1">
      <alignment/>
    </xf>
    <xf numFmtId="0" fontId="6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8" fillId="33" borderId="1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179" fontId="7" fillId="0" borderId="0" xfId="59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171" fontId="7" fillId="0" borderId="0" xfId="42" applyFont="1" applyAlignment="1">
      <alignment/>
    </xf>
    <xf numFmtId="43" fontId="7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73" fontId="0" fillId="0" borderId="12" xfId="42" applyNumberFormat="1" applyFont="1" applyFill="1" applyBorder="1" applyAlignment="1">
      <alignment/>
    </xf>
    <xf numFmtId="0" fontId="4" fillId="0" borderId="20" xfId="0" applyFont="1" applyBorder="1" applyAlignment="1" applyProtection="1">
      <alignment/>
      <protection/>
    </xf>
    <xf numFmtId="173" fontId="0" fillId="0" borderId="0" xfId="0" applyNumberForma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170" fontId="7" fillId="0" borderId="0" xfId="44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0" fontId="7" fillId="0" borderId="0" xfId="59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173" fontId="13" fillId="0" borderId="0" xfId="42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/>
    </xf>
    <xf numFmtId="10" fontId="1" fillId="0" borderId="0" xfId="59" applyNumberFormat="1" applyFont="1" applyAlignment="1">
      <alignment/>
    </xf>
    <xf numFmtId="10" fontId="13" fillId="0" borderId="0" xfId="59" applyNumberFormat="1" applyFont="1" applyAlignment="1">
      <alignment horizontal="center"/>
    </xf>
    <xf numFmtId="10" fontId="0" fillId="0" borderId="0" xfId="59" applyNumberFormat="1" applyFont="1" applyAlignment="1">
      <alignment/>
    </xf>
    <xf numFmtId="10" fontId="15" fillId="0" borderId="0" xfId="59" applyNumberFormat="1" applyFont="1" applyAlignment="1">
      <alignment/>
    </xf>
    <xf numFmtId="10" fontId="14" fillId="0" borderId="0" xfId="59" applyNumberFormat="1" applyFont="1" applyAlignment="1">
      <alignment/>
    </xf>
    <xf numFmtId="0" fontId="1" fillId="0" borderId="0" xfId="0" applyFont="1" applyAlignment="1">
      <alignment horizontal="center"/>
    </xf>
    <xf numFmtId="170" fontId="0" fillId="0" borderId="0" xfId="44" applyFont="1" applyAlignment="1">
      <alignment/>
    </xf>
    <xf numFmtId="170" fontId="15" fillId="0" borderId="0" xfId="44" applyFont="1" applyAlignment="1">
      <alignment/>
    </xf>
    <xf numFmtId="170" fontId="14" fillId="0" borderId="0" xfId="44" applyFont="1" applyAlignment="1">
      <alignment/>
    </xf>
    <xf numFmtId="0" fontId="0" fillId="0" borderId="0" xfId="0" applyFont="1" applyAlignment="1">
      <alignment/>
    </xf>
    <xf numFmtId="37" fontId="0" fillId="0" borderId="12" xfId="0" applyNumberFormat="1" applyBorder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1" xfId="42" applyNumberFormat="1" applyFont="1" applyBorder="1" applyAlignment="1">
      <alignment horizontal="center"/>
    </xf>
    <xf numFmtId="173" fontId="0" fillId="0" borderId="12" xfId="42" applyNumberFormat="1" applyFont="1" applyBorder="1" applyAlignment="1">
      <alignment/>
    </xf>
    <xf numFmtId="173" fontId="0" fillId="0" borderId="12" xfId="42" applyNumberFormat="1" applyFont="1" applyBorder="1" applyAlignment="1">
      <alignment horizontal="right"/>
    </xf>
    <xf numFmtId="37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173" fontId="1" fillId="0" borderId="13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173" fontId="1" fillId="34" borderId="13" xfId="42" applyNumberFormat="1" applyFont="1" applyFill="1" applyBorder="1" applyAlignment="1">
      <alignment/>
    </xf>
    <xf numFmtId="173" fontId="1" fillId="0" borderId="13" xfId="42" applyNumberFormat="1" applyFont="1" applyBorder="1" applyAlignment="1">
      <alignment horizontal="right"/>
    </xf>
    <xf numFmtId="173" fontId="1" fillId="0" borderId="0" xfId="42" applyNumberFormat="1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7" fontId="7" fillId="0" borderId="0" xfId="0" applyNumberFormat="1" applyFont="1" applyAlignment="1">
      <alignment/>
    </xf>
    <xf numFmtId="170" fontId="7" fillId="0" borderId="0" xfId="44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9" fontId="7" fillId="0" borderId="0" xfId="59" applyNumberFormat="1" applyFont="1" applyBorder="1" applyAlignment="1">
      <alignment/>
    </xf>
    <xf numFmtId="0" fontId="59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179" fontId="18" fillId="0" borderId="0" xfId="59" applyNumberFormat="1" applyFont="1" applyBorder="1" applyAlignment="1">
      <alignment/>
    </xf>
    <xf numFmtId="0" fontId="6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70" fontId="7" fillId="0" borderId="0" xfId="44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170" fontId="7" fillId="0" borderId="0" xfId="44" applyFont="1" applyBorder="1" applyAlignment="1">
      <alignment/>
    </xf>
    <xf numFmtId="44" fontId="7" fillId="0" borderId="0" xfId="0" applyNumberFormat="1" applyFont="1" applyBorder="1" applyAlignment="1">
      <alignment/>
    </xf>
    <xf numFmtId="10" fontId="7" fillId="0" borderId="0" xfId="59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10" fontId="4" fillId="0" borderId="0" xfId="59" applyNumberFormat="1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7" fontId="59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7" fontId="18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7" fontId="18" fillId="0" borderId="0" xfId="0" applyNumberFormat="1" applyFont="1" applyAlignment="1">
      <alignment/>
    </xf>
    <xf numFmtId="37" fontId="16" fillId="0" borderId="0" xfId="0" applyNumberFormat="1" applyFont="1" applyBorder="1" applyAlignment="1" applyProtection="1">
      <alignment/>
      <protection/>
    </xf>
    <xf numFmtId="7" fontId="16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79" fontId="19" fillId="0" borderId="0" xfId="59" applyNumberFormat="1" applyFont="1" applyBorder="1" applyAlignment="1">
      <alignment/>
    </xf>
    <xf numFmtId="7" fontId="16" fillId="0" borderId="0" xfId="0" applyNumberFormat="1" applyFont="1" applyBorder="1" applyAlignment="1">
      <alignment/>
    </xf>
    <xf numFmtId="170" fontId="19" fillId="0" borderId="0" xfId="44" applyFont="1" applyBorder="1" applyAlignment="1">
      <alignment/>
    </xf>
    <xf numFmtId="37" fontId="62" fillId="0" borderId="0" xfId="0" applyNumberFormat="1" applyFont="1" applyAlignment="1" applyProtection="1">
      <alignment/>
      <protection/>
    </xf>
    <xf numFmtId="37" fontId="62" fillId="0" borderId="0" xfId="0" applyNumberFormat="1" applyFont="1" applyBorder="1" applyAlignment="1" applyProtection="1">
      <alignment/>
      <protection/>
    </xf>
    <xf numFmtId="187" fontId="63" fillId="0" borderId="19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>
      <alignment/>
    </xf>
    <xf numFmtId="37" fontId="64" fillId="0" borderId="0" xfId="0" applyNumberFormat="1" applyFont="1" applyBorder="1" applyAlignment="1" applyProtection="1">
      <alignment/>
      <protection/>
    </xf>
    <xf numFmtId="37" fontId="65" fillId="0" borderId="0" xfId="0" applyNumberFormat="1" applyFont="1" applyBorder="1" applyAlignment="1" applyProtection="1">
      <alignment/>
      <protection/>
    </xf>
    <xf numFmtId="0" fontId="62" fillId="0" borderId="0" xfId="0" applyFont="1" applyAlignment="1">
      <alignment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7" fontId="19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="85" zoomScaleNormal="85" zoomScalePageLayoutView="0" workbookViewId="0" topLeftCell="A1">
      <selection activeCell="J5" sqref="J5"/>
    </sheetView>
  </sheetViews>
  <sheetFormatPr defaultColWidth="12.57421875" defaultRowHeight="12.75"/>
  <cols>
    <col min="1" max="1" width="36.7109375" style="24" customWidth="1"/>
    <col min="2" max="2" width="1.1484375" style="14" customWidth="1"/>
    <col min="3" max="3" width="12.00390625" style="14" bestFit="1" customWidth="1"/>
    <col min="4" max="4" width="9.28125" style="14" bestFit="1" customWidth="1"/>
    <col min="5" max="5" width="10.140625" style="130" bestFit="1" customWidth="1"/>
    <col min="6" max="6" width="3.57421875" style="14" customWidth="1"/>
    <col min="7" max="7" width="14.00390625" style="14" customWidth="1"/>
    <col min="8" max="8" width="14.28125" style="14" bestFit="1" customWidth="1"/>
    <col min="9" max="9" width="2.8515625" style="23" customWidth="1"/>
    <col min="10" max="10" width="16.140625" style="14" bestFit="1" customWidth="1"/>
    <col min="11" max="11" width="2.8515625" style="36" customWidth="1"/>
    <col min="12" max="13" width="12.57421875" style="14" customWidth="1"/>
    <col min="14" max="14" width="10.00390625" style="14" customWidth="1"/>
    <col min="15" max="15" width="12.57421875" style="14" customWidth="1"/>
    <col min="16" max="16" width="15.00390625" style="14" customWidth="1"/>
    <col min="17" max="17" width="12.57421875" style="14" customWidth="1"/>
    <col min="18" max="18" width="12.00390625" style="14" customWidth="1"/>
    <col min="19" max="19" width="11.00390625" style="14" customWidth="1"/>
    <col min="20" max="20" width="11.421875" style="14" customWidth="1"/>
    <col min="21" max="16384" width="12.57421875" style="14" customWidth="1"/>
  </cols>
  <sheetData>
    <row r="1" spans="1:15" ht="20.25">
      <c r="A1" s="11" t="s">
        <v>33</v>
      </c>
      <c r="B1" s="12"/>
      <c r="C1" s="12"/>
      <c r="D1" s="12"/>
      <c r="E1" s="122"/>
      <c r="F1" s="13"/>
      <c r="G1" s="1" t="s">
        <v>62</v>
      </c>
      <c r="H1" s="14">
        <v>12</v>
      </c>
      <c r="N1" s="131"/>
      <c r="O1" s="131"/>
    </row>
    <row r="2" spans="1:7" ht="16.5" thickBot="1">
      <c r="A2" s="34" t="s">
        <v>95</v>
      </c>
      <c r="B2" s="15"/>
      <c r="C2" s="15"/>
      <c r="D2" s="15"/>
      <c r="E2" s="123"/>
      <c r="F2" s="13"/>
      <c r="G2" s="75"/>
    </row>
    <row r="3" spans="1:7" ht="15">
      <c r="A3" s="16"/>
      <c r="B3" s="13"/>
      <c r="C3" s="13"/>
      <c r="D3" s="13"/>
      <c r="E3" s="26"/>
      <c r="F3" s="13"/>
      <c r="G3" s="75"/>
    </row>
    <row r="4" spans="1:7" ht="15.75" thickBot="1">
      <c r="A4" s="16"/>
      <c r="B4" s="13"/>
      <c r="C4" s="13"/>
      <c r="D4" s="13"/>
      <c r="E4" s="26"/>
      <c r="F4" s="13"/>
      <c r="G4" s="75"/>
    </row>
    <row r="5" spans="1:7" ht="16.5" thickBot="1">
      <c r="A5" s="17" t="s">
        <v>96</v>
      </c>
      <c r="B5" s="13"/>
      <c r="C5" s="18">
        <f>+'Summary of Report to DC'!H25</f>
        <v>168967.17265110873</v>
      </c>
      <c r="D5" s="13"/>
      <c r="E5" s="26"/>
      <c r="F5" s="13"/>
      <c r="G5" s="117">
        <f>+C5/G75</f>
        <v>0.005942513568483673</v>
      </c>
    </row>
    <row r="6" spans="1:8" ht="15.75">
      <c r="A6" s="16"/>
      <c r="B6" s="13"/>
      <c r="C6" s="13"/>
      <c r="D6" s="13"/>
      <c r="E6" s="26"/>
      <c r="F6" s="13"/>
      <c r="G6" s="75"/>
      <c r="H6" s="39"/>
    </row>
    <row r="7" spans="1:10" ht="15.75">
      <c r="A7" s="19"/>
      <c r="B7" s="20"/>
      <c r="C7" s="25">
        <v>2014</v>
      </c>
      <c r="D7" s="37" t="s">
        <v>63</v>
      </c>
      <c r="E7" s="26"/>
      <c r="F7" s="26"/>
      <c r="G7" s="76" t="s">
        <v>34</v>
      </c>
      <c r="H7" s="77" t="s">
        <v>35</v>
      </c>
      <c r="J7" s="39"/>
    </row>
    <row r="8" spans="1:14" ht="15.75">
      <c r="A8" s="19"/>
      <c r="B8" s="20"/>
      <c r="C8" s="25" t="s">
        <v>36</v>
      </c>
      <c r="D8" s="25" t="s">
        <v>37</v>
      </c>
      <c r="E8" s="25" t="s">
        <v>36</v>
      </c>
      <c r="F8" s="26"/>
      <c r="G8" s="76" t="s">
        <v>38</v>
      </c>
      <c r="H8" s="77" t="s">
        <v>39</v>
      </c>
      <c r="J8" s="39" t="s">
        <v>64</v>
      </c>
      <c r="L8" s="39" t="s">
        <v>109</v>
      </c>
      <c r="M8" s="39"/>
      <c r="N8" s="39" t="s">
        <v>102</v>
      </c>
    </row>
    <row r="9" spans="1:14" s="91" customFormat="1" ht="15.75">
      <c r="A9" s="85" t="s">
        <v>40</v>
      </c>
      <c r="B9" s="86"/>
      <c r="C9" s="87" t="s">
        <v>41</v>
      </c>
      <c r="D9" s="87" t="s">
        <v>42</v>
      </c>
      <c r="E9" s="87" t="s">
        <v>43</v>
      </c>
      <c r="F9" s="88"/>
      <c r="G9" s="87" t="s">
        <v>44</v>
      </c>
      <c r="H9" s="87" t="s">
        <v>45</v>
      </c>
      <c r="I9" s="89"/>
      <c r="J9" s="84" t="s">
        <v>65</v>
      </c>
      <c r="K9" s="90"/>
      <c r="L9" s="84" t="s">
        <v>110</v>
      </c>
      <c r="M9" s="84" t="s">
        <v>111</v>
      </c>
      <c r="N9" s="84" t="s">
        <v>112</v>
      </c>
    </row>
    <row r="10" spans="1:8" ht="15">
      <c r="A10" s="16"/>
      <c r="B10" s="13"/>
      <c r="C10" s="13"/>
      <c r="D10" s="13"/>
      <c r="E10" s="26"/>
      <c r="F10" s="13"/>
      <c r="G10" s="13"/>
      <c r="H10" s="75"/>
    </row>
    <row r="11" spans="1:14" ht="15">
      <c r="A11" s="16" t="s">
        <v>47</v>
      </c>
      <c r="B11" s="13"/>
      <c r="C11" s="27">
        <f>+Residential!B10</f>
        <v>11</v>
      </c>
      <c r="D11" s="115">
        <v>20</v>
      </c>
      <c r="E11" s="26">
        <v>52</v>
      </c>
      <c r="F11" s="13"/>
      <c r="G11" s="21">
        <f aca="true" t="shared" si="0" ref="G11:G23">IF(C11=0,"",C11*D11*E11)</f>
        <v>11440</v>
      </c>
      <c r="H11" s="79">
        <f aca="true" t="shared" si="1" ref="H11:H23">($G$5*G11)/C11/$H$1</f>
        <v>0.5150178426019184</v>
      </c>
      <c r="J11" s="78">
        <f aca="true" t="shared" si="2" ref="J11:J23">C11*H11*$H$1</f>
        <v>67.98235522345323</v>
      </c>
      <c r="L11" s="40">
        <v>0.59</v>
      </c>
      <c r="M11" s="41">
        <f aca="true" t="shared" si="3" ref="M11:M23">+H11-L11</f>
        <v>-0.07498215739808156</v>
      </c>
      <c r="N11" s="43">
        <f>+M11/L11</f>
        <v>-0.12708840236962976</v>
      </c>
    </row>
    <row r="12" spans="1:14" ht="15">
      <c r="A12" s="16" t="s">
        <v>48</v>
      </c>
      <c r="B12" s="13"/>
      <c r="C12" s="27">
        <f>+Residential!B14</f>
        <v>13</v>
      </c>
      <c r="D12" s="115">
        <v>34</v>
      </c>
      <c r="E12" s="26">
        <v>12</v>
      </c>
      <c r="F12" s="13"/>
      <c r="G12" s="21">
        <f t="shared" si="0"/>
        <v>5304</v>
      </c>
      <c r="H12" s="79">
        <f t="shared" si="1"/>
        <v>0.2020454613284449</v>
      </c>
      <c r="J12" s="78">
        <f t="shared" si="2"/>
        <v>31.5190919672374</v>
      </c>
      <c r="L12" s="40">
        <v>0.23</v>
      </c>
      <c r="M12" s="41">
        <f t="shared" si="3"/>
        <v>-0.027954538671555118</v>
      </c>
      <c r="N12" s="43">
        <f aca="true" t="shared" si="4" ref="N12:N71">+M12/L12</f>
        <v>-0.12154147248502224</v>
      </c>
    </row>
    <row r="13" spans="1:14" ht="15">
      <c r="A13" s="16" t="s">
        <v>49</v>
      </c>
      <c r="B13" s="13"/>
      <c r="C13" s="27">
        <f>+Residential!B11</f>
        <v>319</v>
      </c>
      <c r="D13" s="115">
        <f>+D12</f>
        <v>34</v>
      </c>
      <c r="E13" s="26">
        <v>52</v>
      </c>
      <c r="F13" s="13"/>
      <c r="G13" s="21">
        <f t="shared" si="0"/>
        <v>563992</v>
      </c>
      <c r="H13" s="79">
        <f t="shared" si="1"/>
        <v>0.8755303324232612</v>
      </c>
      <c r="J13" s="78">
        <f t="shared" si="2"/>
        <v>3351.530112516243</v>
      </c>
      <c r="L13" s="40">
        <v>1.01</v>
      </c>
      <c r="M13" s="41">
        <f t="shared" si="3"/>
        <v>-0.13446966757673884</v>
      </c>
      <c r="N13" s="43">
        <f t="shared" si="4"/>
        <v>-0.1331382847294444</v>
      </c>
    </row>
    <row r="14" spans="1:14" ht="15">
      <c r="A14" s="16" t="s">
        <v>50</v>
      </c>
      <c r="B14" s="13"/>
      <c r="C14" s="27">
        <f>+Residential!B12</f>
        <v>111</v>
      </c>
      <c r="D14" s="115">
        <v>51</v>
      </c>
      <c r="E14" s="26">
        <v>52</v>
      </c>
      <c r="F14" s="13"/>
      <c r="G14" s="21">
        <f t="shared" si="0"/>
        <v>294372</v>
      </c>
      <c r="H14" s="79">
        <f t="shared" si="1"/>
        <v>1.313295498634892</v>
      </c>
      <c r="J14" s="78">
        <f t="shared" si="2"/>
        <v>1749.3096041816761</v>
      </c>
      <c r="L14" s="40">
        <v>1.52</v>
      </c>
      <c r="M14" s="41">
        <f t="shared" si="3"/>
        <v>-0.2067045013651081</v>
      </c>
      <c r="N14" s="43">
        <f t="shared" si="4"/>
        <v>-0.13598980352967638</v>
      </c>
    </row>
    <row r="15" spans="1:14" ht="15">
      <c r="A15" s="16" t="s">
        <v>51</v>
      </c>
      <c r="B15" s="13"/>
      <c r="C15" s="27">
        <f>+Residential!B13</f>
        <v>1</v>
      </c>
      <c r="D15" s="115">
        <v>77</v>
      </c>
      <c r="E15" s="26">
        <v>52</v>
      </c>
      <c r="F15" s="13"/>
      <c r="G15" s="21">
        <f t="shared" si="0"/>
        <v>4004</v>
      </c>
      <c r="H15" s="79">
        <f t="shared" si="1"/>
        <v>1.9828186940173858</v>
      </c>
      <c r="J15" s="78">
        <f t="shared" si="2"/>
        <v>23.79382432820863</v>
      </c>
      <c r="L15" s="40">
        <v>2.29</v>
      </c>
      <c r="M15" s="41">
        <f t="shared" si="3"/>
        <v>-0.3071813059826143</v>
      </c>
      <c r="N15" s="43">
        <f t="shared" si="4"/>
        <v>-0.13414030828935122</v>
      </c>
    </row>
    <row r="16" spans="1:14" ht="15">
      <c r="A16" s="16" t="s">
        <v>52</v>
      </c>
      <c r="B16" s="13"/>
      <c r="C16" s="38">
        <f>+Residential!B16</f>
        <v>897</v>
      </c>
      <c r="D16" s="115">
        <f>+D13</f>
        <v>34</v>
      </c>
      <c r="E16" s="26">
        <v>52</v>
      </c>
      <c r="F16" s="13"/>
      <c r="G16" s="21">
        <f t="shared" si="0"/>
        <v>1585896</v>
      </c>
      <c r="H16" s="79">
        <f t="shared" si="1"/>
        <v>0.8755303324232612</v>
      </c>
      <c r="J16" s="78">
        <f t="shared" si="2"/>
        <v>9424.208498203983</v>
      </c>
      <c r="L16" s="40">
        <v>1.01</v>
      </c>
      <c r="M16" s="41">
        <f t="shared" si="3"/>
        <v>-0.13446966757673884</v>
      </c>
      <c r="N16" s="43">
        <f aca="true" t="shared" si="5" ref="N16:N23">+M16/L16</f>
        <v>-0.1331382847294444</v>
      </c>
    </row>
    <row r="17" spans="1:14" ht="15">
      <c r="A17" s="16" t="s">
        <v>105</v>
      </c>
      <c r="B17" s="13"/>
      <c r="C17" s="38">
        <f>+Residential!B17</f>
        <v>2</v>
      </c>
      <c r="D17" s="115">
        <f>+D16*2</f>
        <v>68</v>
      </c>
      <c r="E17" s="26">
        <v>52</v>
      </c>
      <c r="F17" s="13"/>
      <c r="G17" s="21">
        <f t="shared" si="0"/>
        <v>7072</v>
      </c>
      <c r="H17" s="79">
        <f t="shared" si="1"/>
        <v>1.7510606648465223</v>
      </c>
      <c r="J17" s="78">
        <f t="shared" si="2"/>
        <v>42.025455956316534</v>
      </c>
      <c r="L17" s="40">
        <f>+L16*2</f>
        <v>2.02</v>
      </c>
      <c r="M17" s="41">
        <f t="shared" si="3"/>
        <v>-0.2689393351534777</v>
      </c>
      <c r="N17" s="43">
        <f t="shared" si="5"/>
        <v>-0.1331382847294444</v>
      </c>
    </row>
    <row r="18" spans="1:14" ht="15">
      <c r="A18" s="16" t="s">
        <v>69</v>
      </c>
      <c r="B18" s="13"/>
      <c r="C18" s="38">
        <f>+Residential!B15</f>
        <v>2</v>
      </c>
      <c r="D18" s="115">
        <f>+D16*5</f>
        <v>170</v>
      </c>
      <c r="E18" s="26">
        <v>52</v>
      </c>
      <c r="F18" s="13"/>
      <c r="G18" s="21">
        <f t="shared" si="0"/>
        <v>17680</v>
      </c>
      <c r="H18" s="79">
        <f t="shared" si="1"/>
        <v>4.377651662116306</v>
      </c>
      <c r="J18" s="78">
        <f t="shared" si="2"/>
        <v>105.06363989079134</v>
      </c>
      <c r="L18" s="40">
        <f>+L16*5</f>
        <v>5.05</v>
      </c>
      <c r="M18" s="41">
        <f t="shared" si="3"/>
        <v>-0.6723483378836939</v>
      </c>
      <c r="N18" s="43">
        <f t="shared" si="5"/>
        <v>-0.13313828472944433</v>
      </c>
    </row>
    <row r="19" spans="1:14" ht="15">
      <c r="A19" s="16" t="s">
        <v>53</v>
      </c>
      <c r="B19" s="13"/>
      <c r="C19" s="38">
        <f>+Residential!B18</f>
        <v>1712</v>
      </c>
      <c r="D19" s="115">
        <f>+D14</f>
        <v>51</v>
      </c>
      <c r="E19" s="26">
        <v>52</v>
      </c>
      <c r="F19" s="13"/>
      <c r="G19" s="21">
        <f t="shared" si="0"/>
        <v>4540224</v>
      </c>
      <c r="H19" s="79">
        <f t="shared" si="1"/>
        <v>1.313295498634892</v>
      </c>
      <c r="J19" s="78">
        <f t="shared" si="2"/>
        <v>26980.34272395522</v>
      </c>
      <c r="L19" s="40">
        <f>+L14</f>
        <v>1.52</v>
      </c>
      <c r="M19" s="41">
        <f t="shared" si="3"/>
        <v>-0.2067045013651081</v>
      </c>
      <c r="N19" s="43">
        <f t="shared" si="5"/>
        <v>-0.13598980352967638</v>
      </c>
    </row>
    <row r="20" spans="1:14" ht="15">
      <c r="A20" s="16" t="s">
        <v>66</v>
      </c>
      <c r="B20" s="13"/>
      <c r="C20" s="38">
        <f>+Residential!B19</f>
        <v>6</v>
      </c>
      <c r="D20" s="115">
        <f>+D19*2</f>
        <v>102</v>
      </c>
      <c r="E20" s="26">
        <v>52</v>
      </c>
      <c r="F20" s="13"/>
      <c r="G20" s="21">
        <f t="shared" si="0"/>
        <v>31824</v>
      </c>
      <c r="H20" s="79">
        <f t="shared" si="1"/>
        <v>2.6265909972697834</v>
      </c>
      <c r="J20" s="78">
        <f t="shared" si="2"/>
        <v>189.1145518034244</v>
      </c>
      <c r="L20" s="40">
        <f>+L19*2</f>
        <v>3.04</v>
      </c>
      <c r="M20" s="41">
        <f t="shared" si="3"/>
        <v>-0.41340900273021663</v>
      </c>
      <c r="N20" s="43">
        <f t="shared" si="5"/>
        <v>-0.13598980352967652</v>
      </c>
    </row>
    <row r="21" spans="1:14" ht="15">
      <c r="A21" s="16" t="s">
        <v>54</v>
      </c>
      <c r="B21" s="13"/>
      <c r="C21" s="38">
        <f>+Residential!B20</f>
        <v>2306</v>
      </c>
      <c r="D21" s="115">
        <f>+D15</f>
        <v>77</v>
      </c>
      <c r="E21" s="26">
        <v>52</v>
      </c>
      <c r="F21" s="13"/>
      <c r="G21" s="21">
        <f t="shared" si="0"/>
        <v>9233224</v>
      </c>
      <c r="H21" s="79">
        <f t="shared" si="1"/>
        <v>1.9828186940173855</v>
      </c>
      <c r="J21" s="78">
        <f t="shared" si="2"/>
        <v>54868.55890084909</v>
      </c>
      <c r="L21" s="40">
        <f>+L15</f>
        <v>2.29</v>
      </c>
      <c r="M21" s="41">
        <f t="shared" si="3"/>
        <v>-0.3071813059826145</v>
      </c>
      <c r="N21" s="43">
        <f t="shared" si="5"/>
        <v>-0.1341403082893513</v>
      </c>
    </row>
    <row r="22" spans="1:14" ht="15">
      <c r="A22" s="16" t="s">
        <v>67</v>
      </c>
      <c r="B22" s="13"/>
      <c r="C22" s="38">
        <f>+Residential!B21</f>
        <v>52</v>
      </c>
      <c r="D22" s="115">
        <f>+D21*2</f>
        <v>154</v>
      </c>
      <c r="E22" s="26">
        <v>52</v>
      </c>
      <c r="F22" s="13"/>
      <c r="G22" s="21">
        <f t="shared" si="0"/>
        <v>416416</v>
      </c>
      <c r="H22" s="79">
        <f t="shared" si="1"/>
        <v>3.965637388034771</v>
      </c>
      <c r="J22" s="78">
        <f t="shared" si="2"/>
        <v>2474.557730133697</v>
      </c>
      <c r="L22" s="40">
        <f>+L21*2</f>
        <v>4.58</v>
      </c>
      <c r="M22" s="41">
        <f t="shared" si="3"/>
        <v>-0.614362611965229</v>
      </c>
      <c r="N22" s="43">
        <f t="shared" si="5"/>
        <v>-0.1341403082893513</v>
      </c>
    </row>
    <row r="23" spans="1:14" s="42" customFormat="1" ht="15">
      <c r="A23" s="42" t="s">
        <v>68</v>
      </c>
      <c r="B23" s="92"/>
      <c r="C23" s="91">
        <f>+Residential!B22</f>
        <v>1</v>
      </c>
      <c r="D23" s="116">
        <f>+D21*3</f>
        <v>231</v>
      </c>
      <c r="E23" s="124">
        <v>52</v>
      </c>
      <c r="F23" s="92"/>
      <c r="G23" s="103">
        <f t="shared" si="0"/>
        <v>12012</v>
      </c>
      <c r="H23" s="94">
        <f t="shared" si="1"/>
        <v>5.948456082052157</v>
      </c>
      <c r="I23" s="82"/>
      <c r="J23" s="104">
        <f t="shared" si="2"/>
        <v>71.38147298462589</v>
      </c>
      <c r="K23" s="83"/>
      <c r="L23" s="96">
        <f>+L21*3</f>
        <v>6.87</v>
      </c>
      <c r="M23" s="97">
        <f t="shared" si="3"/>
        <v>-0.9215439179478428</v>
      </c>
      <c r="N23" s="98">
        <f t="shared" si="5"/>
        <v>-0.13414030828935122</v>
      </c>
    </row>
    <row r="24" spans="1:14" s="42" customFormat="1" ht="15.75">
      <c r="A24" s="99"/>
      <c r="B24" s="92"/>
      <c r="C24" s="93"/>
      <c r="D24" s="116"/>
      <c r="E24" s="124"/>
      <c r="F24" s="92"/>
      <c r="G24" s="100"/>
      <c r="H24" s="101"/>
      <c r="I24" s="101"/>
      <c r="J24" s="101"/>
      <c r="K24" s="102"/>
      <c r="L24" s="102"/>
      <c r="M24" s="97"/>
      <c r="N24" s="98"/>
    </row>
    <row r="25" spans="1:16" s="42" customFormat="1" ht="15.75">
      <c r="A25" s="80" t="s">
        <v>29</v>
      </c>
      <c r="B25" s="81"/>
      <c r="C25" s="109">
        <f>SUM(C11:C23)</f>
        <v>5433</v>
      </c>
      <c r="D25" s="119"/>
      <c r="E25" s="125"/>
      <c r="F25" s="109"/>
      <c r="G25" s="109">
        <f>SUM(G11:G23)</f>
        <v>16723460</v>
      </c>
      <c r="H25" s="110"/>
      <c r="I25" s="89"/>
      <c r="J25" s="113">
        <f>SUM(J11:J23)</f>
        <v>99379.38796199397</v>
      </c>
      <c r="K25" s="83"/>
      <c r="L25" s="96"/>
      <c r="M25" s="97"/>
      <c r="N25" s="98"/>
      <c r="P25" s="95"/>
    </row>
    <row r="26" spans="1:14" s="42" customFormat="1" ht="15">
      <c r="A26" s="99"/>
      <c r="B26" s="92"/>
      <c r="C26" s="93"/>
      <c r="D26" s="116"/>
      <c r="E26" s="124"/>
      <c r="F26" s="92"/>
      <c r="H26" s="101"/>
      <c r="I26" s="82"/>
      <c r="K26" s="83"/>
      <c r="L26" s="96"/>
      <c r="M26" s="97"/>
      <c r="N26" s="98"/>
    </row>
    <row r="27" spans="1:14" ht="15">
      <c r="A27" s="16"/>
      <c r="B27" s="13"/>
      <c r="C27" s="21"/>
      <c r="D27" s="115"/>
      <c r="E27" s="26"/>
      <c r="F27" s="13"/>
      <c r="G27" s="21"/>
      <c r="H27" s="22"/>
      <c r="J27" s="78"/>
      <c r="L27" s="40"/>
      <c r="M27" s="41"/>
      <c r="N27" s="43"/>
    </row>
    <row r="28" spans="1:17" ht="15">
      <c r="A28" s="42" t="str">
        <f>+Commercial!A9</f>
        <v>1 yard container</v>
      </c>
      <c r="B28" s="13">
        <v>1</v>
      </c>
      <c r="C28" s="27">
        <f>+Commercial!C9</f>
        <v>34</v>
      </c>
      <c r="D28" s="115">
        <v>175</v>
      </c>
      <c r="E28" s="26">
        <f>+Commercial!D9</f>
        <v>52</v>
      </c>
      <c r="F28" s="13"/>
      <c r="G28" s="21">
        <f>IF(C28=0,"",C28*D28*E28*B28)</f>
        <v>309400</v>
      </c>
      <c r="H28" s="40">
        <f>($G$5*G28)/C28/E28</f>
        <v>1.0399398744846429</v>
      </c>
      <c r="J28" s="78">
        <f>C28*E28*H28</f>
        <v>1838.6136980888487</v>
      </c>
      <c r="L28" s="40">
        <v>1.2000864966343026</v>
      </c>
      <c r="M28" s="41">
        <f aca="true" t="shared" si="6" ref="M28:M52">+H28-L28</f>
        <v>-0.1601466221496597</v>
      </c>
      <c r="N28" s="43">
        <f t="shared" si="4"/>
        <v>-0.1334458996070685</v>
      </c>
      <c r="Q28" s="118"/>
    </row>
    <row r="29" spans="1:17" ht="15">
      <c r="A29" s="42" t="str">
        <f>+Commercial!A10</f>
        <v>1 yard EOW (every other week)</v>
      </c>
      <c r="B29" s="13">
        <v>1</v>
      </c>
      <c r="C29" s="27">
        <f>+Commercial!C10</f>
        <v>11</v>
      </c>
      <c r="D29" s="115">
        <v>175</v>
      </c>
      <c r="E29" s="26">
        <f>+Commercial!D10</f>
        <v>26</v>
      </c>
      <c r="F29" s="13"/>
      <c r="G29" s="21">
        <f aca="true" t="shared" si="7" ref="G29:G62">IF(C29=0,"",C29*D29*E29*B29)</f>
        <v>50050</v>
      </c>
      <c r="H29" s="40">
        <f aca="true" t="shared" si="8" ref="H29:H62">($G$5*G29)/C29/E29</f>
        <v>1.0399398744846429</v>
      </c>
      <c r="J29" s="78">
        <f aca="true" t="shared" si="9" ref="J29:J62">C29*E29*H29</f>
        <v>297.42280410260787</v>
      </c>
      <c r="L29" s="40">
        <f>+L28</f>
        <v>1.2000864966343026</v>
      </c>
      <c r="M29" s="41">
        <f t="shared" si="6"/>
        <v>-0.1601466221496597</v>
      </c>
      <c r="N29" s="43">
        <f t="shared" si="4"/>
        <v>-0.1334458996070685</v>
      </c>
      <c r="Q29" s="118"/>
    </row>
    <row r="30" spans="1:17" ht="15">
      <c r="A30" s="42" t="str">
        <f>+Commercial!A11</f>
        <v>1.25 yard container</v>
      </c>
      <c r="B30" s="13">
        <v>1</v>
      </c>
      <c r="C30" s="27">
        <f>+Commercial!C11</f>
        <v>27</v>
      </c>
      <c r="D30" s="115">
        <v>212</v>
      </c>
      <c r="E30" s="26">
        <f>+Commercial!D11</f>
        <v>52</v>
      </c>
      <c r="F30" s="13"/>
      <c r="G30" s="21">
        <f t="shared" si="7"/>
        <v>297648</v>
      </c>
      <c r="H30" s="40">
        <f t="shared" si="8"/>
        <v>1.2598128765185388</v>
      </c>
      <c r="J30" s="78">
        <f t="shared" si="9"/>
        <v>1768.7772786320284</v>
      </c>
      <c r="L30" s="40">
        <v>1.45</v>
      </c>
      <c r="M30" s="41">
        <f t="shared" si="6"/>
        <v>-0.19018712348146116</v>
      </c>
      <c r="N30" s="43">
        <f t="shared" si="4"/>
        <v>-0.13116353343549045</v>
      </c>
      <c r="Q30" s="118"/>
    </row>
    <row r="31" spans="1:17" ht="15">
      <c r="A31" s="42" t="str">
        <f>+Commercial!A12</f>
        <v>1.25 yard container EOW</v>
      </c>
      <c r="B31" s="13">
        <v>1</v>
      </c>
      <c r="C31" s="27">
        <f>+Commercial!C12</f>
        <v>4</v>
      </c>
      <c r="D31" s="115">
        <v>212</v>
      </c>
      <c r="E31" s="26">
        <f>+Commercial!D12</f>
        <v>26</v>
      </c>
      <c r="F31" s="13"/>
      <c r="G31" s="21">
        <f t="shared" si="7"/>
        <v>22048</v>
      </c>
      <c r="H31" s="40">
        <f t="shared" si="8"/>
        <v>1.2598128765185388</v>
      </c>
      <c r="J31" s="78">
        <f t="shared" si="9"/>
        <v>131.02053915792803</v>
      </c>
      <c r="L31" s="40">
        <f>+L30</f>
        <v>1.45</v>
      </c>
      <c r="M31" s="41">
        <f t="shared" si="6"/>
        <v>-0.19018712348146116</v>
      </c>
      <c r="N31" s="43">
        <f t="shared" si="4"/>
        <v>-0.13116353343549045</v>
      </c>
      <c r="Q31" s="118"/>
    </row>
    <row r="32" spans="1:17" ht="15">
      <c r="A32" s="42" t="str">
        <f>+Commercial!A13</f>
        <v>1.50 yard container</v>
      </c>
      <c r="B32" s="13">
        <v>1</v>
      </c>
      <c r="C32" s="27">
        <f>+Commercial!C13</f>
        <v>22</v>
      </c>
      <c r="D32" s="115">
        <v>250</v>
      </c>
      <c r="E32" s="26">
        <f>+Commercial!D13</f>
        <v>52</v>
      </c>
      <c r="F32" s="13"/>
      <c r="G32" s="21">
        <f t="shared" si="7"/>
        <v>286000</v>
      </c>
      <c r="H32" s="40">
        <f t="shared" si="8"/>
        <v>1.4856283921209186</v>
      </c>
      <c r="J32" s="78">
        <f t="shared" si="9"/>
        <v>1699.5588805863308</v>
      </c>
      <c r="L32" s="40">
        <v>1.71</v>
      </c>
      <c r="M32" s="41">
        <f t="shared" si="6"/>
        <v>-0.2243716078790814</v>
      </c>
      <c r="N32" s="43">
        <f t="shared" si="4"/>
        <v>-0.13121146659595403</v>
      </c>
      <c r="Q32" s="118"/>
    </row>
    <row r="33" spans="1:17" ht="15">
      <c r="A33" s="42" t="str">
        <f>+Commercial!A14</f>
        <v>1.50 yard container EOW</v>
      </c>
      <c r="B33" s="13">
        <v>1</v>
      </c>
      <c r="C33" s="27">
        <f>+Commercial!C14</f>
        <v>6</v>
      </c>
      <c r="D33" s="115">
        <f>+D32</f>
        <v>250</v>
      </c>
      <c r="E33" s="26">
        <f>+Commercial!D14</f>
        <v>26</v>
      </c>
      <c r="F33" s="13"/>
      <c r="G33" s="21">
        <f t="shared" si="7"/>
        <v>39000</v>
      </c>
      <c r="H33" s="40">
        <f t="shared" si="8"/>
        <v>1.4856283921209186</v>
      </c>
      <c r="J33" s="78">
        <f t="shared" si="9"/>
        <v>231.7580291708633</v>
      </c>
      <c r="L33" s="40">
        <f>+L32</f>
        <v>1.71</v>
      </c>
      <c r="M33" s="41">
        <f t="shared" si="6"/>
        <v>-0.2243716078790814</v>
      </c>
      <c r="N33" s="43">
        <f t="shared" si="4"/>
        <v>-0.13121146659595403</v>
      </c>
      <c r="Q33" s="118"/>
    </row>
    <row r="34" spans="1:17" ht="15">
      <c r="A34" s="42" t="str">
        <f>+Commercial!A15</f>
        <v>2-1.50 yard container</v>
      </c>
      <c r="B34" s="13">
        <v>2</v>
      </c>
      <c r="C34" s="27">
        <f>+Commercial!C15</f>
        <v>1</v>
      </c>
      <c r="D34" s="115">
        <f>+D33</f>
        <v>250</v>
      </c>
      <c r="E34" s="26">
        <f>+Commercial!D15</f>
        <v>52</v>
      </c>
      <c r="F34" s="13"/>
      <c r="G34" s="21">
        <f t="shared" si="7"/>
        <v>26000</v>
      </c>
      <c r="H34" s="40">
        <f t="shared" si="8"/>
        <v>2.9712567842418363</v>
      </c>
      <c r="J34" s="78">
        <f t="shared" si="9"/>
        <v>154.5053527805755</v>
      </c>
      <c r="L34" s="40">
        <f>+L32*2</f>
        <v>3.42</v>
      </c>
      <c r="M34" s="41">
        <f t="shared" si="6"/>
        <v>-0.44874321575816367</v>
      </c>
      <c r="N34" s="43">
        <f t="shared" si="4"/>
        <v>-0.13121146659595428</v>
      </c>
      <c r="Q34" s="118"/>
    </row>
    <row r="35" spans="1:17" ht="15">
      <c r="A35" s="42" t="str">
        <f>+Commercial!A16</f>
        <v>2 yard container</v>
      </c>
      <c r="B35" s="13">
        <v>1</v>
      </c>
      <c r="C35" s="27">
        <f>+Commercial!C16</f>
        <v>46</v>
      </c>
      <c r="D35" s="115">
        <v>324</v>
      </c>
      <c r="E35" s="26">
        <f>+Commercial!D16</f>
        <v>52</v>
      </c>
      <c r="F35" s="13"/>
      <c r="G35" s="21">
        <f t="shared" si="7"/>
        <v>775008</v>
      </c>
      <c r="H35" s="40">
        <f t="shared" si="8"/>
        <v>1.9253743961887102</v>
      </c>
      <c r="J35" s="78">
        <f t="shared" si="9"/>
        <v>4605.495555683395</v>
      </c>
      <c r="L35" s="40">
        <v>2.22</v>
      </c>
      <c r="M35" s="41">
        <f t="shared" si="6"/>
        <v>-0.29462560381129</v>
      </c>
      <c r="N35" s="43">
        <f t="shared" si="4"/>
        <v>-0.13271423595103152</v>
      </c>
      <c r="Q35" s="118"/>
    </row>
    <row r="36" spans="1:17" ht="15">
      <c r="A36" s="42" t="str">
        <f>+Commercial!A17</f>
        <v>2 Yard container EOW</v>
      </c>
      <c r="B36" s="13">
        <v>1</v>
      </c>
      <c r="C36" s="27">
        <f>+Commercial!C17</f>
        <v>27</v>
      </c>
      <c r="D36" s="115">
        <f>+D35</f>
        <v>324</v>
      </c>
      <c r="E36" s="26">
        <f>+Commercial!D17</f>
        <v>26</v>
      </c>
      <c r="F36" s="13"/>
      <c r="G36" s="21">
        <f t="shared" si="7"/>
        <v>227448</v>
      </c>
      <c r="H36" s="40">
        <f t="shared" si="8"/>
        <v>1.9253743961887104</v>
      </c>
      <c r="J36" s="78">
        <f t="shared" si="9"/>
        <v>1351.6128261244746</v>
      </c>
      <c r="L36" s="40">
        <f>+L35</f>
        <v>2.22</v>
      </c>
      <c r="M36" s="41">
        <f t="shared" si="6"/>
        <v>-0.29462560381128977</v>
      </c>
      <c r="N36" s="43">
        <f t="shared" si="4"/>
        <v>-0.1327142359510314</v>
      </c>
      <c r="Q36" s="118"/>
    </row>
    <row r="37" spans="1:17" ht="15">
      <c r="A37" s="42" t="str">
        <f>+Commercial!A18</f>
        <v>2-2 yard container</v>
      </c>
      <c r="B37" s="13">
        <v>2</v>
      </c>
      <c r="C37" s="27">
        <f>+Commercial!C18</f>
        <v>2</v>
      </c>
      <c r="D37" s="115">
        <f>+D36</f>
        <v>324</v>
      </c>
      <c r="E37" s="26">
        <f>+Commercial!D18</f>
        <v>52</v>
      </c>
      <c r="F37" s="13"/>
      <c r="G37" s="21">
        <f t="shared" si="7"/>
        <v>67392</v>
      </c>
      <c r="H37" s="40">
        <f t="shared" si="8"/>
        <v>3.8507487923774204</v>
      </c>
      <c r="J37" s="78">
        <f t="shared" si="9"/>
        <v>400.4778744072517</v>
      </c>
      <c r="L37" s="40">
        <f>+L35*2</f>
        <v>4.44</v>
      </c>
      <c r="M37" s="41">
        <f t="shared" si="6"/>
        <v>-0.58925120762258</v>
      </c>
      <c r="N37" s="43">
        <f t="shared" si="4"/>
        <v>-0.13271423595103152</v>
      </c>
      <c r="Q37" s="118"/>
    </row>
    <row r="38" spans="1:17" ht="15">
      <c r="A38" s="42" t="str">
        <f>+Commercial!A19</f>
        <v>3-2 yard container</v>
      </c>
      <c r="B38" s="13">
        <v>3</v>
      </c>
      <c r="C38" s="27">
        <f>+Commercial!C19</f>
        <v>1</v>
      </c>
      <c r="D38" s="115">
        <f>+D37</f>
        <v>324</v>
      </c>
      <c r="E38" s="26">
        <f>+Commercial!D19</f>
        <v>52</v>
      </c>
      <c r="F38" s="13"/>
      <c r="G38" s="21">
        <f t="shared" si="7"/>
        <v>50544</v>
      </c>
      <c r="H38" s="40">
        <f t="shared" si="8"/>
        <v>5.776123188566131</v>
      </c>
      <c r="J38" s="78">
        <f t="shared" si="9"/>
        <v>300.3584058054388</v>
      </c>
      <c r="L38" s="40">
        <f>+L36*3</f>
        <v>6.66</v>
      </c>
      <c r="M38" s="41">
        <f t="shared" si="6"/>
        <v>-0.8838768114338693</v>
      </c>
      <c r="N38" s="43">
        <f t="shared" si="4"/>
        <v>-0.13271423595103143</v>
      </c>
      <c r="Q38" s="118"/>
    </row>
    <row r="39" spans="1:17" ht="15">
      <c r="A39" s="42" t="str">
        <f>+Commercial!A20</f>
        <v>5-2 yard container</v>
      </c>
      <c r="B39" s="13">
        <v>5</v>
      </c>
      <c r="C39" s="27">
        <v>1</v>
      </c>
      <c r="D39" s="115">
        <f>+D38</f>
        <v>324</v>
      </c>
      <c r="E39" s="26">
        <v>52</v>
      </c>
      <c r="F39" s="13"/>
      <c r="G39" s="21">
        <f t="shared" si="7"/>
        <v>84240</v>
      </c>
      <c r="H39" s="40">
        <f t="shared" si="8"/>
        <v>9.62687198094355</v>
      </c>
      <c r="J39" s="78">
        <f>C39*E39*H39</f>
        <v>500.5973430090646</v>
      </c>
      <c r="L39" s="40">
        <f>+L35*5</f>
        <v>11.100000000000001</v>
      </c>
      <c r="M39" s="41">
        <f t="shared" si="6"/>
        <v>-1.4731280190564515</v>
      </c>
      <c r="N39" s="43">
        <f>+M39/L39</f>
        <v>-0.13271423595103166</v>
      </c>
      <c r="Q39" s="118"/>
    </row>
    <row r="40" spans="1:17" ht="15">
      <c r="A40" s="42" t="str">
        <f>+Commercial!A21</f>
        <v>3 yard container</v>
      </c>
      <c r="B40" s="13">
        <v>1</v>
      </c>
      <c r="C40" s="27">
        <f>+Commercial!C21</f>
        <v>30</v>
      </c>
      <c r="D40" s="115">
        <v>473</v>
      </c>
      <c r="E40" s="26">
        <f>+Commercial!D21</f>
        <v>52</v>
      </c>
      <c r="F40" s="13"/>
      <c r="G40" s="21">
        <f t="shared" si="7"/>
        <v>737880</v>
      </c>
      <c r="H40" s="40">
        <f t="shared" si="8"/>
        <v>2.8108089178927775</v>
      </c>
      <c r="J40" s="78">
        <f t="shared" si="9"/>
        <v>4384.861911912733</v>
      </c>
      <c r="L40" s="40">
        <v>3.24</v>
      </c>
      <c r="M40" s="41">
        <f t="shared" si="6"/>
        <v>-0.4291910821072227</v>
      </c>
      <c r="N40" s="43">
        <f t="shared" si="4"/>
        <v>-0.13246638336642674</v>
      </c>
      <c r="Q40" s="118"/>
    </row>
    <row r="41" spans="1:17" ht="15">
      <c r="A41" s="42" t="str">
        <f>+Commercial!A22</f>
        <v>3 yard container EOW</v>
      </c>
      <c r="B41" s="13">
        <v>1</v>
      </c>
      <c r="C41" s="27">
        <f>+Commercial!C22</f>
        <v>9</v>
      </c>
      <c r="D41" s="115">
        <f>+D40</f>
        <v>473</v>
      </c>
      <c r="E41" s="26">
        <f>+Commercial!D22</f>
        <v>26</v>
      </c>
      <c r="F41" s="13"/>
      <c r="G41" s="21">
        <f t="shared" si="7"/>
        <v>110682</v>
      </c>
      <c r="H41" s="40">
        <f t="shared" si="8"/>
        <v>2.8108089178927775</v>
      </c>
      <c r="J41" s="78">
        <f t="shared" si="9"/>
        <v>657.7292867869099</v>
      </c>
      <c r="L41" s="40">
        <v>3.24</v>
      </c>
      <c r="M41" s="41">
        <f t="shared" si="6"/>
        <v>-0.4291910821072227</v>
      </c>
      <c r="N41" s="43">
        <f t="shared" si="4"/>
        <v>-0.13246638336642674</v>
      </c>
      <c r="Q41" s="118"/>
    </row>
    <row r="42" spans="1:17" ht="15">
      <c r="A42" s="42" t="str">
        <f>+Commercial!A23</f>
        <v>4 yard container</v>
      </c>
      <c r="B42" s="13">
        <v>1</v>
      </c>
      <c r="C42" s="27">
        <f>+Commercial!C23</f>
        <v>32</v>
      </c>
      <c r="D42" s="115">
        <v>613</v>
      </c>
      <c r="E42" s="26">
        <f>+Commercial!D23</f>
        <v>52</v>
      </c>
      <c r="F42" s="13"/>
      <c r="G42" s="21">
        <f t="shared" si="7"/>
        <v>1020032</v>
      </c>
      <c r="H42" s="40">
        <f t="shared" si="8"/>
        <v>3.642760817480492</v>
      </c>
      <c r="J42" s="78">
        <f t="shared" si="9"/>
        <v>6061.554000287539</v>
      </c>
      <c r="L42" s="40">
        <v>4.2</v>
      </c>
      <c r="M42" s="41">
        <f t="shared" si="6"/>
        <v>-0.557239182519508</v>
      </c>
      <c r="N42" s="43">
        <f t="shared" si="4"/>
        <v>-0.1326759958379781</v>
      </c>
      <c r="Q42" s="118"/>
    </row>
    <row r="43" spans="1:17" ht="15">
      <c r="A43" s="42" t="str">
        <f>+Commercial!A24</f>
        <v>4 yard Container EOW</v>
      </c>
      <c r="B43" s="13">
        <v>1</v>
      </c>
      <c r="C43" s="27">
        <f>+Commercial!C24</f>
        <v>8</v>
      </c>
      <c r="D43" s="115">
        <f>+D42</f>
        <v>613</v>
      </c>
      <c r="E43" s="26">
        <v>26</v>
      </c>
      <c r="F43" s="13"/>
      <c r="G43" s="21">
        <f>IF(C43=0,"",C43*D43*E43*B43)</f>
        <v>127504</v>
      </c>
      <c r="H43" s="40">
        <f>($G$5*G43)/C43/E43</f>
        <v>3.642760817480492</v>
      </c>
      <c r="J43" s="78">
        <f>C43*E43*H43</f>
        <v>757.6942500359423</v>
      </c>
      <c r="L43" s="40">
        <f>+L42</f>
        <v>4.2</v>
      </c>
      <c r="M43" s="41">
        <f t="shared" si="6"/>
        <v>-0.557239182519508</v>
      </c>
      <c r="N43" s="43">
        <f>+M43/L43</f>
        <v>-0.1326759958379781</v>
      </c>
      <c r="Q43" s="118"/>
    </row>
    <row r="44" spans="1:17" ht="15">
      <c r="A44" s="42" t="str">
        <f>+Commercial!A25</f>
        <v>2-4 yard container</v>
      </c>
      <c r="B44" s="13">
        <v>2</v>
      </c>
      <c r="C44" s="27">
        <f>+Commercial!C25</f>
        <v>1</v>
      </c>
      <c r="D44" s="115">
        <f>+D42</f>
        <v>613</v>
      </c>
      <c r="E44" s="26">
        <v>52</v>
      </c>
      <c r="F44" s="13"/>
      <c r="G44" s="21">
        <f t="shared" si="7"/>
        <v>63752</v>
      </c>
      <c r="H44" s="40">
        <f t="shared" si="8"/>
        <v>7.285521634960984</v>
      </c>
      <c r="J44" s="78">
        <f t="shared" si="9"/>
        <v>378.84712501797117</v>
      </c>
      <c r="L44" s="40">
        <f>+L43*2</f>
        <v>8.4</v>
      </c>
      <c r="M44" s="41">
        <f t="shared" si="6"/>
        <v>-1.114478365039016</v>
      </c>
      <c r="N44" s="43">
        <f t="shared" si="4"/>
        <v>-0.1326759958379781</v>
      </c>
      <c r="Q44" s="118"/>
    </row>
    <row r="45" spans="1:17" ht="15">
      <c r="A45" s="42" t="str">
        <f>+Commercial!A26</f>
        <v>6 yard container</v>
      </c>
      <c r="B45" s="13">
        <v>1</v>
      </c>
      <c r="C45" s="27">
        <f>+Commercial!C26</f>
        <v>32</v>
      </c>
      <c r="D45" s="115">
        <v>840</v>
      </c>
      <c r="E45" s="26">
        <f>+Commercial!D26</f>
        <v>52</v>
      </c>
      <c r="F45" s="13"/>
      <c r="G45" s="21">
        <f t="shared" si="7"/>
        <v>1397760</v>
      </c>
      <c r="H45" s="40">
        <f t="shared" si="8"/>
        <v>4.991711397526286</v>
      </c>
      <c r="J45" s="78">
        <f t="shared" si="9"/>
        <v>8306.20776548374</v>
      </c>
      <c r="L45" s="40">
        <v>5.76</v>
      </c>
      <c r="M45" s="41">
        <f t="shared" si="6"/>
        <v>-0.7682886024737137</v>
      </c>
      <c r="N45" s="43">
        <f t="shared" si="4"/>
        <v>-0.1333834379294642</v>
      </c>
      <c r="Q45" s="118"/>
    </row>
    <row r="46" spans="1:17" ht="15">
      <c r="A46" s="42" t="str">
        <f>+Commercial!A27</f>
        <v>6 yard container EOW</v>
      </c>
      <c r="B46" s="13">
        <v>1</v>
      </c>
      <c r="C46" s="27">
        <f>+Commercial!C27</f>
        <v>1</v>
      </c>
      <c r="D46" s="115">
        <f>+D45</f>
        <v>840</v>
      </c>
      <c r="E46" s="26">
        <f>+Commercial!D27</f>
        <v>26</v>
      </c>
      <c r="F46" s="13"/>
      <c r="G46" s="21">
        <f t="shared" si="7"/>
        <v>21840</v>
      </c>
      <c r="H46" s="40">
        <f t="shared" si="8"/>
        <v>4.991711397526286</v>
      </c>
      <c r="J46" s="78">
        <f t="shared" si="9"/>
        <v>129.78449633568343</v>
      </c>
      <c r="L46" s="40">
        <v>5.76</v>
      </c>
      <c r="M46" s="41">
        <f t="shared" si="6"/>
        <v>-0.7682886024737137</v>
      </c>
      <c r="N46" s="43">
        <f t="shared" si="4"/>
        <v>-0.1333834379294642</v>
      </c>
      <c r="Q46" s="118"/>
    </row>
    <row r="47" spans="1:17" ht="15">
      <c r="A47" s="42" t="str">
        <f>+Commercial!A28</f>
        <v>2-6 yard 1x a week</v>
      </c>
      <c r="B47" s="13">
        <v>2</v>
      </c>
      <c r="C47" s="27">
        <f>+Commercial!C28</f>
        <v>2</v>
      </c>
      <c r="D47" s="115">
        <f>+D46</f>
        <v>840</v>
      </c>
      <c r="E47" s="26">
        <f>+Commercial!D28</f>
        <v>52</v>
      </c>
      <c r="F47" s="13"/>
      <c r="G47" s="21">
        <f t="shared" si="7"/>
        <v>174720</v>
      </c>
      <c r="H47" s="40">
        <f t="shared" si="8"/>
        <v>9.983422795052572</v>
      </c>
      <c r="J47" s="78">
        <f t="shared" si="9"/>
        <v>1038.2759706854674</v>
      </c>
      <c r="L47" s="40">
        <f>+L45*2</f>
        <v>11.52</v>
      </c>
      <c r="M47" s="41">
        <f t="shared" si="6"/>
        <v>-1.5365772049474273</v>
      </c>
      <c r="N47" s="43">
        <f t="shared" si="4"/>
        <v>-0.1333834379294642</v>
      </c>
      <c r="Q47" s="118"/>
    </row>
    <row r="48" spans="1:17" ht="15">
      <c r="A48" s="42" t="str">
        <f>+Commercial!A29</f>
        <v>2-6 yard 2x a week</v>
      </c>
      <c r="B48" s="13">
        <v>2</v>
      </c>
      <c r="C48" s="27">
        <f>+Commercial!C29</f>
        <v>1</v>
      </c>
      <c r="D48" s="115">
        <f>+D47</f>
        <v>840</v>
      </c>
      <c r="E48" s="26">
        <f>+Commercial!D29</f>
        <v>104</v>
      </c>
      <c r="F48" s="13"/>
      <c r="G48" s="21">
        <f t="shared" si="7"/>
        <v>174720</v>
      </c>
      <c r="H48" s="40">
        <f t="shared" si="8"/>
        <v>9.983422795052572</v>
      </c>
      <c r="J48" s="78">
        <f t="shared" si="9"/>
        <v>1038.2759706854674</v>
      </c>
      <c r="L48" s="40">
        <f>+L47</f>
        <v>11.52</v>
      </c>
      <c r="M48" s="41">
        <f t="shared" si="6"/>
        <v>-1.5365772049474273</v>
      </c>
      <c r="N48" s="43">
        <f t="shared" si="4"/>
        <v>-0.1333834379294642</v>
      </c>
      <c r="Q48" s="118"/>
    </row>
    <row r="49" spans="1:17" ht="15">
      <c r="A49" s="42" t="str">
        <f>+Commercial!A30</f>
        <v>8 yard container</v>
      </c>
      <c r="B49" s="13">
        <v>1</v>
      </c>
      <c r="C49" s="27">
        <f>+Commercial!C30</f>
        <v>17</v>
      </c>
      <c r="D49" s="115">
        <v>980</v>
      </c>
      <c r="E49" s="26">
        <f>+Commercial!D30</f>
        <v>52</v>
      </c>
      <c r="F49" s="13"/>
      <c r="G49" s="21">
        <f t="shared" si="7"/>
        <v>866320</v>
      </c>
      <c r="H49" s="40">
        <f t="shared" si="8"/>
        <v>5.823663297114</v>
      </c>
      <c r="J49" s="78">
        <f t="shared" si="9"/>
        <v>5148.1183546487755</v>
      </c>
      <c r="L49" s="40">
        <v>6.72</v>
      </c>
      <c r="M49" s="41">
        <f t="shared" si="6"/>
        <v>-0.8963367028859999</v>
      </c>
      <c r="N49" s="43">
        <f t="shared" si="4"/>
        <v>-0.13338343792946428</v>
      </c>
      <c r="Q49" s="118"/>
    </row>
    <row r="50" spans="1:17" ht="15">
      <c r="A50" s="42" t="str">
        <f>+Commercial!A31</f>
        <v>8 yard container EOW</v>
      </c>
      <c r="B50" s="13">
        <v>1</v>
      </c>
      <c r="C50" s="27">
        <f>+Commercial!C31</f>
        <v>4</v>
      </c>
      <c r="D50" s="115">
        <f>+D49</f>
        <v>980</v>
      </c>
      <c r="E50" s="26">
        <f>+Commercial!D31</f>
        <v>26</v>
      </c>
      <c r="F50" s="13"/>
      <c r="G50" s="21">
        <f t="shared" si="7"/>
        <v>101920</v>
      </c>
      <c r="H50" s="40">
        <f t="shared" si="8"/>
        <v>5.823663297114</v>
      </c>
      <c r="J50" s="78">
        <f t="shared" si="9"/>
        <v>605.660982899856</v>
      </c>
      <c r="L50" s="40">
        <v>6.72</v>
      </c>
      <c r="M50" s="41">
        <f t="shared" si="6"/>
        <v>-0.8963367028859999</v>
      </c>
      <c r="N50" s="43">
        <f t="shared" si="4"/>
        <v>-0.13338343792946428</v>
      </c>
      <c r="Q50" s="118"/>
    </row>
    <row r="51" spans="1:17" ht="15">
      <c r="A51" s="42" t="str">
        <f>+Commercial!A32</f>
        <v>1-8yrd 2x a week</v>
      </c>
      <c r="B51" s="13">
        <v>1</v>
      </c>
      <c r="C51" s="27">
        <f>+Commercial!C32</f>
        <v>2</v>
      </c>
      <c r="D51" s="115">
        <f>+D50</f>
        <v>980</v>
      </c>
      <c r="E51" s="26">
        <f>+Commercial!D32</f>
        <v>104</v>
      </c>
      <c r="F51" s="13"/>
      <c r="G51" s="21">
        <f t="shared" si="7"/>
        <v>203840</v>
      </c>
      <c r="H51" s="40">
        <f t="shared" si="8"/>
        <v>5.823663297114</v>
      </c>
      <c r="J51" s="78">
        <f t="shared" si="9"/>
        <v>1211.321965799712</v>
      </c>
      <c r="L51" s="40">
        <v>6.72</v>
      </c>
      <c r="M51" s="41">
        <f t="shared" si="6"/>
        <v>-0.8963367028859999</v>
      </c>
      <c r="N51" s="43">
        <f t="shared" si="4"/>
        <v>-0.13338343792946428</v>
      </c>
      <c r="Q51" s="118"/>
    </row>
    <row r="52" spans="1:17" ht="15">
      <c r="A52" s="42" t="str">
        <f>+Commercial!A33</f>
        <v>1-8yrd 3x a week</v>
      </c>
      <c r="B52" s="13">
        <v>1</v>
      </c>
      <c r="C52" s="27">
        <f>+Commercial!C33</f>
        <v>2</v>
      </c>
      <c r="D52" s="115">
        <f>+D51</f>
        <v>980</v>
      </c>
      <c r="E52" s="26">
        <f>+Commercial!D33</f>
        <v>156</v>
      </c>
      <c r="F52" s="13"/>
      <c r="G52" s="21">
        <f t="shared" si="7"/>
        <v>305760</v>
      </c>
      <c r="H52" s="40">
        <f t="shared" si="8"/>
        <v>5.823663297114</v>
      </c>
      <c r="J52" s="78">
        <f t="shared" si="9"/>
        <v>1816.982948699568</v>
      </c>
      <c r="L52" s="40">
        <v>6.72</v>
      </c>
      <c r="M52" s="41">
        <f t="shared" si="6"/>
        <v>-0.8963367028859999</v>
      </c>
      <c r="N52" s="43">
        <f t="shared" si="4"/>
        <v>-0.13338343792946428</v>
      </c>
      <c r="Q52" s="118"/>
    </row>
    <row r="53" spans="1:17" ht="15">
      <c r="A53" s="42" t="str">
        <f>+Commercial!A34</f>
        <v>2-8 yard 1x a week</v>
      </c>
      <c r="B53" s="13">
        <v>2</v>
      </c>
      <c r="C53" s="27">
        <f>+Commercial!C34</f>
        <v>2</v>
      </c>
      <c r="D53" s="115">
        <f>+D52</f>
        <v>980</v>
      </c>
      <c r="E53" s="26">
        <v>52</v>
      </c>
      <c r="F53" s="13"/>
      <c r="G53" s="21">
        <f t="shared" si="7"/>
        <v>203840</v>
      </c>
      <c r="H53" s="40">
        <f>($G$5*G53)/C53/E53</f>
        <v>11.647326594228</v>
      </c>
      <c r="J53" s="78">
        <f>C53*E53*H53</f>
        <v>1211.321965799712</v>
      </c>
      <c r="L53" s="40">
        <f>+L52*2</f>
        <v>13.44</v>
      </c>
      <c r="M53" s="41">
        <f>+H53-L53</f>
        <v>-1.7926734057719997</v>
      </c>
      <c r="N53" s="43">
        <f>+M53/L53</f>
        <v>-0.13338343792946428</v>
      </c>
      <c r="Q53" s="118"/>
    </row>
    <row r="54" spans="1:17" ht="15">
      <c r="A54" s="42" t="str">
        <f>+Commercial!A35</f>
        <v>3-8 yard 1x a week</v>
      </c>
      <c r="B54" s="13">
        <v>3</v>
      </c>
      <c r="C54" s="27">
        <v>2</v>
      </c>
      <c r="D54" s="115">
        <f>+D53</f>
        <v>980</v>
      </c>
      <c r="E54" s="26">
        <v>52</v>
      </c>
      <c r="F54" s="13"/>
      <c r="G54" s="21">
        <f t="shared" si="7"/>
        <v>305760</v>
      </c>
      <c r="H54" s="40">
        <f>($G$5*G54)/C54/E54</f>
        <v>17.470989891342</v>
      </c>
      <c r="J54" s="78">
        <f>C54*E54*H54</f>
        <v>1816.9829486995682</v>
      </c>
      <c r="L54" s="40">
        <f>+L52*3</f>
        <v>20.16</v>
      </c>
      <c r="M54" s="41">
        <f>+H54-L54</f>
        <v>-2.6890101086579996</v>
      </c>
      <c r="N54" s="43">
        <f>+M54/L54</f>
        <v>-0.13338343792946428</v>
      </c>
      <c r="Q54" s="118"/>
    </row>
    <row r="55" spans="1:17" ht="15">
      <c r="A55" s="42" t="str">
        <f>+Commercial!A36</f>
        <v>32 gallon can</v>
      </c>
      <c r="B55" s="13">
        <v>1</v>
      </c>
      <c r="C55" s="27">
        <f>+Commercial!C36</f>
        <v>1</v>
      </c>
      <c r="D55" s="115">
        <v>29</v>
      </c>
      <c r="E55" s="26">
        <f>+Commercial!D36</f>
        <v>52</v>
      </c>
      <c r="F55" s="13"/>
      <c r="G55" s="21">
        <f t="shared" si="7"/>
        <v>1508</v>
      </c>
      <c r="H55" s="40">
        <f t="shared" si="8"/>
        <v>0.17233289348602654</v>
      </c>
      <c r="J55" s="78">
        <f t="shared" si="9"/>
        <v>8.96131046127338</v>
      </c>
      <c r="L55" s="40">
        <v>0.2</v>
      </c>
      <c r="M55" s="41">
        <f aca="true" t="shared" si="10" ref="M55:M62">+H55-L55</f>
        <v>-0.027667106513973472</v>
      </c>
      <c r="N55" s="43">
        <f t="shared" si="4"/>
        <v>-0.13833553256986736</v>
      </c>
      <c r="Q55" s="118"/>
    </row>
    <row r="56" spans="1:17" ht="15">
      <c r="A56" s="42" t="str">
        <f>+Commercial!A37</f>
        <v>35 Tote</v>
      </c>
      <c r="B56" s="13">
        <v>1</v>
      </c>
      <c r="C56" s="27">
        <f>+Commercial!C37</f>
        <v>1</v>
      </c>
      <c r="D56" s="115">
        <v>29</v>
      </c>
      <c r="E56" s="26">
        <f>+Commercial!D37</f>
        <v>52</v>
      </c>
      <c r="F56" s="13"/>
      <c r="G56" s="21">
        <f t="shared" si="7"/>
        <v>1508</v>
      </c>
      <c r="H56" s="40">
        <f t="shared" si="8"/>
        <v>0.17233289348602654</v>
      </c>
      <c r="J56" s="78">
        <f t="shared" si="9"/>
        <v>8.96131046127338</v>
      </c>
      <c r="L56" s="40">
        <v>0.2</v>
      </c>
      <c r="M56" s="41">
        <f t="shared" si="10"/>
        <v>-0.027667106513973472</v>
      </c>
      <c r="N56" s="43">
        <f t="shared" si="4"/>
        <v>-0.13833553256986736</v>
      </c>
      <c r="Q56" s="118"/>
    </row>
    <row r="57" spans="1:17" ht="15">
      <c r="A57" s="42" t="str">
        <f>+Commercial!A38</f>
        <v>64 Tote</v>
      </c>
      <c r="B57" s="13">
        <v>1</v>
      </c>
      <c r="C57" s="27">
        <f>+Commercial!C38</f>
        <v>3</v>
      </c>
      <c r="D57" s="115">
        <v>51</v>
      </c>
      <c r="E57" s="26">
        <f>+Commercial!D38</f>
        <v>52</v>
      </c>
      <c r="F57" s="13"/>
      <c r="G57" s="21">
        <f t="shared" si="7"/>
        <v>7956</v>
      </c>
      <c r="H57" s="40">
        <f t="shared" si="8"/>
        <v>0.3030681919926673</v>
      </c>
      <c r="J57" s="78">
        <f t="shared" si="9"/>
        <v>47.2786379508561</v>
      </c>
      <c r="L57" s="40">
        <v>0.35</v>
      </c>
      <c r="M57" s="41">
        <f t="shared" si="10"/>
        <v>-0.046931808007332654</v>
      </c>
      <c r="N57" s="43">
        <f t="shared" si="4"/>
        <v>-0.13409088002095046</v>
      </c>
      <c r="Q57" s="118"/>
    </row>
    <row r="58" spans="1:17" ht="15">
      <c r="A58" s="42" t="str">
        <f>+Commercial!A39</f>
        <v>90 Tote</v>
      </c>
      <c r="B58" s="13">
        <v>1</v>
      </c>
      <c r="C58" s="27">
        <f>+Commercial!C39</f>
        <v>33</v>
      </c>
      <c r="D58" s="115">
        <v>77</v>
      </c>
      <c r="E58" s="26">
        <f>+Commercial!D39</f>
        <v>52</v>
      </c>
      <c r="F58" s="13"/>
      <c r="G58" s="21">
        <f t="shared" si="7"/>
        <v>132132</v>
      </c>
      <c r="H58" s="40">
        <f t="shared" si="8"/>
        <v>0.45757354477324286</v>
      </c>
      <c r="J58" s="78">
        <f t="shared" si="9"/>
        <v>785.1962028308848</v>
      </c>
      <c r="L58" s="40">
        <v>0.53</v>
      </c>
      <c r="M58" s="41">
        <f t="shared" si="10"/>
        <v>-0.07242645522675717</v>
      </c>
      <c r="N58" s="43">
        <f t="shared" si="4"/>
        <v>-0.136653689107089</v>
      </c>
      <c r="Q58" s="118"/>
    </row>
    <row r="59" spans="1:17" ht="15">
      <c r="A59" s="42" t="str">
        <f>+Commercial!A40</f>
        <v>3-90 Tote</v>
      </c>
      <c r="B59" s="13">
        <v>3</v>
      </c>
      <c r="C59" s="27">
        <f>+Commercial!C40</f>
        <v>6</v>
      </c>
      <c r="D59" s="115">
        <f>+D58</f>
        <v>77</v>
      </c>
      <c r="E59" s="26">
        <f>+Commercial!D40</f>
        <v>52</v>
      </c>
      <c r="F59" s="13"/>
      <c r="G59" s="21">
        <f t="shared" si="7"/>
        <v>72072</v>
      </c>
      <c r="H59" s="40">
        <f t="shared" si="8"/>
        <v>1.3727206343197287</v>
      </c>
      <c r="J59" s="78">
        <f t="shared" si="9"/>
        <v>428.28883790775535</v>
      </c>
      <c r="L59" s="40">
        <f>+L58*3</f>
        <v>1.59</v>
      </c>
      <c r="M59" s="41">
        <f t="shared" si="10"/>
        <v>-0.2172793656802714</v>
      </c>
      <c r="N59" s="43">
        <f t="shared" si="4"/>
        <v>-0.13665368910708892</v>
      </c>
      <c r="Q59" s="118"/>
    </row>
    <row r="60" spans="1:17" ht="15">
      <c r="A60" s="42" t="str">
        <f>+Commercial!A41</f>
        <v>4-90 Tote</v>
      </c>
      <c r="B60" s="13">
        <v>4</v>
      </c>
      <c r="C60" s="27">
        <f>+Commercial!C41</f>
        <v>1</v>
      </c>
      <c r="D60" s="115">
        <f>+D59</f>
        <v>77</v>
      </c>
      <c r="E60" s="26">
        <f>+Commercial!D41</f>
        <v>52</v>
      </c>
      <c r="F60" s="13"/>
      <c r="G60" s="21">
        <f t="shared" si="7"/>
        <v>16016</v>
      </c>
      <c r="H60" s="40">
        <f t="shared" si="8"/>
        <v>1.8302941790929714</v>
      </c>
      <c r="J60" s="78">
        <f t="shared" si="9"/>
        <v>95.17529731283452</v>
      </c>
      <c r="L60" s="40">
        <f>+L58*4</f>
        <v>2.12</v>
      </c>
      <c r="M60" s="41">
        <f t="shared" si="10"/>
        <v>-0.2897058209070287</v>
      </c>
      <c r="N60" s="43">
        <f t="shared" si="4"/>
        <v>-0.136653689107089</v>
      </c>
      <c r="Q60" s="118"/>
    </row>
    <row r="61" spans="1:17" ht="15">
      <c r="A61" s="42" t="str">
        <f>+Commercial!A42</f>
        <v>6-90 Tote</v>
      </c>
      <c r="B61" s="13">
        <v>6</v>
      </c>
      <c r="C61" s="27">
        <f>+Commercial!C42</f>
        <v>1</v>
      </c>
      <c r="D61" s="115">
        <f>+D60</f>
        <v>77</v>
      </c>
      <c r="E61" s="26">
        <f>+Commercial!D42</f>
        <v>52</v>
      </c>
      <c r="F61" s="13"/>
      <c r="G61" s="21">
        <f t="shared" si="7"/>
        <v>24024</v>
      </c>
      <c r="H61" s="40">
        <f t="shared" si="8"/>
        <v>2.7454412686394574</v>
      </c>
      <c r="J61" s="78">
        <f t="shared" si="9"/>
        <v>142.76294596925177</v>
      </c>
      <c r="L61" s="40">
        <f>+L58*6</f>
        <v>3.18</v>
      </c>
      <c r="M61" s="41">
        <f t="shared" si="10"/>
        <v>-0.4345587313605428</v>
      </c>
      <c r="N61" s="43">
        <f t="shared" si="4"/>
        <v>-0.13665368910708892</v>
      </c>
      <c r="Q61" s="118"/>
    </row>
    <row r="62" spans="1:17" ht="15">
      <c r="A62" s="42" t="str">
        <f>+Commercial!A43</f>
        <v>9-90 Tote</v>
      </c>
      <c r="B62" s="13">
        <v>9</v>
      </c>
      <c r="C62" s="27">
        <f>+Commercial!C43</f>
        <v>1</v>
      </c>
      <c r="D62" s="115">
        <f>+D61</f>
        <v>77</v>
      </c>
      <c r="E62" s="26">
        <f>+Commercial!D43</f>
        <v>52</v>
      </c>
      <c r="F62" s="13"/>
      <c r="G62" s="21">
        <f t="shared" si="7"/>
        <v>36036</v>
      </c>
      <c r="H62" s="40">
        <f t="shared" si="8"/>
        <v>4.118161902959185</v>
      </c>
      <c r="J62" s="78">
        <f t="shared" si="9"/>
        <v>214.14441895387765</v>
      </c>
      <c r="L62" s="40">
        <f>+L58*9</f>
        <v>4.7700000000000005</v>
      </c>
      <c r="M62" s="41">
        <f t="shared" si="10"/>
        <v>-0.6518380970408151</v>
      </c>
      <c r="N62" s="43">
        <f t="shared" si="4"/>
        <v>-0.1366536891070891</v>
      </c>
      <c r="Q62" s="118"/>
    </row>
    <row r="63" spans="1:17" ht="15">
      <c r="A63" s="42"/>
      <c r="B63" s="13"/>
      <c r="C63" s="27"/>
      <c r="D63" s="115"/>
      <c r="E63" s="26"/>
      <c r="F63" s="13"/>
      <c r="G63" s="21"/>
      <c r="H63" s="40"/>
      <c r="J63" s="78"/>
      <c r="L63" s="40"/>
      <c r="M63" s="41"/>
      <c r="N63" s="43"/>
      <c r="Q63" s="118"/>
    </row>
    <row r="64" spans="1:17" ht="15">
      <c r="A64" s="42" t="s">
        <v>108</v>
      </c>
      <c r="B64" s="13">
        <v>1</v>
      </c>
      <c r="C64" s="27">
        <f>+Commercial!C44</f>
        <v>5</v>
      </c>
      <c r="D64" s="115">
        <f>120*15</f>
        <v>1800</v>
      </c>
      <c r="E64" s="26">
        <v>8</v>
      </c>
      <c r="F64" s="13"/>
      <c r="G64" s="21">
        <f>IF(C64=0,"",D64*E64*B64)</f>
        <v>14400</v>
      </c>
      <c r="H64" s="40">
        <f aca="true" t="shared" si="11" ref="H64:H71">($G$5*G64)/E64</f>
        <v>10.696524423270612</v>
      </c>
      <c r="J64" s="78">
        <f aca="true" t="shared" si="12" ref="J64:J71">E64*H64</f>
        <v>85.57219538616489</v>
      </c>
      <c r="L64" s="40">
        <v>14.4</v>
      </c>
      <c r="M64" s="41">
        <f aca="true" t="shared" si="13" ref="M64:M71">+H64-L64</f>
        <v>-3.7034755767293888</v>
      </c>
      <c r="N64" s="43">
        <f>+M64/L64</f>
        <v>-0.2571858039395409</v>
      </c>
      <c r="Q64" s="118"/>
    </row>
    <row r="65" spans="1:17" ht="15">
      <c r="A65" s="42" t="s">
        <v>17</v>
      </c>
      <c r="B65" s="13">
        <v>1</v>
      </c>
      <c r="C65" s="27">
        <f>+Commercial!C45</f>
        <v>33</v>
      </c>
      <c r="D65" s="115">
        <f>120*20</f>
        <v>2400</v>
      </c>
      <c r="E65" s="26">
        <f>+Commercial!D45</f>
        <v>188</v>
      </c>
      <c r="F65" s="13"/>
      <c r="G65" s="21">
        <f aca="true" t="shared" si="14" ref="G65:G71">IF(C65=0,"",D65*E65*B65)</f>
        <v>451200</v>
      </c>
      <c r="H65" s="40">
        <f t="shared" si="11"/>
        <v>14.262032564360817</v>
      </c>
      <c r="J65" s="78">
        <f t="shared" si="12"/>
        <v>2681.2621220998335</v>
      </c>
      <c r="L65" s="40">
        <v>16.46</v>
      </c>
      <c r="M65" s="41">
        <f t="shared" si="13"/>
        <v>-2.1979674356391836</v>
      </c>
      <c r="N65" s="43">
        <f t="shared" si="4"/>
        <v>-0.13353386607771467</v>
      </c>
      <c r="Q65" s="118"/>
    </row>
    <row r="66" spans="1:17" ht="15">
      <c r="A66" s="42" t="s">
        <v>18</v>
      </c>
      <c r="B66" s="13">
        <v>1</v>
      </c>
      <c r="C66" s="27">
        <v>0.0001</v>
      </c>
      <c r="D66" s="115">
        <f>120*25</f>
        <v>3000</v>
      </c>
      <c r="E66" s="126">
        <f>+Commercial!D46</f>
        <v>2</v>
      </c>
      <c r="F66" s="13"/>
      <c r="G66" s="21">
        <f t="shared" si="14"/>
        <v>6000</v>
      </c>
      <c r="H66" s="40">
        <f t="shared" si="11"/>
        <v>17.82754070545102</v>
      </c>
      <c r="J66" s="78">
        <f t="shared" si="12"/>
        <v>35.65508141090204</v>
      </c>
      <c r="L66" s="40">
        <v>20.57</v>
      </c>
      <c r="M66" s="41">
        <f t="shared" si="13"/>
        <v>-2.742459294548979</v>
      </c>
      <c r="N66" s="43">
        <f t="shared" si="4"/>
        <v>-0.13332325204418954</v>
      </c>
      <c r="Q66" s="118"/>
    </row>
    <row r="67" spans="1:17" ht="15">
      <c r="A67" s="42" t="s">
        <v>19</v>
      </c>
      <c r="B67" s="13">
        <v>1</v>
      </c>
      <c r="C67" s="27">
        <f>+Commercial!C47</f>
        <v>47</v>
      </c>
      <c r="D67" s="115">
        <f>120*30</f>
        <v>3600</v>
      </c>
      <c r="E67" s="26">
        <f>+Commercial!D47</f>
        <v>531</v>
      </c>
      <c r="F67" s="13"/>
      <c r="G67" s="21">
        <f t="shared" si="14"/>
        <v>1911600</v>
      </c>
      <c r="H67" s="40">
        <f t="shared" si="11"/>
        <v>21.393048846541223</v>
      </c>
      <c r="J67" s="78">
        <f t="shared" si="12"/>
        <v>11359.70893751339</v>
      </c>
      <c r="L67" s="40">
        <v>24.69</v>
      </c>
      <c r="M67" s="41">
        <f t="shared" si="13"/>
        <v>-3.296951153458778</v>
      </c>
      <c r="N67" s="43">
        <f t="shared" si="4"/>
        <v>-0.13353386607771478</v>
      </c>
      <c r="Q67" s="118"/>
    </row>
    <row r="68" spans="1:17" ht="15">
      <c r="A68" s="42" t="s">
        <v>57</v>
      </c>
      <c r="B68" s="13">
        <v>1</v>
      </c>
      <c r="C68" s="27">
        <f>+Commercial!C48</f>
        <v>10</v>
      </c>
      <c r="D68" s="115">
        <f>120*40</f>
        <v>4800</v>
      </c>
      <c r="E68" s="26">
        <f>+Commercial!D48</f>
        <v>18</v>
      </c>
      <c r="F68" s="13"/>
      <c r="G68" s="21">
        <f t="shared" si="14"/>
        <v>86400</v>
      </c>
      <c r="H68" s="40">
        <f t="shared" si="11"/>
        <v>28.52406512872163</v>
      </c>
      <c r="J68" s="78">
        <f t="shared" si="12"/>
        <v>513.4331723169894</v>
      </c>
      <c r="L68" s="40">
        <v>32.92</v>
      </c>
      <c r="M68" s="41">
        <f t="shared" si="13"/>
        <v>-4.395934871278371</v>
      </c>
      <c r="N68" s="43">
        <f t="shared" si="4"/>
        <v>-0.13353386607771478</v>
      </c>
      <c r="Q68" s="118"/>
    </row>
    <row r="69" spans="1:17" ht="15">
      <c r="A69" s="42" t="s">
        <v>20</v>
      </c>
      <c r="B69" s="13">
        <v>1</v>
      </c>
      <c r="C69" s="27">
        <f>+Commercial!C49</f>
        <v>2</v>
      </c>
      <c r="D69" s="115">
        <f>120*25*3</f>
        <v>9000</v>
      </c>
      <c r="E69" s="26">
        <f>+Commercial!D49</f>
        <v>27</v>
      </c>
      <c r="F69" s="13"/>
      <c r="G69" s="21">
        <f t="shared" si="14"/>
        <v>243000</v>
      </c>
      <c r="H69" s="40">
        <f t="shared" si="11"/>
        <v>53.482622116353056</v>
      </c>
      <c r="J69" s="78">
        <f t="shared" si="12"/>
        <v>1444.0307971415325</v>
      </c>
      <c r="L69" s="40">
        <v>61.72</v>
      </c>
      <c r="M69" s="41">
        <f t="shared" si="13"/>
        <v>-8.237377883646943</v>
      </c>
      <c r="N69" s="43">
        <f t="shared" si="4"/>
        <v>-0.13346367277457782</v>
      </c>
      <c r="Q69" s="118"/>
    </row>
    <row r="70" spans="1:17" ht="15">
      <c r="A70" s="42" t="s">
        <v>21</v>
      </c>
      <c r="B70" s="13">
        <v>1</v>
      </c>
      <c r="C70" s="27">
        <f>+Commercial!C50</f>
        <v>2</v>
      </c>
      <c r="D70" s="115">
        <f>120*30*3</f>
        <v>10800</v>
      </c>
      <c r="E70" s="26">
        <f>+Commercial!D50</f>
        <v>54</v>
      </c>
      <c r="F70" s="13"/>
      <c r="G70" s="21">
        <f t="shared" si="14"/>
        <v>583200</v>
      </c>
      <c r="H70" s="40">
        <f t="shared" si="11"/>
        <v>64.17914653962367</v>
      </c>
      <c r="J70" s="78">
        <f t="shared" si="12"/>
        <v>3465.6739131396785</v>
      </c>
      <c r="L70" s="40">
        <v>74.06</v>
      </c>
      <c r="M70" s="41">
        <f t="shared" si="13"/>
        <v>-9.88085346037633</v>
      </c>
      <c r="N70" s="43">
        <f t="shared" si="4"/>
        <v>-0.13341687092055535</v>
      </c>
      <c r="Q70" s="118"/>
    </row>
    <row r="71" spans="1:17" ht="15">
      <c r="A71" s="42" t="s">
        <v>56</v>
      </c>
      <c r="B71" s="13">
        <v>1</v>
      </c>
      <c r="C71" s="107">
        <f>+Commercial!C51</f>
        <v>1</v>
      </c>
      <c r="D71" s="115">
        <f>120*40*3</f>
        <v>14400</v>
      </c>
      <c r="E71" s="26">
        <f>+Commercial!D51</f>
        <v>5</v>
      </c>
      <c r="F71" s="13"/>
      <c r="G71" s="107">
        <f t="shared" si="14"/>
        <v>72000</v>
      </c>
      <c r="H71" s="40">
        <f t="shared" si="11"/>
        <v>85.57219538616489</v>
      </c>
      <c r="J71" s="108">
        <f t="shared" si="12"/>
        <v>427.86097693082445</v>
      </c>
      <c r="L71" s="40">
        <v>98.75</v>
      </c>
      <c r="M71" s="41">
        <f t="shared" si="13"/>
        <v>-13.177804613835107</v>
      </c>
      <c r="N71" s="43">
        <f t="shared" si="4"/>
        <v>-0.13344612267174794</v>
      </c>
      <c r="Q71" s="118"/>
    </row>
    <row r="72" spans="1:12" ht="15">
      <c r="A72" s="16"/>
      <c r="B72" s="13"/>
      <c r="C72" s="106"/>
      <c r="D72" s="116"/>
      <c r="E72" s="127"/>
      <c r="F72" s="92"/>
      <c r="G72" s="93"/>
      <c r="H72" s="101"/>
      <c r="I72" s="82"/>
      <c r="J72" s="42"/>
      <c r="L72" s="40"/>
    </row>
    <row r="73" spans="1:10" ht="15.75">
      <c r="A73" s="19" t="s">
        <v>22</v>
      </c>
      <c r="B73" s="13"/>
      <c r="C73" s="109">
        <f>SUM(C28:C71)</f>
        <v>474.0001</v>
      </c>
      <c r="D73" s="119"/>
      <c r="E73" s="125"/>
      <c r="F73" s="109"/>
      <c r="G73" s="109">
        <f>SUM(G28:G71)</f>
        <v>11710160</v>
      </c>
      <c r="H73" s="110"/>
      <c r="I73" s="89"/>
      <c r="J73" s="113">
        <f>SUM(J28:J71)</f>
        <v>69587.78468911476</v>
      </c>
    </row>
    <row r="74" spans="1:10" ht="15">
      <c r="A74" s="16"/>
      <c r="B74" s="13"/>
      <c r="C74" s="93"/>
      <c r="D74" s="116"/>
      <c r="E74" s="124"/>
      <c r="F74" s="92"/>
      <c r="G74" s="93"/>
      <c r="H74" s="101"/>
      <c r="I74" s="82"/>
      <c r="J74" s="42"/>
    </row>
    <row r="75" spans="1:10" ht="15.75">
      <c r="A75" s="19" t="s">
        <v>55</v>
      </c>
      <c r="B75" s="13"/>
      <c r="C75" s="105">
        <f>C73+C25</f>
        <v>5907.0001</v>
      </c>
      <c r="D75" s="120"/>
      <c r="E75" s="128"/>
      <c r="F75" s="105"/>
      <c r="G75" s="105">
        <f>G73+G25</f>
        <v>28433620</v>
      </c>
      <c r="H75" s="111"/>
      <c r="I75" s="112"/>
      <c r="J75" s="114">
        <f>+C5</f>
        <v>168967.17265110873</v>
      </c>
    </row>
    <row r="76" spans="1:10" ht="15">
      <c r="A76" s="16"/>
      <c r="B76" s="13"/>
      <c r="C76" s="93"/>
      <c r="D76" s="116"/>
      <c r="E76" s="124"/>
      <c r="F76" s="92"/>
      <c r="G76" s="93"/>
      <c r="H76" s="101"/>
      <c r="I76" s="82"/>
      <c r="J76" s="42"/>
    </row>
    <row r="77" spans="1:10" ht="15">
      <c r="A77" s="16"/>
      <c r="B77" s="13"/>
      <c r="C77" s="93"/>
      <c r="D77" s="116"/>
      <c r="E77" s="124"/>
      <c r="F77" s="92"/>
      <c r="G77" s="93"/>
      <c r="H77" s="101"/>
      <c r="I77" s="82"/>
      <c r="J77" s="95"/>
    </row>
    <row r="78" spans="1:10" ht="15">
      <c r="A78" s="16"/>
      <c r="B78" s="13"/>
      <c r="C78" s="21"/>
      <c r="D78" s="115"/>
      <c r="E78" s="129"/>
      <c r="F78" s="13"/>
      <c r="G78" s="13"/>
      <c r="H78" s="22"/>
      <c r="J78" s="78"/>
    </row>
    <row r="79" spans="4:10" ht="15">
      <c r="D79" s="121"/>
      <c r="J79" s="78"/>
    </row>
    <row r="80" ht="15">
      <c r="D80" s="121"/>
    </row>
    <row r="81" spans="4:7" ht="15">
      <c r="D81" s="121"/>
      <c r="G81" s="28"/>
    </row>
    <row r="82" ht="15">
      <c r="D82" s="121"/>
    </row>
    <row r="83" spans="4:7" ht="15">
      <c r="D83" s="121"/>
      <c r="G83" s="28"/>
    </row>
    <row r="84" ht="15">
      <c r="D84" s="121"/>
    </row>
    <row r="85" spans="4:8" ht="15">
      <c r="D85" s="121"/>
      <c r="G85" s="29"/>
      <c r="H85" s="23"/>
    </row>
  </sheetData>
  <sheetProtection/>
  <printOptions/>
  <pageMargins left="0.5" right="0.25" top="0.5" bottom="0.5" header="0.5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F9" sqref="F9:F51"/>
    </sheetView>
  </sheetViews>
  <sheetFormatPr defaultColWidth="9.140625" defaultRowHeight="12.75"/>
  <cols>
    <col min="1" max="1" width="30.8515625" style="0" customWidth="1"/>
    <col min="2" max="2" width="20.140625" style="0" bestFit="1" customWidth="1"/>
    <col min="3" max="3" width="18.421875" style="0" bestFit="1" customWidth="1"/>
    <col min="4" max="4" width="16.7109375" style="0" customWidth="1"/>
    <col min="5" max="5" width="5.8515625" style="0" bestFit="1" customWidth="1"/>
    <col min="6" max="6" width="17.7109375" style="49" bestFit="1" customWidth="1"/>
    <col min="7" max="7" width="20.7109375" style="0" bestFit="1" customWidth="1"/>
    <col min="9" max="9" width="10.7109375" style="0" bestFit="1" customWidth="1"/>
  </cols>
  <sheetData>
    <row r="1" spans="1:7" ht="23.25">
      <c r="A1" s="132" t="s">
        <v>0</v>
      </c>
      <c r="B1" s="132"/>
      <c r="C1" s="132"/>
      <c r="D1" s="132"/>
      <c r="E1" s="132"/>
      <c r="F1" s="132"/>
      <c r="G1" s="132"/>
    </row>
    <row r="2" spans="1:7" ht="18">
      <c r="A2" s="134" t="s">
        <v>117</v>
      </c>
      <c r="B2" s="134"/>
      <c r="C2" s="134"/>
      <c r="D2" s="134"/>
      <c r="E2" s="134"/>
      <c r="F2" s="134"/>
      <c r="G2" s="134"/>
    </row>
    <row r="4" spans="1:7" ht="15.75">
      <c r="A4" s="133" t="s">
        <v>116</v>
      </c>
      <c r="B4" s="133"/>
      <c r="C4" s="133"/>
      <c r="D4" s="133"/>
      <c r="E4" s="133"/>
      <c r="F4" s="133"/>
      <c r="G4" s="133"/>
    </row>
    <row r="6" spans="1:7" ht="12.75">
      <c r="A6" t="s">
        <v>1</v>
      </c>
      <c r="G6" s="31" t="s">
        <v>119</v>
      </c>
    </row>
    <row r="7" spans="1:7" ht="4.5" customHeight="1" thickBot="1">
      <c r="A7" s="2"/>
      <c r="B7" s="2"/>
      <c r="C7" s="2"/>
      <c r="D7" s="2"/>
      <c r="E7" s="2"/>
      <c r="F7" s="63"/>
      <c r="G7" s="2"/>
    </row>
    <row r="8" spans="1:7" ht="14.25" thickBot="1" thickTop="1">
      <c r="A8" s="3" t="s">
        <v>2</v>
      </c>
      <c r="B8" s="3" t="s">
        <v>114</v>
      </c>
      <c r="C8" s="3" t="s">
        <v>3</v>
      </c>
      <c r="D8" s="3" t="s">
        <v>4</v>
      </c>
      <c r="E8" s="3" t="s">
        <v>5</v>
      </c>
      <c r="F8" s="64" t="s">
        <v>6</v>
      </c>
      <c r="G8" s="3" t="s">
        <v>7</v>
      </c>
    </row>
    <row r="9" spans="1:11" ht="16.5" customHeight="1" thickTop="1">
      <c r="A9" s="4" t="s">
        <v>8</v>
      </c>
      <c r="B9" s="4">
        <v>1</v>
      </c>
      <c r="C9" s="4">
        <v>34</v>
      </c>
      <c r="D9" s="4">
        <v>52</v>
      </c>
      <c r="E9" s="4"/>
      <c r="F9" s="65">
        <v>175</v>
      </c>
      <c r="G9" s="9">
        <f>SUM(C9*D9*F9*B9)</f>
        <v>309400</v>
      </c>
      <c r="I9" s="67"/>
      <c r="K9" s="67"/>
    </row>
    <row r="10" spans="1:11" ht="16.5" customHeight="1">
      <c r="A10" s="4" t="s">
        <v>73</v>
      </c>
      <c r="B10" s="4">
        <v>1</v>
      </c>
      <c r="C10" s="4">
        <v>11</v>
      </c>
      <c r="D10" s="4">
        <v>26</v>
      </c>
      <c r="E10" s="4"/>
      <c r="F10" s="65">
        <f>+F9</f>
        <v>175</v>
      </c>
      <c r="G10" s="9">
        <f aca="true" t="shared" si="0" ref="G10:G43">SUM(C10*D10*F10*B10)</f>
        <v>50050</v>
      </c>
      <c r="I10" s="67"/>
      <c r="K10" s="67"/>
    </row>
    <row r="11" spans="1:11" ht="16.5" customHeight="1">
      <c r="A11" s="4" t="s">
        <v>9</v>
      </c>
      <c r="B11" s="4">
        <v>1</v>
      </c>
      <c r="C11" s="4">
        <v>27</v>
      </c>
      <c r="D11" s="4">
        <v>52</v>
      </c>
      <c r="E11" s="4"/>
      <c r="F11" s="66">
        <f>+'2014 Fee'!D30</f>
        <v>212</v>
      </c>
      <c r="G11" s="9">
        <f t="shared" si="0"/>
        <v>297648</v>
      </c>
      <c r="I11" s="67"/>
      <c r="K11" s="67"/>
    </row>
    <row r="12" spans="1:11" ht="16.5" customHeight="1">
      <c r="A12" s="4" t="s">
        <v>74</v>
      </c>
      <c r="B12" s="4">
        <v>1</v>
      </c>
      <c r="C12" s="4">
        <v>4</v>
      </c>
      <c r="D12" s="4">
        <v>26</v>
      </c>
      <c r="E12" s="4"/>
      <c r="F12" s="66">
        <f>+F11</f>
        <v>212</v>
      </c>
      <c r="G12" s="9">
        <f t="shared" si="0"/>
        <v>22048</v>
      </c>
      <c r="I12" s="67"/>
      <c r="K12" s="67"/>
    </row>
    <row r="13" spans="1:11" ht="16.5" customHeight="1">
      <c r="A13" s="4" t="s">
        <v>10</v>
      </c>
      <c r="B13" s="4">
        <v>1</v>
      </c>
      <c r="C13" s="4">
        <v>22</v>
      </c>
      <c r="D13" s="4">
        <v>52</v>
      </c>
      <c r="E13" s="4"/>
      <c r="F13" s="66">
        <f>+'2014 Fee'!D32</f>
        <v>250</v>
      </c>
      <c r="G13" s="9">
        <f t="shared" si="0"/>
        <v>286000</v>
      </c>
      <c r="I13" s="67"/>
      <c r="K13" s="67"/>
    </row>
    <row r="14" spans="1:11" ht="16.5" customHeight="1">
      <c r="A14" s="4" t="s">
        <v>75</v>
      </c>
      <c r="B14" s="4">
        <v>1</v>
      </c>
      <c r="C14" s="4">
        <v>6</v>
      </c>
      <c r="D14" s="4">
        <v>26</v>
      </c>
      <c r="E14" s="4"/>
      <c r="F14" s="66">
        <f>+F13</f>
        <v>250</v>
      </c>
      <c r="G14" s="9">
        <f t="shared" si="0"/>
        <v>39000</v>
      </c>
      <c r="I14" s="67"/>
      <c r="K14" s="67"/>
    </row>
    <row r="15" spans="1:11" ht="16.5" customHeight="1">
      <c r="A15" s="4" t="s">
        <v>76</v>
      </c>
      <c r="B15" s="4">
        <v>2</v>
      </c>
      <c r="C15" s="4">
        <v>1</v>
      </c>
      <c r="D15" s="4">
        <v>52</v>
      </c>
      <c r="E15" s="4"/>
      <c r="F15" s="66">
        <f>+F14</f>
        <v>250</v>
      </c>
      <c r="G15" s="9">
        <f t="shared" si="0"/>
        <v>26000</v>
      </c>
      <c r="I15" s="67"/>
      <c r="K15" s="67"/>
    </row>
    <row r="16" spans="1:11" ht="16.5" customHeight="1">
      <c r="A16" s="4" t="s">
        <v>11</v>
      </c>
      <c r="B16" s="4">
        <v>1</v>
      </c>
      <c r="C16" s="4">
        <v>46</v>
      </c>
      <c r="D16" s="4">
        <v>52</v>
      </c>
      <c r="E16" s="4"/>
      <c r="F16" s="66">
        <f>+'2014 Fee'!D35</f>
        <v>324</v>
      </c>
      <c r="G16" s="9">
        <f t="shared" si="0"/>
        <v>775008</v>
      </c>
      <c r="I16" s="67"/>
      <c r="K16" s="67"/>
    </row>
    <row r="17" spans="1:11" ht="16.5" customHeight="1">
      <c r="A17" s="4" t="s">
        <v>77</v>
      </c>
      <c r="B17" s="4">
        <v>1</v>
      </c>
      <c r="C17" s="4">
        <v>27</v>
      </c>
      <c r="D17" s="4">
        <v>26</v>
      </c>
      <c r="E17" s="4"/>
      <c r="F17" s="66">
        <f>+F16</f>
        <v>324</v>
      </c>
      <c r="G17" s="9">
        <f t="shared" si="0"/>
        <v>227448</v>
      </c>
      <c r="I17" s="67"/>
      <c r="K17" s="67"/>
    </row>
    <row r="18" spans="1:11" ht="16.5" customHeight="1">
      <c r="A18" s="4" t="s">
        <v>78</v>
      </c>
      <c r="B18" s="4">
        <v>2</v>
      </c>
      <c r="C18" s="4">
        <v>2</v>
      </c>
      <c r="D18" s="4">
        <v>52</v>
      </c>
      <c r="E18" s="4"/>
      <c r="F18" s="66">
        <f>+F17</f>
        <v>324</v>
      </c>
      <c r="G18" s="9">
        <f t="shared" si="0"/>
        <v>67392</v>
      </c>
      <c r="I18" s="67"/>
      <c r="K18" s="67"/>
    </row>
    <row r="19" spans="1:11" ht="16.5" customHeight="1">
      <c r="A19" s="4" t="s">
        <v>79</v>
      </c>
      <c r="B19" s="4">
        <v>3</v>
      </c>
      <c r="C19" s="4">
        <v>1</v>
      </c>
      <c r="D19" s="4">
        <v>52</v>
      </c>
      <c r="E19" s="4"/>
      <c r="F19" s="66">
        <f>+F18</f>
        <v>324</v>
      </c>
      <c r="G19" s="9">
        <f t="shared" si="0"/>
        <v>50544</v>
      </c>
      <c r="I19" s="67"/>
      <c r="K19" s="67"/>
    </row>
    <row r="20" spans="1:11" ht="16.5" customHeight="1">
      <c r="A20" s="4" t="s">
        <v>106</v>
      </c>
      <c r="B20" s="4">
        <v>5</v>
      </c>
      <c r="C20" s="4">
        <v>1</v>
      </c>
      <c r="D20" s="4">
        <v>52</v>
      </c>
      <c r="E20" s="4"/>
      <c r="F20" s="66">
        <f>+F19</f>
        <v>324</v>
      </c>
      <c r="G20" s="9">
        <f t="shared" si="0"/>
        <v>84240</v>
      </c>
      <c r="I20" s="67"/>
      <c r="K20" s="67"/>
    </row>
    <row r="21" spans="1:11" ht="16.5" customHeight="1">
      <c r="A21" s="4" t="s">
        <v>12</v>
      </c>
      <c r="B21" s="4">
        <v>1</v>
      </c>
      <c r="C21" s="4">
        <v>30</v>
      </c>
      <c r="D21" s="4">
        <v>52</v>
      </c>
      <c r="E21" s="4"/>
      <c r="F21" s="66">
        <f>+'2014 Fee'!D40</f>
        <v>473</v>
      </c>
      <c r="G21" s="9">
        <f t="shared" si="0"/>
        <v>737880</v>
      </c>
      <c r="I21" s="67"/>
      <c r="K21" s="67"/>
    </row>
    <row r="22" spans="1:11" ht="16.5" customHeight="1">
      <c r="A22" s="4" t="s">
        <v>80</v>
      </c>
      <c r="B22" s="4">
        <v>1</v>
      </c>
      <c r="C22" s="4">
        <v>9</v>
      </c>
      <c r="D22" s="4">
        <v>26</v>
      </c>
      <c r="E22" s="4"/>
      <c r="F22" s="66">
        <f>+F21</f>
        <v>473</v>
      </c>
      <c r="G22" s="9">
        <f t="shared" si="0"/>
        <v>110682</v>
      </c>
      <c r="I22" s="67"/>
      <c r="K22" s="67"/>
    </row>
    <row r="23" spans="1:11" ht="16.5" customHeight="1">
      <c r="A23" s="4" t="s">
        <v>13</v>
      </c>
      <c r="B23" s="4">
        <v>1</v>
      </c>
      <c r="C23" s="4">
        <v>32</v>
      </c>
      <c r="D23" s="4">
        <v>52</v>
      </c>
      <c r="E23" s="4"/>
      <c r="F23" s="66">
        <f>+'2014 Fee'!D42</f>
        <v>613</v>
      </c>
      <c r="G23" s="9">
        <f t="shared" si="0"/>
        <v>1020032</v>
      </c>
      <c r="I23" s="67"/>
      <c r="K23" s="67"/>
    </row>
    <row r="24" spans="1:11" ht="16.5" customHeight="1">
      <c r="A24" s="4" t="s">
        <v>81</v>
      </c>
      <c r="B24" s="4">
        <v>1</v>
      </c>
      <c r="C24" s="4">
        <v>8</v>
      </c>
      <c r="D24" s="4">
        <v>26</v>
      </c>
      <c r="E24" s="4"/>
      <c r="F24" s="66">
        <f>+F23</f>
        <v>613</v>
      </c>
      <c r="G24" s="9">
        <f t="shared" si="0"/>
        <v>127504</v>
      </c>
      <c r="I24" s="67"/>
      <c r="K24" s="67"/>
    </row>
    <row r="25" spans="1:11" ht="16.5" customHeight="1">
      <c r="A25" s="4" t="s">
        <v>107</v>
      </c>
      <c r="B25" s="4">
        <v>2</v>
      </c>
      <c r="C25" s="4">
        <v>1</v>
      </c>
      <c r="D25" s="4">
        <v>52</v>
      </c>
      <c r="E25" s="4"/>
      <c r="F25" s="66">
        <f>+F24</f>
        <v>613</v>
      </c>
      <c r="G25" s="9">
        <f t="shared" si="0"/>
        <v>63752</v>
      </c>
      <c r="I25" s="67"/>
      <c r="K25" s="67"/>
    </row>
    <row r="26" spans="1:11" ht="16.5" customHeight="1">
      <c r="A26" s="4" t="s">
        <v>14</v>
      </c>
      <c r="B26" s="4">
        <v>1</v>
      </c>
      <c r="C26" s="4">
        <v>32</v>
      </c>
      <c r="D26" s="4">
        <v>52</v>
      </c>
      <c r="E26" s="4"/>
      <c r="F26" s="66">
        <f>+'2014 Fee'!D45</f>
        <v>840</v>
      </c>
      <c r="G26" s="9">
        <f t="shared" si="0"/>
        <v>1397760</v>
      </c>
      <c r="I26" s="67"/>
      <c r="K26" s="67"/>
    </row>
    <row r="27" spans="1:11" ht="16.5" customHeight="1">
      <c r="A27" s="4" t="s">
        <v>82</v>
      </c>
      <c r="B27" s="4">
        <v>1</v>
      </c>
      <c r="C27" s="4">
        <v>1</v>
      </c>
      <c r="D27" s="4">
        <v>26</v>
      </c>
      <c r="E27" s="4"/>
      <c r="F27" s="66">
        <f>+F26</f>
        <v>840</v>
      </c>
      <c r="G27" s="9">
        <f t="shared" si="0"/>
        <v>21840</v>
      </c>
      <c r="I27" s="67"/>
      <c r="K27" s="67"/>
    </row>
    <row r="28" spans="1:11" ht="16.5" customHeight="1">
      <c r="A28" s="4" t="s">
        <v>83</v>
      </c>
      <c r="B28" s="4">
        <v>2</v>
      </c>
      <c r="C28" s="4">
        <v>2</v>
      </c>
      <c r="D28" s="4">
        <v>52</v>
      </c>
      <c r="E28" s="4"/>
      <c r="F28" s="66">
        <f>+F27</f>
        <v>840</v>
      </c>
      <c r="G28" s="9">
        <f t="shared" si="0"/>
        <v>174720</v>
      </c>
      <c r="I28" s="67"/>
      <c r="K28" s="67"/>
    </row>
    <row r="29" spans="1:11" ht="16.5" customHeight="1">
      <c r="A29" s="4" t="s">
        <v>84</v>
      </c>
      <c r="B29" s="4">
        <v>2</v>
      </c>
      <c r="C29" s="4">
        <v>1</v>
      </c>
      <c r="D29" s="4">
        <v>104</v>
      </c>
      <c r="E29" s="4"/>
      <c r="F29" s="66">
        <f>+F28</f>
        <v>840</v>
      </c>
      <c r="G29" s="9">
        <f t="shared" si="0"/>
        <v>174720</v>
      </c>
      <c r="I29" s="67"/>
      <c r="K29" s="67"/>
    </row>
    <row r="30" spans="1:11" ht="16.5" customHeight="1">
      <c r="A30" s="4" t="s">
        <v>15</v>
      </c>
      <c r="B30" s="4">
        <v>1</v>
      </c>
      <c r="C30" s="4">
        <v>17</v>
      </c>
      <c r="D30" s="4">
        <v>52</v>
      </c>
      <c r="E30" s="4"/>
      <c r="F30" s="66">
        <f>+'2014 Fee'!D49</f>
        <v>980</v>
      </c>
      <c r="G30" s="9">
        <f t="shared" si="0"/>
        <v>866320</v>
      </c>
      <c r="I30" s="67"/>
      <c r="K30" s="67"/>
    </row>
    <row r="31" spans="1:11" ht="16.5" customHeight="1">
      <c r="A31" s="4" t="s">
        <v>85</v>
      </c>
      <c r="B31" s="4">
        <v>1</v>
      </c>
      <c r="C31" s="4">
        <v>4</v>
      </c>
      <c r="D31" s="4">
        <v>26</v>
      </c>
      <c r="E31" s="4"/>
      <c r="F31" s="66">
        <f>+F30</f>
        <v>980</v>
      </c>
      <c r="G31" s="9">
        <f t="shared" si="0"/>
        <v>101920</v>
      </c>
      <c r="I31" s="67"/>
      <c r="K31" s="67"/>
    </row>
    <row r="32" spans="1:11" ht="16.5" customHeight="1">
      <c r="A32" s="4" t="s">
        <v>86</v>
      </c>
      <c r="B32" s="4">
        <v>1</v>
      </c>
      <c r="C32" s="4">
        <v>2</v>
      </c>
      <c r="D32" s="4">
        <v>104</v>
      </c>
      <c r="E32" s="4"/>
      <c r="F32" s="66">
        <f>+F31</f>
        <v>980</v>
      </c>
      <c r="G32" s="9">
        <f t="shared" si="0"/>
        <v>203840</v>
      </c>
      <c r="I32" s="67"/>
      <c r="K32" s="67"/>
    </row>
    <row r="33" spans="1:11" ht="16.5" customHeight="1">
      <c r="A33" s="4" t="s">
        <v>87</v>
      </c>
      <c r="B33" s="4">
        <v>1</v>
      </c>
      <c r="C33" s="4">
        <v>2</v>
      </c>
      <c r="D33" s="4">
        <v>156</v>
      </c>
      <c r="E33" s="4"/>
      <c r="F33" s="66">
        <f>+F32</f>
        <v>980</v>
      </c>
      <c r="G33" s="9">
        <f t="shared" si="0"/>
        <v>305760</v>
      </c>
      <c r="I33" s="67"/>
      <c r="K33" s="67"/>
    </row>
    <row r="34" spans="1:11" ht="16.5" customHeight="1">
      <c r="A34" s="4" t="s">
        <v>113</v>
      </c>
      <c r="B34" s="4">
        <v>2</v>
      </c>
      <c r="C34" s="4">
        <v>2</v>
      </c>
      <c r="D34" s="4">
        <v>52</v>
      </c>
      <c r="E34" s="4"/>
      <c r="F34" s="66">
        <f>+F33</f>
        <v>980</v>
      </c>
      <c r="G34" s="9">
        <f t="shared" si="0"/>
        <v>203840</v>
      </c>
      <c r="I34" s="67"/>
      <c r="K34" s="67"/>
    </row>
    <row r="35" spans="1:11" ht="16.5" customHeight="1">
      <c r="A35" s="4" t="s">
        <v>115</v>
      </c>
      <c r="B35" s="4">
        <v>3</v>
      </c>
      <c r="C35" s="4">
        <v>2</v>
      </c>
      <c r="D35" s="4">
        <v>52</v>
      </c>
      <c r="E35" s="4"/>
      <c r="F35" s="66">
        <f>+F34</f>
        <v>980</v>
      </c>
      <c r="G35" s="9">
        <f t="shared" si="0"/>
        <v>305760</v>
      </c>
      <c r="I35" s="67"/>
      <c r="K35" s="67"/>
    </row>
    <row r="36" spans="1:11" ht="16.5" customHeight="1">
      <c r="A36" s="4" t="s">
        <v>88</v>
      </c>
      <c r="B36" s="4">
        <v>1</v>
      </c>
      <c r="C36" s="10">
        <v>1</v>
      </c>
      <c r="D36" s="4">
        <v>52</v>
      </c>
      <c r="E36" s="4"/>
      <c r="F36" s="65">
        <f>+'2014 Fee'!D55</f>
        <v>29</v>
      </c>
      <c r="G36" s="9">
        <f t="shared" si="0"/>
        <v>1508</v>
      </c>
      <c r="I36" s="67"/>
      <c r="K36" s="67"/>
    </row>
    <row r="37" spans="1:11" ht="16.5" customHeight="1">
      <c r="A37" s="4" t="s">
        <v>89</v>
      </c>
      <c r="B37" s="4">
        <v>1</v>
      </c>
      <c r="C37" s="10">
        <v>1</v>
      </c>
      <c r="D37" s="4">
        <v>52</v>
      </c>
      <c r="E37" s="4"/>
      <c r="F37" s="65">
        <f>+F36</f>
        <v>29</v>
      </c>
      <c r="G37" s="9">
        <f t="shared" si="0"/>
        <v>1508</v>
      </c>
      <c r="I37" s="67"/>
      <c r="K37" s="67"/>
    </row>
    <row r="38" spans="1:11" ht="16.5" customHeight="1">
      <c r="A38" s="4" t="s">
        <v>90</v>
      </c>
      <c r="B38" s="4">
        <v>1</v>
      </c>
      <c r="C38" s="10">
        <v>3</v>
      </c>
      <c r="D38" s="4">
        <v>52</v>
      </c>
      <c r="E38" s="4"/>
      <c r="F38" s="65">
        <f>+'2014 Fee'!D57</f>
        <v>51</v>
      </c>
      <c r="G38" s="9">
        <f t="shared" si="0"/>
        <v>7956</v>
      </c>
      <c r="I38" s="67"/>
      <c r="K38" s="67"/>
    </row>
    <row r="39" spans="1:11" ht="16.5" customHeight="1">
      <c r="A39" s="4" t="s">
        <v>16</v>
      </c>
      <c r="B39" s="4">
        <v>1</v>
      </c>
      <c r="C39" s="4">
        <v>33</v>
      </c>
      <c r="D39" s="4">
        <v>52</v>
      </c>
      <c r="E39" s="4"/>
      <c r="F39" s="65">
        <f>+'2014 Fee'!D58</f>
        <v>77</v>
      </c>
      <c r="G39" s="9">
        <f t="shared" si="0"/>
        <v>132132</v>
      </c>
      <c r="I39" s="67"/>
      <c r="K39" s="67"/>
    </row>
    <row r="40" spans="1:11" ht="16.5" customHeight="1">
      <c r="A40" s="4" t="s">
        <v>91</v>
      </c>
      <c r="B40" s="4">
        <v>3</v>
      </c>
      <c r="C40" s="4">
        <v>6</v>
      </c>
      <c r="D40" s="4">
        <v>52</v>
      </c>
      <c r="E40" s="4"/>
      <c r="F40" s="65">
        <f>+F39</f>
        <v>77</v>
      </c>
      <c r="G40" s="9">
        <f t="shared" si="0"/>
        <v>72072</v>
      </c>
      <c r="I40" s="67"/>
      <c r="K40" s="67"/>
    </row>
    <row r="41" spans="1:11" ht="16.5" customHeight="1">
      <c r="A41" s="4" t="s">
        <v>92</v>
      </c>
      <c r="B41" s="4">
        <v>4</v>
      </c>
      <c r="C41" s="4">
        <v>1</v>
      </c>
      <c r="D41" s="4">
        <v>52</v>
      </c>
      <c r="E41" s="4"/>
      <c r="F41" s="65">
        <f>+F40</f>
        <v>77</v>
      </c>
      <c r="G41" s="9">
        <f t="shared" si="0"/>
        <v>16016</v>
      </c>
      <c r="I41" s="67"/>
      <c r="K41" s="67"/>
    </row>
    <row r="42" spans="1:11" ht="16.5" customHeight="1">
      <c r="A42" s="4" t="s">
        <v>93</v>
      </c>
      <c r="B42" s="4">
        <v>6</v>
      </c>
      <c r="C42" s="4">
        <v>1</v>
      </c>
      <c r="D42" s="4">
        <v>52</v>
      </c>
      <c r="E42" s="4"/>
      <c r="F42" s="65">
        <f>+F41</f>
        <v>77</v>
      </c>
      <c r="G42" s="9">
        <f t="shared" si="0"/>
        <v>24024</v>
      </c>
      <c r="I42" s="67"/>
      <c r="K42" s="67"/>
    </row>
    <row r="43" spans="1:11" ht="16.5" customHeight="1">
      <c r="A43" s="4" t="s">
        <v>94</v>
      </c>
      <c r="B43" s="4">
        <v>9</v>
      </c>
      <c r="C43" s="4">
        <v>1</v>
      </c>
      <c r="D43" s="4">
        <v>52</v>
      </c>
      <c r="E43" s="4"/>
      <c r="F43" s="65">
        <f>+F42</f>
        <v>77</v>
      </c>
      <c r="G43" s="9">
        <f t="shared" si="0"/>
        <v>36036</v>
      </c>
      <c r="I43" s="67"/>
      <c r="K43" s="67"/>
    </row>
    <row r="44" spans="1:11" ht="16.5" customHeight="1">
      <c r="A44" s="4" t="s">
        <v>108</v>
      </c>
      <c r="B44" s="4">
        <v>1</v>
      </c>
      <c r="C44" s="4">
        <v>5</v>
      </c>
      <c r="D44" s="4">
        <v>8</v>
      </c>
      <c r="E44" s="4"/>
      <c r="F44" s="66">
        <f>+'2014 Fee'!D64</f>
        <v>1800</v>
      </c>
      <c r="G44" s="9">
        <f>+F44*D44</f>
        <v>14400</v>
      </c>
      <c r="I44" s="67"/>
      <c r="K44" s="67"/>
    </row>
    <row r="45" spans="1:11" ht="16.5" customHeight="1">
      <c r="A45" s="4" t="s">
        <v>17</v>
      </c>
      <c r="B45" s="4">
        <v>1</v>
      </c>
      <c r="C45" s="10">
        <v>33</v>
      </c>
      <c r="D45" s="10">
        <v>188</v>
      </c>
      <c r="E45" s="4"/>
      <c r="F45" s="66">
        <f>+'2014 Fee'!D65</f>
        <v>2400</v>
      </c>
      <c r="G45" s="9">
        <f aca="true" t="shared" si="1" ref="G45:G51">+F45*D45</f>
        <v>451200</v>
      </c>
      <c r="I45" s="67"/>
      <c r="K45" s="67"/>
    </row>
    <row r="46" spans="1:11" ht="16.5" customHeight="1">
      <c r="A46" s="4" t="s">
        <v>18</v>
      </c>
      <c r="B46" s="4">
        <v>1</v>
      </c>
      <c r="C46" s="10">
        <v>2</v>
      </c>
      <c r="D46" s="10">
        <v>2</v>
      </c>
      <c r="E46" s="4"/>
      <c r="F46" s="66">
        <f>+'2014 Fee'!D66</f>
        <v>3000</v>
      </c>
      <c r="G46" s="9">
        <f t="shared" si="1"/>
        <v>6000</v>
      </c>
      <c r="I46" s="67"/>
      <c r="K46" s="67"/>
    </row>
    <row r="47" spans="1:11" ht="16.5" customHeight="1">
      <c r="A47" s="4" t="s">
        <v>19</v>
      </c>
      <c r="B47" s="4">
        <v>1</v>
      </c>
      <c r="C47" s="10">
        <v>47</v>
      </c>
      <c r="D47" s="10">
        <v>531</v>
      </c>
      <c r="E47" s="4"/>
      <c r="F47" s="66">
        <f>+'2014 Fee'!D67</f>
        <v>3600</v>
      </c>
      <c r="G47" s="9">
        <f t="shared" si="1"/>
        <v>1911600</v>
      </c>
      <c r="I47" s="67"/>
      <c r="K47" s="67"/>
    </row>
    <row r="48" spans="1:11" ht="16.5" customHeight="1">
      <c r="A48" s="32" t="s">
        <v>57</v>
      </c>
      <c r="B48" s="4">
        <v>1</v>
      </c>
      <c r="C48" s="10">
        <v>10</v>
      </c>
      <c r="D48" s="10">
        <v>18</v>
      </c>
      <c r="E48" s="4"/>
      <c r="F48" s="66">
        <f>+'2014 Fee'!D68</f>
        <v>4800</v>
      </c>
      <c r="G48" s="9">
        <f t="shared" si="1"/>
        <v>86400</v>
      </c>
      <c r="I48" s="67"/>
      <c r="K48" s="67"/>
    </row>
    <row r="49" spans="1:11" ht="16.5" customHeight="1">
      <c r="A49" s="4" t="s">
        <v>20</v>
      </c>
      <c r="B49" s="4">
        <v>1</v>
      </c>
      <c r="C49" s="10">
        <v>2</v>
      </c>
      <c r="D49" s="10">
        <v>27</v>
      </c>
      <c r="E49" s="4"/>
      <c r="F49" s="66">
        <f>+'2014 Fee'!D69</f>
        <v>9000</v>
      </c>
      <c r="G49" s="9">
        <f t="shared" si="1"/>
        <v>243000</v>
      </c>
      <c r="I49" s="67"/>
      <c r="K49" s="67"/>
    </row>
    <row r="50" spans="1:11" ht="16.5" customHeight="1">
      <c r="A50" s="4" t="s">
        <v>21</v>
      </c>
      <c r="B50" s="4">
        <v>1</v>
      </c>
      <c r="C50" s="10">
        <v>2</v>
      </c>
      <c r="D50" s="10">
        <v>54</v>
      </c>
      <c r="E50" s="4"/>
      <c r="F50" s="66">
        <f>+'2014 Fee'!D70</f>
        <v>10800</v>
      </c>
      <c r="G50" s="9">
        <f t="shared" si="1"/>
        <v>583200</v>
      </c>
      <c r="I50" s="67"/>
      <c r="K50" s="67"/>
    </row>
    <row r="51" spans="1:11" ht="16.5" customHeight="1">
      <c r="A51" s="32" t="s">
        <v>56</v>
      </c>
      <c r="B51" s="4">
        <v>1</v>
      </c>
      <c r="C51" s="10">
        <v>1</v>
      </c>
      <c r="D51" s="10">
        <v>5</v>
      </c>
      <c r="E51" s="4"/>
      <c r="F51" s="66">
        <f>+'2014 Fee'!D71</f>
        <v>14400</v>
      </c>
      <c r="G51" s="9">
        <f t="shared" si="1"/>
        <v>72000</v>
      </c>
      <c r="I51" s="67"/>
      <c r="K51" s="67"/>
    </row>
    <row r="52" spans="1:7" ht="13.5" thickBot="1">
      <c r="A52" s="30" t="s">
        <v>22</v>
      </c>
      <c r="B52" s="30"/>
      <c r="C52" s="69">
        <f>SUM(C9:C51)</f>
        <v>476</v>
      </c>
      <c r="D52" s="69">
        <f>SUM(D9:D51)</f>
        <v>2653</v>
      </c>
      <c r="E52" s="5"/>
      <c r="F52" s="73"/>
      <c r="G52" s="69"/>
    </row>
    <row r="53" spans="6:9" ht="14.25" thickBot="1" thickTop="1">
      <c r="F53" s="74" t="s">
        <v>23</v>
      </c>
      <c r="G53" s="72">
        <f>SUM(G9:G51)</f>
        <v>11710160</v>
      </c>
      <c r="I53" s="67"/>
    </row>
    <row r="54" ht="13.5" thickTop="1"/>
  </sheetData>
  <sheetProtection/>
  <mergeCells count="3">
    <mergeCell ref="A1:G1"/>
    <mergeCell ref="A4:G4"/>
    <mergeCell ref="A2:G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28125" style="0" customWidth="1"/>
    <col min="2" max="2" width="20.00390625" style="0" customWidth="1"/>
    <col min="3" max="3" width="16.7109375" style="0" customWidth="1"/>
    <col min="4" max="4" width="5.8515625" style="0" bestFit="1" customWidth="1"/>
    <col min="5" max="5" width="16.421875" style="0" bestFit="1" customWidth="1"/>
    <col min="6" max="6" width="21.421875" style="0" bestFit="1" customWidth="1"/>
    <col min="8" max="8" width="10.28125" style="0" bestFit="1" customWidth="1"/>
  </cols>
  <sheetData>
    <row r="1" spans="1:6" ht="23.25">
      <c r="A1" s="132" t="s">
        <v>0</v>
      </c>
      <c r="B1" s="132"/>
      <c r="C1" s="132"/>
      <c r="D1" s="132"/>
      <c r="E1" s="132"/>
      <c r="F1" s="132"/>
    </row>
    <row r="3" spans="1:6" ht="18">
      <c r="A3" s="134" t="s">
        <v>117</v>
      </c>
      <c r="B3" s="134"/>
      <c r="C3" s="134"/>
      <c r="D3" s="134"/>
      <c r="E3" s="134"/>
      <c r="F3" s="134"/>
    </row>
    <row r="5" spans="1:6" ht="15.75">
      <c r="A5" s="133" t="s">
        <v>24</v>
      </c>
      <c r="B5" s="133"/>
      <c r="C5" s="133"/>
      <c r="D5" s="133"/>
      <c r="E5" s="133"/>
      <c r="F5" s="133"/>
    </row>
    <row r="7" spans="1:6" ht="12.75">
      <c r="A7" t="s">
        <v>1</v>
      </c>
      <c r="F7" s="31" t="s">
        <v>118</v>
      </c>
    </row>
    <row r="8" spans="1:6" ht="4.5" customHeight="1" thickBot="1">
      <c r="A8" s="2"/>
      <c r="B8" s="2"/>
      <c r="C8" s="2"/>
      <c r="D8" s="2"/>
      <c r="E8" s="2"/>
      <c r="F8" s="2"/>
    </row>
    <row r="9" spans="1:6" ht="14.25" thickBot="1" thickTop="1">
      <c r="A9" s="6" t="s">
        <v>2</v>
      </c>
      <c r="B9" s="7" t="s">
        <v>3</v>
      </c>
      <c r="C9" s="7" t="s">
        <v>4</v>
      </c>
      <c r="D9" s="7" t="s">
        <v>5</v>
      </c>
      <c r="E9" s="7" t="s">
        <v>6</v>
      </c>
      <c r="F9" s="8" t="s">
        <v>7</v>
      </c>
    </row>
    <row r="10" spans="1:6" ht="19.5" customHeight="1" thickTop="1">
      <c r="A10" s="4" t="s">
        <v>70</v>
      </c>
      <c r="B10" s="9">
        <v>11</v>
      </c>
      <c r="C10" s="4">
        <v>52</v>
      </c>
      <c r="D10" s="4"/>
      <c r="E10" s="62">
        <f>+'2014 Fee'!D11</f>
        <v>20</v>
      </c>
      <c r="F10" s="4">
        <f>SUM(B10*C10*E10)</f>
        <v>11440</v>
      </c>
    </row>
    <row r="11" spans="1:6" ht="19.5" customHeight="1">
      <c r="A11" s="4" t="s">
        <v>25</v>
      </c>
      <c r="B11" s="9">
        <v>319</v>
      </c>
      <c r="C11" s="4">
        <v>52</v>
      </c>
      <c r="D11" s="4"/>
      <c r="E11" s="62">
        <f>+'2014 Fee'!D12</f>
        <v>34</v>
      </c>
      <c r="F11" s="9">
        <f aca="true" t="shared" si="0" ref="F11:F19">SUM(B11*C11*E11)</f>
        <v>563992</v>
      </c>
    </row>
    <row r="12" spans="1:6" ht="19.5" customHeight="1">
      <c r="A12" s="4" t="s">
        <v>26</v>
      </c>
      <c r="B12" s="9">
        <v>111</v>
      </c>
      <c r="C12" s="4">
        <v>52</v>
      </c>
      <c r="D12" s="4"/>
      <c r="E12" s="62">
        <f>+'2014 Fee'!D14</f>
        <v>51</v>
      </c>
      <c r="F12" s="9">
        <f t="shared" si="0"/>
        <v>294372</v>
      </c>
    </row>
    <row r="13" spans="1:6" ht="19.5" customHeight="1">
      <c r="A13" s="4" t="s">
        <v>27</v>
      </c>
      <c r="B13" s="9">
        <v>1</v>
      </c>
      <c r="C13" s="4">
        <v>52</v>
      </c>
      <c r="D13" s="4"/>
      <c r="E13" s="62">
        <f>+'2014 Fee'!D15</f>
        <v>77</v>
      </c>
      <c r="F13" s="9">
        <f t="shared" si="0"/>
        <v>4004</v>
      </c>
    </row>
    <row r="14" spans="1:6" ht="19.5" customHeight="1">
      <c r="A14" s="4" t="s">
        <v>71</v>
      </c>
      <c r="B14" s="9">
        <v>13</v>
      </c>
      <c r="C14" s="4">
        <v>12</v>
      </c>
      <c r="D14" s="4"/>
      <c r="E14" s="62">
        <f>+E11</f>
        <v>34</v>
      </c>
      <c r="F14" s="9">
        <f t="shared" si="0"/>
        <v>5304</v>
      </c>
    </row>
    <row r="15" spans="1:6" ht="19.5" customHeight="1">
      <c r="A15" s="4" t="s">
        <v>58</v>
      </c>
      <c r="B15" s="9">
        <v>2</v>
      </c>
      <c r="C15" s="4">
        <v>52</v>
      </c>
      <c r="D15" s="4"/>
      <c r="E15" s="62">
        <f>+'2014 Fee'!D18</f>
        <v>170</v>
      </c>
      <c r="F15" s="9">
        <f t="shared" si="0"/>
        <v>17680</v>
      </c>
    </row>
    <row r="16" spans="1:8" ht="19.5" customHeight="1">
      <c r="A16" s="4" t="s">
        <v>31</v>
      </c>
      <c r="B16" s="9">
        <v>897</v>
      </c>
      <c r="C16" s="4">
        <v>52</v>
      </c>
      <c r="D16" s="4"/>
      <c r="E16" s="62">
        <f>+'2014 Fee'!D16</f>
        <v>34</v>
      </c>
      <c r="F16" s="9">
        <f t="shared" si="0"/>
        <v>1585896</v>
      </c>
      <c r="H16" s="35"/>
    </row>
    <row r="17" spans="1:8" ht="19.5" customHeight="1">
      <c r="A17" s="4" t="s">
        <v>72</v>
      </c>
      <c r="B17" s="9">
        <v>2</v>
      </c>
      <c r="C17" s="4">
        <v>52</v>
      </c>
      <c r="D17" s="4"/>
      <c r="E17" s="62">
        <f>+'2014 Fee'!D17</f>
        <v>68</v>
      </c>
      <c r="F17" s="9">
        <f>SUM(B17*C17*E17)</f>
        <v>7072</v>
      </c>
      <c r="H17" s="35"/>
    </row>
    <row r="18" spans="1:6" ht="19.5" customHeight="1">
      <c r="A18" s="4" t="s">
        <v>32</v>
      </c>
      <c r="B18" s="9">
        <v>1712</v>
      </c>
      <c r="C18" s="4">
        <v>52</v>
      </c>
      <c r="D18" s="4"/>
      <c r="E18" s="62">
        <f>+'2014 Fee'!D19</f>
        <v>51</v>
      </c>
      <c r="F18" s="9">
        <f t="shared" si="0"/>
        <v>4540224</v>
      </c>
    </row>
    <row r="19" spans="1:6" ht="19.5" customHeight="1">
      <c r="A19" s="4" t="s">
        <v>59</v>
      </c>
      <c r="B19" s="9">
        <v>6</v>
      </c>
      <c r="C19" s="4">
        <v>52</v>
      </c>
      <c r="D19" s="4"/>
      <c r="E19" s="62">
        <f>+'2014 Fee'!D20</f>
        <v>102</v>
      </c>
      <c r="F19" s="9">
        <f t="shared" si="0"/>
        <v>31824</v>
      </c>
    </row>
    <row r="20" spans="1:6" ht="19.5" customHeight="1">
      <c r="A20" s="4" t="s">
        <v>28</v>
      </c>
      <c r="B20" s="9">
        <v>2306</v>
      </c>
      <c r="C20" s="4">
        <v>52</v>
      </c>
      <c r="D20" s="4"/>
      <c r="E20" s="62">
        <f>+'2014 Fee'!D21</f>
        <v>77</v>
      </c>
      <c r="F20" s="9">
        <f>SUM(B20*C20*E20)</f>
        <v>9233224</v>
      </c>
    </row>
    <row r="21" spans="1:6" ht="19.5" customHeight="1">
      <c r="A21" s="10" t="s">
        <v>60</v>
      </c>
      <c r="B21" s="33">
        <v>52</v>
      </c>
      <c r="C21" s="10">
        <v>52</v>
      </c>
      <c r="D21" s="4"/>
      <c r="E21" s="62">
        <f>+'2014 Fee'!D22</f>
        <v>154</v>
      </c>
      <c r="F21" s="33">
        <f>SUM(B21*C21*E21)</f>
        <v>416416</v>
      </c>
    </row>
    <row r="22" spans="1:6" ht="19.5" customHeight="1">
      <c r="A22" s="10" t="s">
        <v>61</v>
      </c>
      <c r="B22" s="33">
        <v>1</v>
      </c>
      <c r="C22" s="10">
        <v>52</v>
      </c>
      <c r="D22" s="4"/>
      <c r="E22" s="62">
        <f>+'2014 Fee'!D23</f>
        <v>231</v>
      </c>
      <c r="F22" s="33">
        <f>SUM(B22*C22*E22)</f>
        <v>12012</v>
      </c>
    </row>
    <row r="23" spans="1:6" s="44" customFormat="1" ht="19.5" customHeight="1" thickBot="1">
      <c r="A23" s="68" t="s">
        <v>29</v>
      </c>
      <c r="B23" s="69">
        <f>SUM(B10:B22)</f>
        <v>5433</v>
      </c>
      <c r="C23" s="70"/>
      <c r="D23" s="70"/>
      <c r="E23" s="70"/>
      <c r="F23" s="70"/>
    </row>
    <row r="24" spans="5:6" ht="19.5" customHeight="1" thickBot="1" thickTop="1">
      <c r="E24" s="71" t="s">
        <v>30</v>
      </c>
      <c r="F24" s="72">
        <f>SUM(F10:F22)</f>
        <v>16723460</v>
      </c>
    </row>
    <row r="25" ht="13.5" thickTop="1"/>
  </sheetData>
  <sheetProtection/>
  <mergeCells count="3">
    <mergeCell ref="A1:F1"/>
    <mergeCell ref="A3:F3"/>
    <mergeCell ref="A5:F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00390625" style="0" bestFit="1" customWidth="1"/>
    <col min="3" max="3" width="13.28125" style="49" bestFit="1" customWidth="1"/>
    <col min="4" max="4" width="11.140625" style="49" bestFit="1" customWidth="1"/>
    <col min="5" max="5" width="11.28125" style="49" bestFit="1" customWidth="1"/>
    <col min="6" max="6" width="9.140625" style="54" customWidth="1"/>
    <col min="7" max="7" width="4.28125" style="0" customWidth="1"/>
    <col min="8" max="8" width="12.28125" style="0" bestFit="1" customWidth="1"/>
  </cols>
  <sheetData>
    <row r="1" spans="3:6" s="44" customFormat="1" ht="12.75">
      <c r="C1" s="47"/>
      <c r="D1" s="47"/>
      <c r="E1" s="47"/>
      <c r="F1" s="52"/>
    </row>
    <row r="2" spans="3:6" s="44" customFormat="1" ht="12.75">
      <c r="C2" s="47"/>
      <c r="D2" s="47"/>
      <c r="E2" s="47"/>
      <c r="F2" s="52"/>
    </row>
    <row r="3" spans="3:6" s="44" customFormat="1" ht="12.75">
      <c r="C3" s="47"/>
      <c r="D3" s="47"/>
      <c r="E3" s="47"/>
      <c r="F3" s="52"/>
    </row>
    <row r="4" spans="3:6" s="44" customFormat="1" ht="12.75">
      <c r="C4" s="47"/>
      <c r="D4" s="47"/>
      <c r="E4" s="47"/>
      <c r="F4" s="52"/>
    </row>
    <row r="5" spans="1:6" s="44" customFormat="1" ht="12.75">
      <c r="A5" s="45" t="s">
        <v>104</v>
      </c>
      <c r="C5" s="47"/>
      <c r="D5" s="47"/>
      <c r="E5" s="47"/>
      <c r="F5" s="52"/>
    </row>
    <row r="6" spans="3:8" s="44" customFormat="1" ht="12.75">
      <c r="C6" s="47"/>
      <c r="D6" s="47"/>
      <c r="E6" s="47"/>
      <c r="F6" s="52"/>
      <c r="H6" s="57" t="s">
        <v>34</v>
      </c>
    </row>
    <row r="7" spans="3:8" s="46" customFormat="1" ht="12.75">
      <c r="C7" s="48" t="s">
        <v>100</v>
      </c>
      <c r="D7" s="48" t="s">
        <v>101</v>
      </c>
      <c r="E7" s="48" t="s">
        <v>34</v>
      </c>
      <c r="F7" s="53" t="s">
        <v>102</v>
      </c>
      <c r="H7" s="46" t="s">
        <v>46</v>
      </c>
    </row>
    <row r="9" spans="1:8" ht="12.75">
      <c r="A9" t="s">
        <v>97</v>
      </c>
      <c r="C9" s="49">
        <v>40572</v>
      </c>
      <c r="E9" s="49">
        <f>+D9+C9</f>
        <v>40572</v>
      </c>
      <c r="F9" s="54">
        <f>+E9/E15</f>
        <v>0.0006297921783605226</v>
      </c>
      <c r="H9" s="58">
        <f>+F9*H15</f>
        <v>112.48277243172443</v>
      </c>
    </row>
    <row r="10" ht="12.75">
      <c r="H10" s="58"/>
    </row>
    <row r="11" spans="1:8" ht="12.75">
      <c r="A11" t="s">
        <v>98</v>
      </c>
      <c r="C11" s="49">
        <v>16874764</v>
      </c>
      <c r="D11" s="49">
        <v>45924980</v>
      </c>
      <c r="E11" s="49">
        <f>+D11+C11</f>
        <v>62799744</v>
      </c>
      <c r="F11" s="54">
        <f>+E11/E15</f>
        <v>0.9748296257084483</v>
      </c>
      <c r="H11" s="58">
        <f>+F11*H15</f>
        <v>174107.495640406</v>
      </c>
    </row>
    <row r="12" ht="12.75">
      <c r="H12" s="58"/>
    </row>
    <row r="13" spans="1:8" ht="15">
      <c r="A13" t="s">
        <v>99</v>
      </c>
      <c r="C13" s="51">
        <v>1118739</v>
      </c>
      <c r="D13" s="51">
        <v>462196</v>
      </c>
      <c r="E13" s="51">
        <f>+D13+C13</f>
        <v>1580935</v>
      </c>
      <c r="F13" s="55">
        <f>+E13/E15</f>
        <v>0.024540582113191187</v>
      </c>
      <c r="H13" s="59">
        <f>+F13*H15</f>
        <v>4383.021587162286</v>
      </c>
    </row>
    <row r="15" spans="3:8" ht="15">
      <c r="C15" s="50">
        <f>SUM(C9:C14)</f>
        <v>18034075</v>
      </c>
      <c r="D15" s="50">
        <f>SUM(D9:D14)</f>
        <v>46387176</v>
      </c>
      <c r="E15" s="50">
        <f>SUM(E9:E14)</f>
        <v>64421251</v>
      </c>
      <c r="F15" s="56">
        <f>SUM(F9:F14)</f>
        <v>1</v>
      </c>
      <c r="H15" s="60">
        <v>178603</v>
      </c>
    </row>
    <row r="18" ht="12.75">
      <c r="A18" s="45" t="s">
        <v>103</v>
      </c>
    </row>
    <row r="19" ht="12.75">
      <c r="A19" s="61"/>
    </row>
    <row r="20" ht="12.75">
      <c r="H20" s="57" t="s">
        <v>34</v>
      </c>
    </row>
    <row r="21" spans="1:8" ht="12.75">
      <c r="A21" s="46"/>
      <c r="B21" s="46"/>
      <c r="C21" s="48" t="s">
        <v>100</v>
      </c>
      <c r="D21" s="48" t="s">
        <v>101</v>
      </c>
      <c r="E21" s="48" t="s">
        <v>34</v>
      </c>
      <c r="F21" s="53" t="s">
        <v>102</v>
      </c>
      <c r="H21" s="46" t="s">
        <v>46</v>
      </c>
    </row>
    <row r="23" spans="1:8" ht="12.75">
      <c r="A23" t="s">
        <v>97</v>
      </c>
      <c r="C23" s="49">
        <v>40572</v>
      </c>
      <c r="E23" s="49">
        <f>+D23+C23</f>
        <v>40572</v>
      </c>
      <c r="F23" s="54">
        <f>+E23/E29</f>
        <v>0.001349919433047147</v>
      </c>
      <c r="H23" s="58">
        <f>+F23*H29</f>
        <v>241.09966050051958</v>
      </c>
    </row>
    <row r="24" ht="12.75">
      <c r="H24" s="58"/>
    </row>
    <row r="25" spans="1:8" ht="12.75">
      <c r="A25" t="s">
        <v>98</v>
      </c>
      <c r="C25" s="49">
        <f>+Commercial!G53</f>
        <v>11710160</v>
      </c>
      <c r="D25" s="49">
        <f>+Residential!F24</f>
        <v>16723460</v>
      </c>
      <c r="E25" s="49">
        <f>+D25+C25</f>
        <v>28433620</v>
      </c>
      <c r="F25" s="54">
        <f>+E25/E29</f>
        <v>0.9460489053997343</v>
      </c>
      <c r="H25" s="58">
        <f>+F25*H29</f>
        <v>168967.17265110873</v>
      </c>
    </row>
    <row r="26" ht="12.75">
      <c r="H26" s="58"/>
    </row>
    <row r="27" spans="1:8" ht="15">
      <c r="A27" t="s">
        <v>99</v>
      </c>
      <c r="C27" s="51">
        <v>1118739</v>
      </c>
      <c r="D27" s="51">
        <v>462196</v>
      </c>
      <c r="E27" s="51">
        <f>+D27+C27</f>
        <v>1580935</v>
      </c>
      <c r="F27" s="55">
        <f>+E27/E29</f>
        <v>0.05260117516721856</v>
      </c>
      <c r="H27" s="59">
        <f>+F27*H29</f>
        <v>9394.727688390736</v>
      </c>
    </row>
    <row r="29" spans="3:8" ht="15">
      <c r="C29" s="50">
        <f>SUM(C23:C28)</f>
        <v>12869471</v>
      </c>
      <c r="D29" s="50">
        <f>SUM(D23:D28)</f>
        <v>17185656</v>
      </c>
      <c r="E29" s="50">
        <f>SUM(E23:E28)</f>
        <v>30055127</v>
      </c>
      <c r="F29" s="56">
        <f>SUM(F23:F28)</f>
        <v>1</v>
      </c>
      <c r="H29" s="60">
        <v>178603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WMX Technologies, Inc.</dc:creator>
  <cp:keywords/>
  <dc:description/>
  <cp:lastModifiedBy>Weinstein, Mike</cp:lastModifiedBy>
  <cp:lastPrinted>2015-04-21T16:29:36Z</cp:lastPrinted>
  <dcterms:created xsi:type="dcterms:W3CDTF">2000-01-25T20:04:16Z</dcterms:created>
  <dcterms:modified xsi:type="dcterms:W3CDTF">2015-04-21T16:49:31Z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150644</vt:lpwstr>
  </property>
  <property fmtid="{D5CDD505-2E9C-101B-9397-08002B2CF9AE}" pid="6" name="IsConfidenti">
    <vt:lpwstr>0</vt:lpwstr>
  </property>
  <property fmtid="{D5CDD505-2E9C-101B-9397-08002B2CF9AE}" pid="7" name="Dat">
    <vt:lpwstr>2015-04-22T00:00:00Z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2015-04-22T00:00:00Z</vt:lpwstr>
  </property>
  <property fmtid="{D5CDD505-2E9C-101B-9397-08002B2CF9AE}" pid="11" name="Pref">
    <vt:lpwstr>TG</vt:lpwstr>
  </property>
  <property fmtid="{D5CDD505-2E9C-101B-9397-08002B2CF9AE}" pid="12" name="CaseCompanyNam">
    <vt:lpwstr>Waste Management of Washington,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