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ustomProperty10.bin" ContentType="application/vnd.openxmlformats-officedocument.spreadsheetml.customProperty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20 PCORC\Supplemental Filing\2020 PCORC Work Papers SUPP To File\"/>
    </mc:Choice>
  </mc:AlternateContent>
  <bookViews>
    <workbookView xWindow="570" yWindow="645" windowWidth="18630" windowHeight="10050"/>
  </bookViews>
  <sheets>
    <sheet name="Lead Electric" sheetId="9" r:id="rId1"/>
    <sheet name="Depr Exp 2020 PCORC Annual" sheetId="3" r:id="rId2"/>
    <sheet name="Colstrip Depn Update" sheetId="6" r:id="rId3"/>
    <sheet name="ARAM Colstrip" sheetId="10" r:id="rId4"/>
    <sheet name="PT RPT 257A" sheetId="11" r:id="rId5"/>
  </sheets>
  <externalReferences>
    <externalReference r:id="rId6"/>
  </externalReferences>
  <calcPr calcId="162913"/>
</workbook>
</file>

<file path=xl/calcChain.xml><?xml version="1.0" encoding="utf-8"?>
<calcChain xmlns="http://schemas.openxmlformats.org/spreadsheetml/2006/main">
  <c r="E17" i="3" l="1"/>
  <c r="D17" i="3"/>
  <c r="E16" i="3"/>
  <c r="D16" i="3"/>
  <c r="E15" i="3"/>
  <c r="D15" i="3"/>
  <c r="E14" i="3"/>
  <c r="D14" i="3"/>
  <c r="E13" i="3"/>
  <c r="D13" i="3"/>
  <c r="E12" i="3"/>
  <c r="D12" i="3"/>
  <c r="E11" i="3"/>
  <c r="D11" i="3"/>
  <c r="E10" i="3"/>
  <c r="D10" i="3"/>
  <c r="E9" i="3"/>
  <c r="D9" i="3"/>
  <c r="E8" i="3"/>
  <c r="D8" i="3"/>
  <c r="E7" i="3"/>
  <c r="D7" i="3"/>
  <c r="E6" i="3"/>
  <c r="D6" i="3"/>
  <c r="E5" i="3"/>
  <c r="D5" i="3"/>
  <c r="E4" i="3"/>
  <c r="D4" i="3"/>
  <c r="E18" i="3" l="1"/>
  <c r="C24" i="9"/>
  <c r="A14" i="9" l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I23" i="11" l="1"/>
  <c r="I24" i="11" s="1"/>
  <c r="D23" i="11"/>
  <c r="I45" i="11"/>
  <c r="D14" i="10" l="1"/>
  <c r="D8" i="10"/>
  <c r="I14" i="10" l="1"/>
  <c r="I13" i="10"/>
  <c r="I12" i="10"/>
  <c r="I9" i="10"/>
  <c r="I8" i="10"/>
  <c r="K8" i="10" s="1"/>
  <c r="K14" i="10" s="1"/>
  <c r="I7" i="10"/>
  <c r="I6" i="10"/>
  <c r="J5" i="11"/>
  <c r="J8" i="11"/>
  <c r="J9" i="11"/>
  <c r="J10" i="11"/>
  <c r="J12" i="11"/>
  <c r="J13" i="11"/>
  <c r="C24" i="11"/>
  <c r="D24" i="11"/>
  <c r="J27" i="11"/>
  <c r="J28" i="11"/>
  <c r="J29" i="11"/>
  <c r="J31" i="11"/>
  <c r="J32" i="11"/>
  <c r="C45" i="11"/>
  <c r="D45" i="11"/>
  <c r="D6" i="10"/>
  <c r="F7" i="10"/>
  <c r="F13" i="10" s="1"/>
  <c r="F8" i="10"/>
  <c r="F14" i="10" s="1"/>
  <c r="D9" i="10"/>
  <c r="E14" i="10" s="1"/>
  <c r="D12" i="10"/>
  <c r="K7" i="10" l="1"/>
  <c r="K13" i="10" s="1"/>
  <c r="J14" i="10"/>
  <c r="L14" i="10"/>
  <c r="D10" i="10"/>
  <c r="G14" i="10"/>
  <c r="D15" i="10"/>
  <c r="F16" i="10"/>
  <c r="G13" i="10"/>
  <c r="I15" i="10"/>
  <c r="I10" i="10"/>
  <c r="K16" i="10" l="1"/>
  <c r="L13" i="10"/>
  <c r="G16" i="10"/>
  <c r="L16" i="10"/>
  <c r="L17" i="10" s="1"/>
  <c r="G17" i="10" l="1"/>
  <c r="A5" i="3" l="1"/>
  <c r="A6" i="3"/>
  <c r="A7" i="3"/>
  <c r="A8" i="3"/>
  <c r="A9" i="3"/>
  <c r="A10" i="3"/>
  <c r="A11" i="3"/>
  <c r="A12" i="3"/>
  <c r="A13" i="3"/>
  <c r="A14" i="3"/>
  <c r="A15" i="3"/>
  <c r="A16" i="3"/>
  <c r="A17" i="3"/>
  <c r="A4" i="3"/>
  <c r="F17" i="3" l="1"/>
  <c r="F16" i="3"/>
  <c r="F15" i="3"/>
  <c r="F14" i="3"/>
  <c r="F13" i="3"/>
  <c r="F12" i="3"/>
  <c r="F11" i="3"/>
  <c r="F10" i="3"/>
  <c r="F9" i="3"/>
  <c r="F8" i="3"/>
  <c r="F7" i="3"/>
  <c r="F6" i="3"/>
  <c r="F5" i="3"/>
  <c r="F4" i="3"/>
  <c r="K22" i="6"/>
  <c r="M22" i="6"/>
  <c r="O22" i="6"/>
  <c r="Q22" i="6"/>
  <c r="K29" i="6"/>
  <c r="M29" i="6"/>
  <c r="O29" i="6"/>
  <c r="O56" i="6" s="1"/>
  <c r="Q29" i="6"/>
  <c r="S29" i="6" s="1"/>
  <c r="U29" i="6"/>
  <c r="K35" i="6"/>
  <c r="M35" i="6"/>
  <c r="O35" i="6"/>
  <c r="Q35" i="6"/>
  <c r="S35" i="6" s="1"/>
  <c r="K42" i="6"/>
  <c r="M42" i="6"/>
  <c r="O42" i="6"/>
  <c r="U42" i="6" s="1"/>
  <c r="Q42" i="6"/>
  <c r="S42" i="6" s="1"/>
  <c r="K50" i="6"/>
  <c r="M50" i="6"/>
  <c r="O50" i="6"/>
  <c r="Q50" i="6"/>
  <c r="S50" i="6" s="1"/>
  <c r="M52" i="6"/>
  <c r="O52" i="6"/>
  <c r="K56" i="6" l="1"/>
  <c r="M56" i="6"/>
  <c r="K52" i="6"/>
  <c r="U22" i="6"/>
  <c r="S22" i="6"/>
  <c r="Q52" i="6"/>
  <c r="S52" i="6" s="1"/>
  <c r="U50" i="6"/>
  <c r="U35" i="6"/>
  <c r="Q56" i="6" l="1"/>
  <c r="G13" i="3" l="1"/>
  <c r="G9" i="3"/>
  <c r="G10" i="3"/>
  <c r="G14" i="3"/>
  <c r="G15" i="3"/>
  <c r="G5" i="3"/>
  <c r="G6" i="3"/>
  <c r="G7" i="3"/>
  <c r="G12" i="3"/>
  <c r="G17" i="3"/>
  <c r="G8" i="3"/>
  <c r="G4" i="3"/>
  <c r="G11" i="3"/>
  <c r="G16" i="3"/>
  <c r="D18" i="3" l="1"/>
  <c r="H7" i="3" l="1"/>
  <c r="I7" i="3" s="1"/>
  <c r="H9" i="3"/>
  <c r="I9" i="3" s="1"/>
  <c r="H17" i="3"/>
  <c r="I17" i="3" s="1"/>
  <c r="H10" i="3"/>
  <c r="I10" i="3" s="1"/>
  <c r="H15" i="3"/>
  <c r="I15" i="3" s="1"/>
  <c r="H12" i="3"/>
  <c r="I12" i="3" s="1"/>
  <c r="H8" i="3"/>
  <c r="I8" i="3" s="1"/>
  <c r="H16" i="3"/>
  <c r="I16" i="3" s="1"/>
  <c r="H6" i="3"/>
  <c r="I6" i="3" s="1"/>
  <c r="H14" i="3"/>
  <c r="I14" i="3" s="1"/>
  <c r="H11" i="3"/>
  <c r="I11" i="3" s="1"/>
  <c r="H13" i="3"/>
  <c r="I13" i="3" s="1"/>
  <c r="H4" i="3" l="1"/>
  <c r="I4" i="3" l="1"/>
  <c r="H5" i="3" l="1"/>
  <c r="D16" i="9"/>
  <c r="D18" i="9" s="1"/>
  <c r="D22" i="9" l="1"/>
  <c r="D19" i="9"/>
  <c r="I5" i="3"/>
  <c r="I18" i="3" s="1"/>
  <c r="H18" i="3"/>
  <c r="E16" i="9" s="1"/>
  <c r="D24" i="9" l="1"/>
  <c r="E24" i="9" s="1"/>
  <c r="D23" i="9"/>
  <c r="E22" i="9"/>
  <c r="E23" i="9" s="1"/>
  <c r="F16" i="9"/>
  <c r="E18" i="9"/>
  <c r="F18" i="9" s="1"/>
  <c r="F24" i="9"/>
  <c r="F23" i="9" l="1"/>
  <c r="D25" i="9"/>
  <c r="E19" i="9"/>
  <c r="F19" i="9"/>
  <c r="F22" i="9"/>
  <c r="E25" i="9"/>
  <c r="F25" i="9" l="1"/>
</calcChain>
</file>

<file path=xl/sharedStrings.xml><?xml version="1.0" encoding="utf-8"?>
<sst xmlns="http://schemas.openxmlformats.org/spreadsheetml/2006/main" count="326" uniqueCount="246">
  <si>
    <t>ACCOUNT</t>
  </si>
  <si>
    <t>DEPRECIATION</t>
  </si>
  <si>
    <t>RATE</t>
  </si>
  <si>
    <t>DESCRIPTION</t>
  </si>
  <si>
    <t>AMOUNT</t>
  </si>
  <si>
    <t>ELECTRIC PLANT</t>
  </si>
  <si>
    <t xml:space="preserve">STEAM PRODUCTION PLANT </t>
  </si>
  <si>
    <t>STRUCTURES AND IMPROVEMENTS</t>
  </si>
  <si>
    <t xml:space="preserve">  COLSTRIP 3               </t>
  </si>
  <si>
    <t xml:space="preserve">  COLSTRIP 4               </t>
  </si>
  <si>
    <t xml:space="preserve"> </t>
  </si>
  <si>
    <t xml:space="preserve">  COLSTRIP 3-4             </t>
  </si>
  <si>
    <t>TOTAL STRUCTURES AND IMPROVEMENTS</t>
  </si>
  <si>
    <t>BOILER PLANT EQUIPMENT</t>
  </si>
  <si>
    <t xml:space="preserve">  COLSTRIP 3          </t>
  </si>
  <si>
    <t xml:space="preserve">  COLSTRIP 4          </t>
  </si>
  <si>
    <t xml:space="preserve">  COLSTRIP 3-4        </t>
  </si>
  <si>
    <t>TOTAL BOILER PLANT EQUIPMENT</t>
  </si>
  <si>
    <t>TURBOGENERATOR UNITS</t>
  </si>
  <si>
    <t xml:space="preserve">  COLSTRIP 3        </t>
  </si>
  <si>
    <t xml:space="preserve">  COLSTRIP 4        </t>
  </si>
  <si>
    <t>TOTAL TURBOGENERATOR UNITS</t>
  </si>
  <si>
    <t>ACCESSORY ELECTRIC EQUIPMENT</t>
  </si>
  <si>
    <t xml:space="preserve">  COLSTRIP 3                </t>
  </si>
  <si>
    <t xml:space="preserve">  COLSTRIP 4                </t>
  </si>
  <si>
    <t xml:space="preserve">  COLSTRIP 3-4              </t>
  </si>
  <si>
    <t>TOTAL ACCESSORY ELECTRIC EQUIPMENT</t>
  </si>
  <si>
    <t>MISCELLANEOUS POWER PLANT EQUIPMENT</t>
  </si>
  <si>
    <t xml:space="preserve">  COLSTRIP 3                       </t>
  </si>
  <si>
    <t xml:space="preserve">  COLSTRIP 4                       </t>
  </si>
  <si>
    <t xml:space="preserve">  COLSTRIP 1-4                     </t>
  </si>
  <si>
    <t xml:space="preserve">  COLSTRIP 3-4                     </t>
  </si>
  <si>
    <t>TOTAL MISCELLANEOUS POWER PLANT EQUIPMENT</t>
  </si>
  <si>
    <t xml:space="preserve">    TOTAL STEAM PRODUCTION PLANT </t>
  </si>
  <si>
    <t>E316 STM Misc, Colstrip 4 Total</t>
  </si>
  <si>
    <t>E316 STM Misc, Colstrip 3-4 Com Total</t>
  </si>
  <si>
    <t>E316 STM Misc, Colstrip 3 Total</t>
  </si>
  <si>
    <t>E315 STM Accessory, Colstrip 4 Total</t>
  </si>
  <si>
    <t>E315 STM Accessory, Colstrip 3-4 Cm Total</t>
  </si>
  <si>
    <t>E315 STM Accessory, Colstrip 3 Total</t>
  </si>
  <si>
    <t>E314 STM Turbogen, Colstrip 4 Total</t>
  </si>
  <si>
    <t>E314 STM Turbogen, Colstrip 3 Total</t>
  </si>
  <si>
    <t>E312 STM Boiler, Colstrip 4 Total</t>
  </si>
  <si>
    <t>E312 STM Boiler, Colstrip 3-4 Com Total</t>
  </si>
  <si>
    <t>E312 STM Boiler, Colstrip 3 Total</t>
  </si>
  <si>
    <t>E311 STM Str/Impv, Colstrip 4 Total</t>
  </si>
  <si>
    <t>E311 STM Str/Impv, Colstrip 3-4 Com Total</t>
  </si>
  <si>
    <t>E311 STM Str/Impv, Colstrip 3 Total</t>
  </si>
  <si>
    <t>c</t>
  </si>
  <si>
    <t>b</t>
  </si>
  <si>
    <t>a</t>
  </si>
  <si>
    <t>Row Labels Total</t>
  </si>
  <si>
    <t>Current Approved Annual Rate</t>
  </si>
  <si>
    <t>Relationship of current to previous rate</t>
  </si>
  <si>
    <t>Proposed Annual Depr Rate</t>
  </si>
  <si>
    <t>*  LIFE SPAN PROCEDURE USED.  CURVE SHOWN IS INTERIM SURVIVOR CURVE.</t>
  </si>
  <si>
    <t xml:space="preserve">    TOTAL ELECTRIC PLANT</t>
  </si>
  <si>
    <t>*</t>
  </si>
  <si>
    <t>50-R1.5</t>
  </si>
  <si>
    <t>60-S2</t>
  </si>
  <si>
    <t>45-R1.5</t>
  </si>
  <si>
    <t>75-R1</t>
  </si>
  <si>
    <t>90-R1.5</t>
  </si>
  <si>
    <t xml:space="preserve">ELECTRIC PLANT </t>
  </si>
  <si>
    <t>(10)=(7)/(8)</t>
  </si>
  <si>
    <t>(9)=(8)/(5)</t>
  </si>
  <si>
    <t>LIFE</t>
  </si>
  <si>
    <t>ACCRUALS</t>
  </si>
  <si>
    <t>RESERVE</t>
  </si>
  <si>
    <t>SEPTEMBER 30, 2016</t>
  </si>
  <si>
    <t>PERCENT</t>
  </si>
  <si>
    <t>CURVE</t>
  </si>
  <si>
    <t>DATE</t>
  </si>
  <si>
    <t>REMAINING</t>
  </si>
  <si>
    <t>ACCRUAL</t>
  </si>
  <si>
    <t xml:space="preserve">ACCRUAL </t>
  </si>
  <si>
    <t>FUTURE</t>
  </si>
  <si>
    <t>AS OF</t>
  </si>
  <si>
    <t>SALVAGE</t>
  </si>
  <si>
    <t>SURVIVOR</t>
  </si>
  <si>
    <t>RETIREMENT</t>
  </si>
  <si>
    <t>COMPOSITE</t>
  </si>
  <si>
    <t xml:space="preserve">CALCULATED ANNUAL </t>
  </si>
  <si>
    <t>BOOK</t>
  </si>
  <si>
    <t>ORIGINAL COST</t>
  </si>
  <si>
    <t>NET</t>
  </si>
  <si>
    <t>PROBABLE</t>
  </si>
  <si>
    <t>VERSION 2</t>
  </si>
  <si>
    <t>AND CALCULATED ANNUAL DEPRECIATION RATES AS OF DECEMBER 31, 2018</t>
  </si>
  <si>
    <t>TABLE 1.  SUMMARY OF ESTIMATED SURVIVOR CURVES, NET SALVAGE, ORIGINAL COST, BOOK DEPRECIATION RESERVE</t>
  </si>
  <si>
    <t>PUGET SOUND ENERGY</t>
  </si>
  <si>
    <t>Proposed Depreciation Expense</t>
  </si>
  <si>
    <t>Restating Adjustment</t>
  </si>
  <si>
    <t>EOP Deprec Expense</t>
  </si>
  <si>
    <t>PUGET SOUND ENERGY-ELECTRIC</t>
  </si>
  <si>
    <t>RESTATED</t>
  </si>
  <si>
    <t>LINE</t>
  </si>
  <si>
    <t>ADJUSTMENT</t>
  </si>
  <si>
    <t>NO.</t>
  </si>
  <si>
    <t>%'s</t>
  </si>
  <si>
    <t>(a)</t>
  </si>
  <si>
    <t>(b)</t>
  </si>
  <si>
    <t>(c)=(b)-(a)</t>
  </si>
  <si>
    <t>INCREASE (DECREASE) NOI</t>
  </si>
  <si>
    <t>TOTAL ADJUSTMENT TO RATEBASE</t>
  </si>
  <si>
    <t>Test Year Deprec Expense</t>
  </si>
  <si>
    <t>d</t>
  </si>
  <si>
    <t>e = d ÷ a</t>
  </si>
  <si>
    <t>f = c x e</t>
  </si>
  <si>
    <t>g = f - c</t>
  </si>
  <si>
    <t>RBxFERC</t>
  </si>
  <si>
    <t>Colstrip 3 and 4:</t>
  </si>
  <si>
    <t>"Ending_x000D_
APB11 DFIT_x000D_
Balance"</t>
  </si>
  <si>
    <t>"_x000D_
DFIT_x000D_Reversal"</t>
  </si>
  <si>
    <t>"_x000D_
DFIT_x000D_Prosivion"</t>
  </si>
  <si>
    <t>"Beginning_x000D_
APB11 DFIT_x000D_
Balance"</t>
  </si>
  <si>
    <t>"_x000D_
Ending_x000D_
Difference"</t>
  </si>
  <si>
    <t>N/A</t>
  </si>
  <si>
    <t>"Flow Through_x000D_
Difference Activity"</t>
  </si>
  <si>
    <t>"_x000D_
Reversal_x000D_
Difference"</t>
  </si>
  <si>
    <t>"_x000D_
Provision_x000D_
Difference"</t>
  </si>
  <si>
    <t>"_x000D_
Beginning_x000D_
Difference"</t>
  </si>
  <si>
    <t>EDIT</t>
  </si>
  <si>
    <t>Statutory 21%</t>
  </si>
  <si>
    <t>PT 257A W/ARAM</t>
  </si>
  <si>
    <t>Manual Computation</t>
  </si>
  <si>
    <t xml:space="preserve">PT  </t>
  </si>
  <si>
    <t>Colstrip 1&amp;2</t>
  </si>
  <si>
    <t>PwrTax - 257A</t>
  </si>
  <si>
    <t>05/22/2019 at 2:11 pm</t>
  </si>
  <si>
    <t>Company Totals:</t>
  </si>
  <si>
    <t>Jurisdiction Totals:</t>
  </si>
  <si>
    <t>Unclassified</t>
  </si>
  <si>
    <t>Tax Overhead</t>
  </si>
  <si>
    <t>FED - CIAC FT</t>
  </si>
  <si>
    <t>FED - RAR</t>
  </si>
  <si>
    <t>FED - Pensions &amp; Taxes</t>
  </si>
  <si>
    <t>FED - CIAC</t>
  </si>
  <si>
    <t>FED - 481a T&amp;D Reverse Retires</t>
  </si>
  <si>
    <t>FED - 481a T&amp;D Repairs</t>
  </si>
  <si>
    <t>FED - 481a T&amp;D Bonus Addback</t>
  </si>
  <si>
    <t>FED - 481a Old T&amp;D Repairs Reversal</t>
  </si>
  <si>
    <t>FED - 481a Allowance</t>
  </si>
  <si>
    <t>Book Overhead</t>
  </si>
  <si>
    <t>NFED - Capitalized Interest FT</t>
  </si>
  <si>
    <t>NFED - AFUDC Equity FT</t>
  </si>
  <si>
    <t>NFED - AFUDC Debt FT</t>
  </si>
  <si>
    <t>FED - WORMS Amortization FT</t>
  </si>
  <si>
    <t>FED - Treasury Grant Bas Red FT</t>
  </si>
  <si>
    <t>FED - Software FT</t>
  </si>
  <si>
    <t>FED - Relocations - Trans FT</t>
  </si>
  <si>
    <t>FED - Relocations - Distribution FT</t>
  </si>
  <si>
    <t>FED - Reacq Bonds FT</t>
  </si>
  <si>
    <t>FED - P &amp; R and Sales Tax FT</t>
  </si>
  <si>
    <t>FED - Nonbase-Net FT</t>
  </si>
  <si>
    <t>FED - Interest Capitalized FT</t>
  </si>
  <si>
    <t>FED - Interest Capitalized - Gas FT</t>
  </si>
  <si>
    <t>FED - Interest Capitalized - Ele FT</t>
  </si>
  <si>
    <t>FED - I &amp; D and Outside Srvs</t>
  </si>
  <si>
    <t>FED - Hist Cost Diff FT</t>
  </si>
  <si>
    <t>FED - Conversion-OH to UG - Tran FT</t>
  </si>
  <si>
    <t>FED - Conversion-OH to UG - Dris FT</t>
  </si>
  <si>
    <t>FED - Const for Extens FT</t>
  </si>
  <si>
    <t>FED - Cap SMRP FT</t>
  </si>
  <si>
    <t>FED - Cap Self-Constructed Asset FT</t>
  </si>
  <si>
    <t>FED - Cap Property Taxes NIU</t>
  </si>
  <si>
    <t>FED - Cap Property Taxes FT</t>
  </si>
  <si>
    <t>FED - Basis Differences FT</t>
  </si>
  <si>
    <t>FED - AFUDC Equity FT</t>
  </si>
  <si>
    <t>FED - AFUDC Debt FT</t>
  </si>
  <si>
    <t>FED - AFUDC - Gas Equity FT</t>
  </si>
  <si>
    <t>FED - AFUDC - Elec FT</t>
  </si>
  <si>
    <t>FED - AFUDC - Common Equity FT</t>
  </si>
  <si>
    <t>FED - Admin and General Exp FT</t>
  </si>
  <si>
    <t>(227)FED - Cap Property Taxes FT MT</t>
  </si>
  <si>
    <t>FED - WORMS Amortization</t>
  </si>
  <si>
    <t>FED - White River - Other</t>
  </si>
  <si>
    <t>FED - Tax Repair Reverse Retires</t>
  </si>
  <si>
    <t>FED - Tax Repair Expense</t>
  </si>
  <si>
    <t>FED - Software</t>
  </si>
  <si>
    <t>FED - Repair Allowance</t>
  </si>
  <si>
    <t>FED - Nonbase-Net Norm</t>
  </si>
  <si>
    <t>FED - Like Kind Exchange</t>
  </si>
  <si>
    <t>Fed - Inv Conv</t>
  </si>
  <si>
    <t>FED - Interest Capitalized - Gas</t>
  </si>
  <si>
    <t>FED - Interest Capitalized - Elec</t>
  </si>
  <si>
    <t>FED - Encogen - Book Reserve</t>
  </si>
  <si>
    <t>FED - CPI Reverse Tax Expense</t>
  </si>
  <si>
    <t>FED - Cap SMRP</t>
  </si>
  <si>
    <t>FED - Cap Self-Constructed Assets</t>
  </si>
  <si>
    <t>FED - Cap Property Taxes Norm</t>
  </si>
  <si>
    <t>FED - Cap Property Taxes NIU Norm</t>
  </si>
  <si>
    <t>FED - Basis Differences</t>
  </si>
  <si>
    <t>FED - Assoc Prop Overhead</t>
  </si>
  <si>
    <t>FED - AFUDC Equity</t>
  </si>
  <si>
    <t>FED - AFUDC Debt</t>
  </si>
  <si>
    <t>FED - AFUDC - Gas Debt - Norm</t>
  </si>
  <si>
    <t>FED - AFUDC - Elec - Norm</t>
  </si>
  <si>
    <t>FED - AFUDC - Common Debt - Norm</t>
  </si>
  <si>
    <t>Depreciation Difference</t>
  </si>
  <si>
    <t>FED - Method/Life FT</t>
  </si>
  <si>
    <t>FED - Method/Life COR FT</t>
  </si>
  <si>
    <t>FED - Method/Life COR Norm</t>
  </si>
  <si>
    <t>FED - Method/Life</t>
  </si>
  <si>
    <t>Colstrip COR</t>
  </si>
  <si>
    <t>Colstrip 3&amp;4</t>
  </si>
  <si>
    <t>FED - RAR FT</t>
  </si>
  <si>
    <t>"Ending_x000D_Regulatory_x000D_
Liability"</t>
  </si>
  <si>
    <t>"Ending_x000D_Regulatory_x000D_
Asset"</t>
  </si>
  <si>
    <t>"Beginning_x000D_Regulatory_x000D_
Liability"</t>
  </si>
  <si>
    <t>"Beginning_x000D_Regulatory_x000D_
Asset"</t>
  </si>
  <si>
    <t>"End FAS109_x000D_
Liability @_x000D_
Stat Rate"</t>
  </si>
  <si>
    <t>"Beginning FAS109_x000D_
Liability"</t>
  </si>
  <si>
    <t>Grouped By: Colstrip</t>
  </si>
  <si>
    <t>Puget Sound Energy</t>
  </si>
  <si>
    <t>2018 Tax Return Case</t>
  </si>
  <si>
    <t>PowerTax Deferred Tax Summary Report - Alternate</t>
  </si>
  <si>
    <t>Tax Year: 2018</t>
  </si>
  <si>
    <t>Jurisdiction: Federal</t>
  </si>
  <si>
    <t>Tax Rate</t>
  </si>
  <si>
    <t>Including ARAM</t>
  </si>
  <si>
    <t>AS RESTATED</t>
  </si>
  <si>
    <t>ADJUSTMENT TO COLSTRIP 3&amp;4 NET OPERATING INCOME AND RATE BASE</t>
  </si>
  <si>
    <t>NET OPERATING INCOME</t>
  </si>
  <si>
    <t>RATE BASE</t>
  </si>
  <si>
    <t>ADJUST DEPRECIATION EXPENSE FOR NEW DEPRECIATION RATES</t>
  </si>
  <si>
    <t>IMPACT ON ACCUM DEP FOR CHANGE TO DEP EXPENSE</t>
  </si>
  <si>
    <t>Tax Dep Exceeds Book (Growing)</t>
  </si>
  <si>
    <t>Book Dep Exceeds Tax (Reversing)</t>
  </si>
  <si>
    <t>Other Flow Through</t>
  </si>
  <si>
    <t>Beginning Cumulative  Book/Tax Timing Difference</t>
  </si>
  <si>
    <t>Ending Cumulative  Book/Tax Timing Difference</t>
  </si>
  <si>
    <t>Gross</t>
  </si>
  <si>
    <t>Tax Effected</t>
  </si>
  <si>
    <t>Growing</t>
  </si>
  <si>
    <t>Reversing</t>
  </si>
  <si>
    <t>Beginning ADIT</t>
  </si>
  <si>
    <t>Ending ADIT</t>
  </si>
  <si>
    <t>Test Year ARAM Computation</t>
  </si>
  <si>
    <t>IMPACT ON ACCUM DEF FED INC TAXES FOR EDIT REVERSAL</t>
  </si>
  <si>
    <t>IN ADJ 5.04</t>
  </si>
  <si>
    <t>ADJ 5.08</t>
  </si>
  <si>
    <t>COLSTRIP 3&amp;4  DEPRECIATION ADJ - ELECTRIC</t>
  </si>
  <si>
    <t>FOR THE TWELVE MONTHS ENDED JUNE 30, 2020</t>
  </si>
  <si>
    <t>2020 POWER COST ONLY RATE CASE</t>
  </si>
  <si>
    <t>IMPACT ON ACCUM DEF FED INC TAXES FOR CHANGE IN ACCUM DEP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</si>
</sst>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0.0"/>
    <numFmt numFmtId="166" formatCode="0.0%"/>
    <numFmt numFmtId="167" formatCode="mm\-yyyy"/>
    <numFmt numFmtId="168" formatCode="[$-409]mmmm\ d\,\ yyyy;@"/>
    <numFmt numFmtId="169" formatCode="0.000%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43" fontId="2" fillId="0" borderId="0" xfId="0" applyNumberFormat="1" applyFont="1" applyFill="1" applyAlignment="1">
      <alignment horizontal="center"/>
    </xf>
    <xf numFmtId="43" fontId="2" fillId="0" borderId="0" xfId="0" applyNumberFormat="1" applyFont="1" applyFill="1" applyBorder="1" applyAlignment="1">
      <alignment horizontal="center"/>
    </xf>
    <xf numFmtId="44" fontId="2" fillId="0" borderId="3" xfId="0" applyNumberFormat="1" applyFont="1" applyFill="1" applyBorder="1"/>
    <xf numFmtId="0" fontId="3" fillId="0" borderId="0" xfId="0" applyFont="1" applyFill="1"/>
    <xf numFmtId="41" fontId="3" fillId="0" borderId="0" xfId="0" applyNumberFormat="1" applyFont="1" applyFill="1"/>
    <xf numFmtId="0" fontId="2" fillId="0" borderId="0" xfId="0" applyFont="1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0" xfId="0" applyFont="1" applyFill="1"/>
    <xf numFmtId="41" fontId="2" fillId="0" borderId="0" xfId="0" applyNumberFormat="1" applyFont="1" applyFill="1"/>
    <xf numFmtId="169" fontId="2" fillId="0" borderId="0" xfId="0" applyNumberFormat="1" applyFont="1" applyFill="1"/>
    <xf numFmtId="0" fontId="5" fillId="0" borderId="0" xfId="0" applyFont="1" applyFill="1" applyAlignment="1"/>
    <xf numFmtId="0" fontId="6" fillId="0" borderId="0" xfId="0" applyFont="1" applyFill="1"/>
    <xf numFmtId="0" fontId="6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0" fontId="6" fillId="0" borderId="0" xfId="0" applyFont="1" applyFill="1" applyAlignment="1"/>
    <xf numFmtId="0" fontId="5" fillId="0" borderId="5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right"/>
    </xf>
    <xf numFmtId="9" fontId="6" fillId="0" borderId="0" xfId="0" applyNumberFormat="1" applyFont="1" applyFill="1"/>
    <xf numFmtId="41" fontId="6" fillId="0" borderId="0" xfId="0" applyNumberFormat="1" applyFont="1" applyFill="1"/>
    <xf numFmtId="41" fontId="6" fillId="0" borderId="0" xfId="0" applyNumberFormat="1" applyFont="1" applyFill="1" applyAlignment="1">
      <alignment horizontal="right"/>
    </xf>
    <xf numFmtId="44" fontId="6" fillId="0" borderId="0" xfId="0" applyNumberFormat="1" applyFont="1" applyFill="1"/>
    <xf numFmtId="0" fontId="3" fillId="0" borderId="0" xfId="0" applyFont="1" applyFill="1" applyBorder="1"/>
    <xf numFmtId="0" fontId="3" fillId="0" borderId="0" xfId="0" applyFont="1" applyFill="1" applyAlignment="1">
      <alignment horizontal="centerContinuous"/>
    </xf>
    <xf numFmtId="0" fontId="4" fillId="0" borderId="1" xfId="0" applyFont="1" applyFill="1" applyBorder="1" applyAlignment="1">
      <alignment horizontal="center"/>
    </xf>
    <xf numFmtId="42" fontId="3" fillId="0" borderId="3" xfId="0" applyNumberFormat="1" applyFont="1" applyFill="1" applyBorder="1"/>
    <xf numFmtId="0" fontId="1" fillId="0" borderId="0" xfId="0" applyFont="1" applyFill="1" applyBorder="1"/>
    <xf numFmtId="0" fontId="1" fillId="0" borderId="0" xfId="0" applyFont="1" applyFill="1"/>
    <xf numFmtId="10" fontId="1" fillId="0" borderId="0" xfId="0" applyNumberFormat="1" applyFont="1" applyFill="1" applyAlignment="1">
      <alignment horizontal="center"/>
    </xf>
    <xf numFmtId="44" fontId="1" fillId="0" borderId="0" xfId="0" applyNumberFormat="1" applyFont="1" applyFill="1"/>
    <xf numFmtId="10" fontId="1" fillId="0" borderId="0" xfId="0" applyNumberFormat="1" applyFont="1" applyFill="1"/>
    <xf numFmtId="43" fontId="1" fillId="0" borderId="0" xfId="0" applyNumberFormat="1" applyFont="1" applyFill="1" applyBorder="1"/>
    <xf numFmtId="43" fontId="1" fillId="0" borderId="0" xfId="0" applyNumberFormat="1" applyFont="1" applyFill="1"/>
    <xf numFmtId="9" fontId="1" fillId="0" borderId="0" xfId="0" applyNumberFormat="1" applyFont="1" applyFill="1"/>
    <xf numFmtId="0" fontId="1" fillId="0" borderId="0" xfId="0" applyFont="1" applyFill="1"/>
    <xf numFmtId="41" fontId="6" fillId="0" borderId="0" xfId="0" applyNumberFormat="1" applyFont="1" applyFill="1"/>
    <xf numFmtId="9" fontId="6" fillId="0" borderId="0" xfId="0" applyNumberFormat="1" applyFont="1" applyFill="1"/>
    <xf numFmtId="41" fontId="6" fillId="0" borderId="0" xfId="0" applyNumberFormat="1" applyFont="1" applyFill="1"/>
    <xf numFmtId="41" fontId="6" fillId="0" borderId="0" xfId="0" applyNumberFormat="1" applyFont="1" applyFill="1" applyAlignment="1">
      <alignment wrapText="1"/>
    </xf>
    <xf numFmtId="9" fontId="6" fillId="0" borderId="0" xfId="0" applyNumberFormat="1" applyFont="1" applyFill="1" applyAlignment="1">
      <alignment wrapText="1"/>
    </xf>
    <xf numFmtId="166" fontId="6" fillId="0" borderId="0" xfId="0" applyNumberFormat="1" applyFont="1" applyFill="1"/>
    <xf numFmtId="41" fontId="6" fillId="0" borderId="0" xfId="0" applyNumberFormat="1" applyFont="1" applyFill="1" applyAlignment="1">
      <alignment horizontal="centerContinuous"/>
    </xf>
    <xf numFmtId="41" fontId="6" fillId="0" borderId="0" xfId="0" applyNumberFormat="1" applyFont="1" applyFill="1" applyAlignment="1"/>
    <xf numFmtId="42" fontId="6" fillId="0" borderId="0" xfId="0" applyNumberFormat="1" applyFont="1" applyFill="1" applyAlignment="1">
      <alignment horizontal="right"/>
    </xf>
    <xf numFmtId="41" fontId="6" fillId="0" borderId="0" xfId="0" applyNumberFormat="1" applyFont="1" applyFill="1" applyAlignment="1">
      <alignment horizontal="right"/>
    </xf>
    <xf numFmtId="41" fontId="6" fillId="0" borderId="0" xfId="0" applyNumberFormat="1" applyFont="1" applyFill="1" applyAlignment="1">
      <alignment horizontal="left"/>
    </xf>
    <xf numFmtId="166" fontId="6" fillId="0" borderId="0" xfId="0" applyNumberFormat="1" applyFont="1" applyFill="1" applyAlignment="1">
      <alignment horizontal="right"/>
    </xf>
    <xf numFmtId="42" fontId="6" fillId="0" borderId="6" xfId="0" applyNumberFormat="1" applyFont="1" applyFill="1" applyBorder="1" applyAlignment="1">
      <alignment horizontal="right"/>
    </xf>
    <xf numFmtId="0" fontId="7" fillId="0" borderId="0" xfId="0" applyFont="1" applyFill="1" applyAlignment="1">
      <alignment horizontal="centerContinuous"/>
    </xf>
    <xf numFmtId="0" fontId="8" fillId="0" borderId="0" xfId="0" applyFont="1" applyFill="1"/>
    <xf numFmtId="0" fontId="8" fillId="0" borderId="0" xfId="0" applyFont="1" applyFill="1" applyAlignment="1"/>
    <xf numFmtId="0" fontId="7" fillId="0" borderId="0" xfId="0" applyNumberFormat="1" applyFont="1" applyFill="1" applyAlignment="1">
      <alignment horizontal="centerContinuous"/>
    </xf>
    <xf numFmtId="0" fontId="8" fillId="0" borderId="0" xfId="0" applyNumberFormat="1" applyFont="1" applyFill="1" applyAlignment="1">
      <alignment horizontal="centerContinuous"/>
    </xf>
    <xf numFmtId="0" fontId="8" fillId="0" borderId="0" xfId="0" applyNumberFormat="1" applyFont="1" applyFill="1" applyAlignment="1">
      <alignment horizontal="center"/>
    </xf>
    <xf numFmtId="164" fontId="8" fillId="0" borderId="0" xfId="0" applyNumberFormat="1" applyFont="1" applyFill="1" applyAlignment="1">
      <alignment horizontal="centerContinuous"/>
    </xf>
    <xf numFmtId="37" fontId="8" fillId="0" borderId="0" xfId="0" applyNumberFormat="1" applyFont="1" applyFill="1" applyAlignment="1">
      <alignment horizontal="centerContinuous"/>
    </xf>
    <xf numFmtId="37" fontId="8" fillId="0" borderId="0" xfId="0" applyNumberFormat="1" applyFont="1" applyFill="1" applyAlignment="1"/>
    <xf numFmtId="0" fontId="7" fillId="0" borderId="0" xfId="0" applyFont="1" applyFill="1" applyAlignment="1"/>
    <xf numFmtId="0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164" fontId="7" fillId="0" borderId="0" xfId="0" applyNumberFormat="1" applyFont="1" applyFill="1" applyAlignment="1">
      <alignment horizontal="center"/>
    </xf>
    <xf numFmtId="37" fontId="7" fillId="0" borderId="0" xfId="0" applyNumberFormat="1" applyFont="1" applyFill="1" applyAlignment="1">
      <alignment horizontal="center"/>
    </xf>
    <xf numFmtId="37" fontId="7" fillId="0" borderId="0" xfId="0" applyNumberFormat="1" applyFont="1" applyFill="1" applyAlignment="1">
      <alignment horizontal="centerContinuous"/>
    </xf>
    <xf numFmtId="0" fontId="8" fillId="0" borderId="0" xfId="0" applyFont="1" applyFill="1" applyAlignment="1">
      <alignment horizontal="center"/>
    </xf>
    <xf numFmtId="37" fontId="7" fillId="0" borderId="4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4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68" fontId="7" fillId="0" borderId="0" xfId="0" quotePrefix="1" applyNumberFormat="1" applyFont="1" applyFill="1" applyAlignment="1">
      <alignment horizontal="center"/>
    </xf>
    <xf numFmtId="3" fontId="7" fillId="0" borderId="0" xfId="0" applyNumberFormat="1" applyFont="1" applyFill="1" applyAlignment="1">
      <alignment horizontal="center"/>
    </xf>
    <xf numFmtId="164" fontId="7" fillId="0" borderId="4" xfId="0" applyNumberFormat="1" applyFont="1" applyFill="1" applyBorder="1" applyAlignment="1">
      <alignment horizontal="center"/>
    </xf>
    <xf numFmtId="3" fontId="7" fillId="0" borderId="4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left"/>
    </xf>
    <xf numFmtId="164" fontId="8" fillId="0" borderId="0" xfId="0" applyNumberFormat="1" applyFont="1" applyFill="1" applyAlignment="1"/>
    <xf numFmtId="37" fontId="8" fillId="0" borderId="0" xfId="0" applyNumberFormat="1" applyFont="1" applyFill="1"/>
    <xf numFmtId="165" fontId="8" fillId="0" borderId="0" xfId="0" applyNumberFormat="1" applyFont="1" applyFill="1"/>
    <xf numFmtId="2" fontId="8" fillId="0" borderId="0" xfId="0" applyNumberFormat="1" applyFont="1" applyFill="1"/>
    <xf numFmtId="2" fontId="8" fillId="0" borderId="0" xfId="0" applyNumberFormat="1" applyFont="1" applyFill="1" applyBorder="1"/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 applyAlignment="1"/>
    <xf numFmtId="37" fontId="8" fillId="0" borderId="0" xfId="0" applyNumberFormat="1" applyFont="1" applyFill="1" applyBorder="1"/>
    <xf numFmtId="0" fontId="8" fillId="0" borderId="0" xfId="0" applyNumberFormat="1" applyFont="1" applyFill="1" applyBorder="1" applyAlignment="1"/>
    <xf numFmtId="167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39" fontId="8" fillId="0" borderId="0" xfId="0" applyNumberFormat="1" applyFont="1" applyFill="1" applyBorder="1"/>
    <xf numFmtId="0" fontId="8" fillId="0" borderId="0" xfId="0" applyFont="1" applyFill="1" applyBorder="1"/>
    <xf numFmtId="37" fontId="8" fillId="0" borderId="0" xfId="0" applyNumberFormat="1" applyFont="1" applyFill="1" applyBorder="1"/>
    <xf numFmtId="0" fontId="9" fillId="0" borderId="0" xfId="0" applyNumberFormat="1" applyFont="1" applyFill="1" applyBorder="1" applyAlignment="1"/>
    <xf numFmtId="39" fontId="8" fillId="0" borderId="1" xfId="0" applyNumberFormat="1" applyFont="1" applyFill="1" applyBorder="1"/>
    <xf numFmtId="37" fontId="8" fillId="0" borderId="1" xfId="0" applyNumberFormat="1" applyFont="1" applyFill="1" applyBorder="1"/>
    <xf numFmtId="0" fontId="8" fillId="0" borderId="0" xfId="0" applyNumberFormat="1" applyFont="1" applyFill="1" applyBorder="1"/>
    <xf numFmtId="0" fontId="8" fillId="0" borderId="0" xfId="0" applyFont="1" applyFill="1" applyBorder="1"/>
    <xf numFmtId="164" fontId="8" fillId="0" borderId="0" xfId="0" applyNumberFormat="1" applyFont="1" applyFill="1" applyAlignment="1">
      <alignment horizontal="center"/>
    </xf>
    <xf numFmtId="39" fontId="7" fillId="0" borderId="0" xfId="0" applyNumberFormat="1" applyFont="1" applyFill="1" applyBorder="1"/>
    <xf numFmtId="0" fontId="7" fillId="0" borderId="0" xfId="0" applyFont="1" applyFill="1" applyBorder="1" applyAlignment="1"/>
    <xf numFmtId="37" fontId="7" fillId="0" borderId="0" xfId="0" applyNumberFormat="1" applyFont="1" applyFill="1" applyBorder="1"/>
    <xf numFmtId="37" fontId="7" fillId="0" borderId="0" xfId="0" applyNumberFormat="1" applyFont="1" applyFill="1" applyBorder="1" applyAlignment="1"/>
    <xf numFmtId="2" fontId="7" fillId="0" borderId="0" xfId="0" applyNumberFormat="1" applyFont="1" applyFill="1"/>
    <xf numFmtId="39" fontId="8" fillId="0" borderId="0" xfId="0" applyNumberFormat="1" applyFont="1" applyFill="1"/>
    <xf numFmtId="37" fontId="7" fillId="0" borderId="0" xfId="0" applyNumberFormat="1" applyFont="1" applyFill="1" applyAlignment="1"/>
    <xf numFmtId="0" fontId="8" fillId="0" borderId="0" xfId="0" applyNumberFormat="1" applyFont="1" applyFill="1" applyAlignment="1">
      <alignment horizontal="left"/>
    </xf>
    <xf numFmtId="39" fontId="7" fillId="0" borderId="2" xfId="0" applyNumberFormat="1" applyFont="1" applyFill="1" applyBorder="1"/>
    <xf numFmtId="37" fontId="7" fillId="0" borderId="2" xfId="0" applyNumberFormat="1" applyFont="1" applyFill="1" applyBorder="1" applyAlignment="1"/>
    <xf numFmtId="165" fontId="7" fillId="0" borderId="0" xfId="0" applyNumberFormat="1" applyFont="1" applyFill="1" applyAlignment="1"/>
    <xf numFmtId="39" fontId="7" fillId="0" borderId="0" xfId="0" applyNumberFormat="1" applyFont="1" applyFill="1"/>
    <xf numFmtId="39" fontId="8" fillId="0" borderId="0" xfId="0" applyNumberFormat="1" applyFont="1" applyFill="1" applyAlignment="1"/>
    <xf numFmtId="39" fontId="8" fillId="0" borderId="0" xfId="0" applyNumberFormat="1" applyFont="1" applyFill="1" applyAlignment="1">
      <alignment horizontal="center"/>
    </xf>
    <xf numFmtId="2" fontId="8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 applyProtection="1">
      <alignment horizontal="centerContinuous"/>
      <protection locked="0"/>
    </xf>
    <xf numFmtId="0" fontId="4" fillId="0" borderId="0" xfId="0" applyNumberFormat="1" applyFont="1" applyFill="1" applyBorder="1" applyAlignment="1">
      <alignment horizontal="centerContinuous"/>
    </xf>
    <xf numFmtId="0" fontId="4" fillId="0" borderId="0" xfId="0" quotePrefix="1" applyNumberFormat="1" applyFont="1" applyFill="1" applyBorder="1" applyAlignment="1">
      <alignment horizontal="centerContinuous"/>
    </xf>
    <xf numFmtId="0" fontId="4" fillId="0" borderId="0" xfId="0" applyNumberFormat="1" applyFont="1" applyFill="1" applyAlignment="1">
      <alignment horizontal="centerContinuous"/>
    </xf>
    <xf numFmtId="0" fontId="4" fillId="0" borderId="0" xfId="0" applyNumberFormat="1" applyFont="1" applyFill="1" applyAlignment="1">
      <alignment horizontal="center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quotePrefix="1" applyNumberFormat="1" applyFont="1" applyFill="1" applyBorder="1" applyAlignment="1">
      <alignment horizontal="center"/>
    </xf>
    <xf numFmtId="0" fontId="4" fillId="0" borderId="0" xfId="0" applyNumberFormat="1" applyFont="1" applyFill="1" applyAlignment="1" applyProtection="1">
      <alignment horizontal="center"/>
      <protection locked="0"/>
    </xf>
    <xf numFmtId="0" fontId="4" fillId="0" borderId="0" xfId="0" applyNumberFormat="1" applyFont="1" applyFill="1" applyAlignment="1"/>
    <xf numFmtId="0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/>
    <xf numFmtId="0" fontId="4" fillId="0" borderId="1" xfId="0" quotePrefix="1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/>
    <xf numFmtId="0" fontId="4" fillId="0" borderId="0" xfId="0" quotePrefix="1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Alignment="1">
      <alignment horizontal="center"/>
    </xf>
    <xf numFmtId="0" fontId="10" fillId="0" borderId="0" xfId="0" applyNumberFormat="1" applyFont="1" applyFill="1" applyBorder="1" applyAlignment="1"/>
    <xf numFmtId="37" fontId="3" fillId="0" borderId="0" xfId="0" applyNumberFormat="1" applyFont="1" applyFill="1" applyAlignment="1">
      <alignment horizontal="left" indent="1"/>
    </xf>
    <xf numFmtId="42" fontId="3" fillId="0" borderId="0" xfId="0" applyNumberFormat="1" applyFont="1" applyFill="1" applyBorder="1"/>
    <xf numFmtId="166" fontId="3" fillId="0" borderId="0" xfId="0" applyNumberFormat="1" applyFont="1" applyFill="1" applyBorder="1" applyAlignment="1">
      <alignment horizontal="center"/>
    </xf>
    <xf numFmtId="41" fontId="3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42" fontId="3" fillId="0" borderId="9" xfId="0" applyNumberFormat="1" applyFont="1" applyFill="1" applyBorder="1"/>
    <xf numFmtId="37" fontId="3" fillId="0" borderId="0" xfId="0" applyNumberFormat="1" applyFont="1" applyFill="1" applyAlignment="1"/>
    <xf numFmtId="42" fontId="3" fillId="0" borderId="0" xfId="0" applyNumberFormat="1" applyFont="1" applyFill="1" applyAlignment="1" applyProtection="1">
      <alignment horizontal="right"/>
      <protection locked="0"/>
    </xf>
    <xf numFmtId="0" fontId="3" fillId="0" borderId="0" xfId="0" applyNumberFormat="1" applyFont="1" applyFill="1" applyAlignment="1">
      <alignment horizontal="left" indent="1"/>
    </xf>
    <xf numFmtId="9" fontId="3" fillId="0" borderId="0" xfId="0" applyNumberFormat="1" applyFont="1" applyFill="1"/>
    <xf numFmtId="41" fontId="5" fillId="0" borderId="8" xfId="0" applyNumberFormat="1" applyFont="1" applyFill="1" applyBorder="1" applyAlignment="1">
      <alignment horizontal="center"/>
    </xf>
    <xf numFmtId="41" fontId="5" fillId="0" borderId="7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0066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4-DeprecAMAtoEOP-20PCORC-12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tric"/>
      <sheetName val="Production Plant"/>
      <sheetName val="Transmission Plant"/>
      <sheetName val="Software"/>
      <sheetName val="EOP Elec DFIT Depr Restatement"/>
      <sheetName val="Accretion 12ME 6-2020"/>
      <sheetName val="Accr 2019-2020"/>
      <sheetName val="Software Amort"/>
    </sheetNames>
    <sheetDataSet>
      <sheetData sheetId="0"/>
      <sheetData sheetId="1">
        <row r="149">
          <cell r="H149">
            <v>1048103.2600000002</v>
          </cell>
          <cell r="K149">
            <v>1052468.255652</v>
          </cell>
        </row>
        <row r="162">
          <cell r="H162">
            <v>2217281.7599999998</v>
          </cell>
          <cell r="K162">
            <v>2220951.6</v>
          </cell>
        </row>
        <row r="188">
          <cell r="H188">
            <v>1061520.17</v>
          </cell>
          <cell r="K188">
            <v>1066085.0604639999</v>
          </cell>
        </row>
        <row r="292">
          <cell r="H292">
            <v>6161555.1700000018</v>
          </cell>
          <cell r="K292">
            <v>6160637.8402799973</v>
          </cell>
        </row>
        <row r="305">
          <cell r="H305">
            <v>611412.5</v>
          </cell>
          <cell r="K305">
            <v>606673.10385599989</v>
          </cell>
        </row>
        <row r="318">
          <cell r="H318">
            <v>6130631.8300000001</v>
          </cell>
        </row>
        <row r="487">
          <cell r="H487">
            <v>2938828.2600000002</v>
          </cell>
          <cell r="K487">
            <v>2938254.8563540005</v>
          </cell>
        </row>
        <row r="500">
          <cell r="H500">
            <v>2686086.0600000005</v>
          </cell>
          <cell r="K500">
            <v>2718882.4568400001</v>
          </cell>
        </row>
        <row r="669">
          <cell r="H669">
            <v>306911.95</v>
          </cell>
          <cell r="K669">
            <v>312478.20018200006</v>
          </cell>
        </row>
        <row r="682">
          <cell r="H682">
            <v>271572.68</v>
          </cell>
          <cell r="K682">
            <v>272996.92658499995</v>
          </cell>
        </row>
        <row r="695">
          <cell r="H695">
            <v>330963.89</v>
          </cell>
          <cell r="K695">
            <v>349797.13668</v>
          </cell>
        </row>
        <row r="851">
          <cell r="H851">
            <v>72427.8</v>
          </cell>
          <cell r="K851">
            <v>72427.729980999982</v>
          </cell>
        </row>
        <row r="864">
          <cell r="H864">
            <v>399825.10000000021</v>
          </cell>
          <cell r="K864">
            <v>190410.35228799994</v>
          </cell>
        </row>
        <row r="877">
          <cell r="H877">
            <v>81023.64</v>
          </cell>
          <cell r="K877">
            <v>81023.614320000037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tabSelected="1" zoomScaleNormal="100" workbookViewId="0">
      <selection activeCell="B6" sqref="B6"/>
    </sheetView>
  </sheetViews>
  <sheetFormatPr defaultColWidth="9.140625" defaultRowHeight="12.75" x14ac:dyDescent="0.2"/>
  <cols>
    <col min="1" max="1" width="5.28515625" style="6" bestFit="1" customWidth="1"/>
    <col min="2" max="2" width="69.28515625" style="6" customWidth="1"/>
    <col min="3" max="3" width="6" style="6" bestFit="1" customWidth="1"/>
    <col min="4" max="5" width="15.28515625" style="6" bestFit="1" customWidth="1"/>
    <col min="6" max="6" width="15" style="6" bestFit="1" customWidth="1"/>
    <col min="7" max="8" width="13.7109375" style="28" bestFit="1" customWidth="1"/>
    <col min="9" max="9" width="14.5703125" style="28" bestFit="1" customWidth="1"/>
    <col min="10" max="10" width="13.7109375" style="28" bestFit="1" customWidth="1"/>
    <col min="11" max="11" width="13.5703125" style="28" bestFit="1" customWidth="1"/>
    <col min="12" max="12" width="9.140625" style="6"/>
    <col min="13" max="14" width="13.7109375" style="28" bestFit="1" customWidth="1"/>
    <col min="15" max="15" width="14.5703125" style="28" bestFit="1" customWidth="1"/>
    <col min="16" max="16" width="13.7109375" style="28" bestFit="1" customWidth="1"/>
    <col min="17" max="17" width="13.5703125" style="28" bestFit="1" customWidth="1"/>
    <col min="18" max="16384" width="9.140625" style="6"/>
  </cols>
  <sheetData>
    <row r="2" spans="1:12" x14ac:dyDescent="0.2">
      <c r="A2" s="117"/>
      <c r="B2" s="117"/>
      <c r="C2" s="117"/>
      <c r="D2" s="117"/>
      <c r="E2" s="117"/>
      <c r="F2" s="117"/>
    </row>
    <row r="3" spans="1:12" x14ac:dyDescent="0.2">
      <c r="A3" s="117"/>
      <c r="B3" s="117"/>
      <c r="C3" s="117"/>
      <c r="D3" s="117"/>
      <c r="E3" s="117"/>
      <c r="F3" s="117"/>
    </row>
    <row r="4" spans="1:12" x14ac:dyDescent="0.2">
      <c r="A4" s="118" t="s">
        <v>94</v>
      </c>
      <c r="B4" s="119"/>
      <c r="C4" s="118"/>
      <c r="D4" s="118"/>
      <c r="E4" s="118"/>
      <c r="F4" s="120"/>
    </row>
    <row r="5" spans="1:12" x14ac:dyDescent="0.2">
      <c r="A5" s="121" t="s">
        <v>242</v>
      </c>
      <c r="B5" s="29"/>
      <c r="C5" s="121"/>
      <c r="D5" s="121"/>
      <c r="E5" s="121"/>
      <c r="F5" s="121"/>
    </row>
    <row r="6" spans="1:12" x14ac:dyDescent="0.2">
      <c r="A6" s="121" t="s">
        <v>243</v>
      </c>
      <c r="B6" s="29"/>
      <c r="C6" s="121"/>
      <c r="D6" s="121"/>
      <c r="E6" s="121"/>
      <c r="F6" s="120"/>
    </row>
    <row r="7" spans="1:12" x14ac:dyDescent="0.2">
      <c r="A7" s="121" t="s">
        <v>244</v>
      </c>
      <c r="B7" s="29"/>
      <c r="C7" s="121"/>
      <c r="D7" s="121"/>
      <c r="E7" s="121"/>
      <c r="F7" s="120"/>
    </row>
    <row r="8" spans="1:12" x14ac:dyDescent="0.2">
      <c r="C8" s="122"/>
      <c r="D8" s="122"/>
      <c r="E8" s="123"/>
      <c r="F8" s="124"/>
      <c r="L8" s="28"/>
    </row>
    <row r="9" spans="1:12" x14ac:dyDescent="0.2">
      <c r="A9" s="118"/>
      <c r="B9" s="120"/>
      <c r="C9" s="120"/>
      <c r="D9" s="123" t="s">
        <v>221</v>
      </c>
      <c r="E9" s="123" t="s">
        <v>241</v>
      </c>
      <c r="F9" s="123" t="s">
        <v>95</v>
      </c>
      <c r="L9" s="28"/>
    </row>
    <row r="10" spans="1:12" x14ac:dyDescent="0.2">
      <c r="A10" s="125" t="s">
        <v>96</v>
      </c>
      <c r="B10" s="126"/>
      <c r="C10" s="126"/>
      <c r="D10" s="123" t="s">
        <v>240</v>
      </c>
      <c r="E10" s="123" t="s">
        <v>95</v>
      </c>
      <c r="F10" s="123" t="s">
        <v>97</v>
      </c>
      <c r="L10" s="28"/>
    </row>
    <row r="11" spans="1:12" x14ac:dyDescent="0.2">
      <c r="A11" s="127" t="s">
        <v>98</v>
      </c>
      <c r="B11" s="128" t="s">
        <v>3</v>
      </c>
      <c r="C11" s="129" t="s">
        <v>99</v>
      </c>
      <c r="D11" s="30" t="s">
        <v>100</v>
      </c>
      <c r="E11" s="30" t="s">
        <v>101</v>
      </c>
      <c r="F11" s="30" t="s">
        <v>102</v>
      </c>
      <c r="L11" s="28"/>
    </row>
    <row r="12" spans="1:12" x14ac:dyDescent="0.2">
      <c r="A12" s="130"/>
      <c r="B12" s="131"/>
      <c r="C12" s="131"/>
      <c r="D12" s="131"/>
      <c r="E12" s="131"/>
      <c r="F12" s="132"/>
      <c r="L12" s="28"/>
    </row>
    <row r="13" spans="1:12" x14ac:dyDescent="0.2">
      <c r="A13" s="133">
        <v>1</v>
      </c>
      <c r="B13" s="131" t="s">
        <v>222</v>
      </c>
      <c r="C13" s="139"/>
      <c r="D13" s="139"/>
      <c r="E13" s="139"/>
      <c r="L13" s="28"/>
    </row>
    <row r="14" spans="1:12" x14ac:dyDescent="0.2">
      <c r="A14" s="133">
        <f>A13+1</f>
        <v>2</v>
      </c>
      <c r="B14" s="131"/>
      <c r="C14" s="139"/>
      <c r="D14" s="139"/>
      <c r="E14" s="139"/>
      <c r="L14" s="28"/>
    </row>
    <row r="15" spans="1:12" x14ac:dyDescent="0.2">
      <c r="A15" s="133">
        <f t="shared" ref="A15:A33" si="0">A14+1</f>
        <v>3</v>
      </c>
      <c r="B15" s="134" t="s">
        <v>223</v>
      </c>
      <c r="C15" s="139"/>
      <c r="D15" s="139"/>
      <c r="E15" s="139"/>
      <c r="L15" s="28"/>
    </row>
    <row r="16" spans="1:12" x14ac:dyDescent="0.2">
      <c r="A16" s="133">
        <f t="shared" si="0"/>
        <v>4</v>
      </c>
      <c r="B16" s="135" t="s">
        <v>225</v>
      </c>
      <c r="C16" s="136"/>
      <c r="D16" s="136">
        <f>'Depr Exp 2020 PCORC Annual'!E18</f>
        <v>24173718.963481996</v>
      </c>
      <c r="E16" s="136">
        <f>+'Depr Exp 2020 PCORC Annual'!H18</f>
        <v>41096273.81753172</v>
      </c>
      <c r="F16" s="136">
        <f>+E16-D16</f>
        <v>16922554.854049724</v>
      </c>
      <c r="L16" s="28"/>
    </row>
    <row r="17" spans="1:12" x14ac:dyDescent="0.2">
      <c r="A17" s="133">
        <f t="shared" si="0"/>
        <v>5</v>
      </c>
      <c r="B17" s="135"/>
      <c r="C17" s="137"/>
      <c r="D17" s="138"/>
      <c r="E17" s="138"/>
      <c r="F17" s="138"/>
      <c r="L17" s="28"/>
    </row>
    <row r="18" spans="1:12" x14ac:dyDescent="0.2">
      <c r="A18" s="133">
        <f t="shared" si="0"/>
        <v>6</v>
      </c>
      <c r="B18" s="135"/>
      <c r="C18" s="137"/>
      <c r="D18" s="138">
        <f>-D16*$C18</f>
        <v>0</v>
      </c>
      <c r="E18" s="138">
        <f>D18</f>
        <v>0</v>
      </c>
      <c r="F18" s="138">
        <f>+E18-D18</f>
        <v>0</v>
      </c>
      <c r="L18" s="28"/>
    </row>
    <row r="19" spans="1:12" ht="13.5" thickBot="1" x14ac:dyDescent="0.25">
      <c r="A19" s="133">
        <f t="shared" si="0"/>
        <v>7</v>
      </c>
      <c r="B19" s="135" t="s">
        <v>103</v>
      </c>
      <c r="C19" s="136"/>
      <c r="D19" s="140">
        <f>-D16-D17-D18</f>
        <v>-24173718.963481996</v>
      </c>
      <c r="E19" s="140">
        <f t="shared" ref="E19:F19" si="1">-E16-E17-E18</f>
        <v>-41096273.81753172</v>
      </c>
      <c r="F19" s="140">
        <f t="shared" si="1"/>
        <v>-16922554.854049724</v>
      </c>
      <c r="L19" s="28"/>
    </row>
    <row r="20" spans="1:12" ht="13.5" thickTop="1" x14ac:dyDescent="0.2">
      <c r="A20" s="133">
        <f t="shared" si="0"/>
        <v>8</v>
      </c>
      <c r="B20" s="141"/>
      <c r="C20" s="136"/>
      <c r="D20" s="136"/>
      <c r="E20" s="136"/>
      <c r="F20" s="136"/>
      <c r="L20" s="28"/>
    </row>
    <row r="21" spans="1:12" x14ac:dyDescent="0.2">
      <c r="A21" s="133">
        <f t="shared" si="0"/>
        <v>9</v>
      </c>
      <c r="B21" s="134" t="s">
        <v>224</v>
      </c>
      <c r="C21" s="136"/>
      <c r="D21" s="136"/>
      <c r="E21" s="136"/>
      <c r="F21" s="136"/>
      <c r="L21" s="28"/>
    </row>
    <row r="22" spans="1:12" x14ac:dyDescent="0.2">
      <c r="A22" s="133">
        <f t="shared" si="0"/>
        <v>10</v>
      </c>
      <c r="B22" s="135" t="s">
        <v>226</v>
      </c>
      <c r="D22" s="136">
        <f t="shared" ref="D22:E22" si="2">-D16</f>
        <v>-24173718.963481996</v>
      </c>
      <c r="E22" s="142">
        <f t="shared" si="2"/>
        <v>-41096273.81753172</v>
      </c>
      <c r="F22" s="142">
        <f t="shared" ref="F22:F24" si="3">+E22-D22</f>
        <v>-16922554.854049724</v>
      </c>
      <c r="L22" s="28"/>
    </row>
    <row r="23" spans="1:12" x14ac:dyDescent="0.2">
      <c r="A23" s="133">
        <f t="shared" si="0"/>
        <v>11</v>
      </c>
      <c r="B23" s="143" t="s">
        <v>245</v>
      </c>
      <c r="C23" s="144">
        <v>0.21</v>
      </c>
      <c r="D23" s="7">
        <f>-D22*C23</f>
        <v>5076480.9823312191</v>
      </c>
      <c r="E23" s="7">
        <f>-E22*C23</f>
        <v>8630217.5016816612</v>
      </c>
      <c r="F23" s="7">
        <f t="shared" si="3"/>
        <v>3553736.5193504421</v>
      </c>
      <c r="L23" s="28"/>
    </row>
    <row r="24" spans="1:12" x14ac:dyDescent="0.2">
      <c r="A24" s="133">
        <f t="shared" si="0"/>
        <v>12</v>
      </c>
      <c r="B24" s="143" t="s">
        <v>239</v>
      </c>
      <c r="C24" s="144">
        <f>ROUND('ARAM Colstrip'!J14,3)-C23</f>
        <v>0.12000000000000002</v>
      </c>
      <c r="D24" s="7">
        <f>-D22*C24</f>
        <v>2900846.2756178402</v>
      </c>
      <c r="E24" s="7">
        <f>D24</f>
        <v>2900846.2756178402</v>
      </c>
      <c r="F24" s="7">
        <f t="shared" si="3"/>
        <v>0</v>
      </c>
      <c r="L24" s="28"/>
    </row>
    <row r="25" spans="1:12" ht="13.5" thickBot="1" x14ac:dyDescent="0.25">
      <c r="A25" s="133">
        <f t="shared" si="0"/>
        <v>13</v>
      </c>
      <c r="B25" s="135" t="s">
        <v>104</v>
      </c>
      <c r="D25" s="31">
        <f>SUM(D22:D24)</f>
        <v>-16196391.705532936</v>
      </c>
      <c r="E25" s="31">
        <f>SUM(E22:E24)</f>
        <v>-29565210.040232215</v>
      </c>
      <c r="F25" s="31">
        <f>SUM(F22:F24)</f>
        <v>-13368818.334699281</v>
      </c>
      <c r="L25" s="28"/>
    </row>
    <row r="26" spans="1:12" ht="13.5" thickTop="1" x14ac:dyDescent="0.2">
      <c r="A26" s="133">
        <f t="shared" si="0"/>
        <v>14</v>
      </c>
      <c r="B26" s="135"/>
      <c r="D26" s="136"/>
      <c r="E26" s="136"/>
      <c r="F26" s="136"/>
      <c r="L26" s="28"/>
    </row>
    <row r="27" spans="1:12" x14ac:dyDescent="0.2">
      <c r="A27" s="133">
        <f t="shared" si="0"/>
        <v>15</v>
      </c>
      <c r="B27" s="135"/>
      <c r="D27" s="136"/>
      <c r="E27" s="136"/>
      <c r="F27" s="136"/>
      <c r="L27" s="28"/>
    </row>
    <row r="28" spans="1:12" x14ac:dyDescent="0.2">
      <c r="A28" s="133">
        <f t="shared" si="0"/>
        <v>16</v>
      </c>
      <c r="L28" s="28"/>
    </row>
    <row r="29" spans="1:12" x14ac:dyDescent="0.2">
      <c r="A29" s="133">
        <f t="shared" si="0"/>
        <v>17</v>
      </c>
      <c r="B29"/>
      <c r="C29"/>
      <c r="D29"/>
      <c r="E29"/>
      <c r="F29"/>
      <c r="G29"/>
      <c r="L29" s="28"/>
    </row>
    <row r="30" spans="1:12" x14ac:dyDescent="0.2">
      <c r="A30" s="133">
        <f t="shared" si="0"/>
        <v>18</v>
      </c>
      <c r="B30"/>
      <c r="C30"/>
      <c r="D30"/>
      <c r="E30"/>
      <c r="F30"/>
      <c r="G30"/>
      <c r="L30" s="28"/>
    </row>
    <row r="31" spans="1:12" x14ac:dyDescent="0.2">
      <c r="A31" s="133">
        <f t="shared" si="0"/>
        <v>19</v>
      </c>
      <c r="B31"/>
      <c r="C31"/>
      <c r="D31"/>
      <c r="E31"/>
      <c r="F31"/>
      <c r="G31"/>
      <c r="L31" s="28"/>
    </row>
    <row r="32" spans="1:12" x14ac:dyDescent="0.2">
      <c r="A32" s="133">
        <f t="shared" si="0"/>
        <v>20</v>
      </c>
      <c r="B32"/>
      <c r="C32"/>
      <c r="D32"/>
      <c r="E32"/>
      <c r="F32"/>
      <c r="G32"/>
      <c r="L32" s="28"/>
    </row>
    <row r="33" spans="1:17" x14ac:dyDescent="0.2">
      <c r="A33" s="133">
        <f t="shared" si="0"/>
        <v>21</v>
      </c>
      <c r="B33"/>
      <c r="C33"/>
      <c r="D33"/>
      <c r="E33"/>
      <c r="F33"/>
      <c r="G33"/>
      <c r="L33" s="28"/>
    </row>
    <row r="34" spans="1:17" x14ac:dyDescent="0.2">
      <c r="G34" s="6"/>
      <c r="H34" s="6"/>
      <c r="I34" s="6"/>
      <c r="J34" s="6"/>
      <c r="K34" s="6"/>
      <c r="M34" s="6"/>
      <c r="N34" s="6"/>
      <c r="O34" s="6"/>
      <c r="P34" s="6"/>
      <c r="Q34" s="6"/>
    </row>
    <row r="35" spans="1:17" x14ac:dyDescent="0.2">
      <c r="G35" s="6"/>
      <c r="H35" s="6"/>
      <c r="I35" s="6"/>
      <c r="J35" s="6"/>
      <c r="K35" s="6"/>
      <c r="M35" s="6"/>
      <c r="N35" s="6"/>
      <c r="O35" s="6"/>
      <c r="P35" s="6"/>
      <c r="Q35" s="6"/>
    </row>
    <row r="36" spans="1:17" x14ac:dyDescent="0.2">
      <c r="G36" s="6"/>
      <c r="H36" s="6"/>
      <c r="I36" s="6"/>
      <c r="J36" s="6"/>
      <c r="K36" s="6"/>
      <c r="M36" s="6"/>
      <c r="N36" s="6"/>
      <c r="O36" s="6"/>
      <c r="P36" s="6"/>
      <c r="Q36" s="6"/>
    </row>
    <row r="37" spans="1:17" x14ac:dyDescent="0.2">
      <c r="G37" s="6"/>
      <c r="H37" s="6"/>
      <c r="I37" s="6"/>
      <c r="J37" s="6"/>
      <c r="K37" s="6"/>
      <c r="M37" s="6"/>
      <c r="N37" s="6"/>
      <c r="O37" s="6"/>
      <c r="P37" s="6"/>
      <c r="Q37" s="6"/>
    </row>
    <row r="38" spans="1:17" x14ac:dyDescent="0.2">
      <c r="G38" s="6"/>
      <c r="H38" s="6"/>
      <c r="I38" s="6"/>
      <c r="J38" s="6"/>
      <c r="K38" s="6"/>
      <c r="M38" s="6"/>
      <c r="N38" s="6"/>
      <c r="O38" s="6"/>
      <c r="P38" s="6"/>
      <c r="Q38" s="6"/>
    </row>
    <row r="39" spans="1:17" x14ac:dyDescent="0.2">
      <c r="G39" s="6"/>
      <c r="H39" s="6"/>
      <c r="I39" s="6"/>
      <c r="J39" s="6"/>
      <c r="K39" s="6"/>
      <c r="M39" s="6"/>
      <c r="N39" s="6"/>
      <c r="O39" s="6"/>
      <c r="P39" s="6"/>
      <c r="Q39" s="6"/>
    </row>
    <row r="40" spans="1:17" x14ac:dyDescent="0.2">
      <c r="G40" s="6"/>
      <c r="H40" s="6"/>
      <c r="I40" s="6"/>
      <c r="J40" s="6"/>
      <c r="K40" s="6"/>
      <c r="M40" s="6"/>
      <c r="N40" s="6"/>
      <c r="O40" s="6"/>
      <c r="P40" s="6"/>
      <c r="Q40" s="6"/>
    </row>
    <row r="41" spans="1:17" x14ac:dyDescent="0.2">
      <c r="G41" s="6"/>
      <c r="H41" s="6"/>
      <c r="I41" s="6"/>
      <c r="J41" s="6"/>
      <c r="K41" s="6"/>
      <c r="M41" s="6"/>
      <c r="N41" s="6"/>
      <c r="O41" s="6"/>
      <c r="P41" s="6"/>
      <c r="Q41" s="6"/>
    </row>
    <row r="42" spans="1:17" x14ac:dyDescent="0.2">
      <c r="G42" s="6"/>
      <c r="H42" s="6"/>
      <c r="I42" s="6"/>
      <c r="J42" s="6"/>
      <c r="K42" s="6"/>
      <c r="M42" s="6"/>
      <c r="N42" s="6"/>
      <c r="O42" s="6"/>
      <c r="P42" s="6"/>
      <c r="Q42" s="6"/>
    </row>
    <row r="43" spans="1:17" x14ac:dyDescent="0.2">
      <c r="G43" s="6"/>
      <c r="H43" s="6"/>
      <c r="I43" s="6"/>
      <c r="J43" s="6"/>
      <c r="K43" s="6"/>
      <c r="M43" s="6"/>
      <c r="N43" s="6"/>
      <c r="O43" s="6"/>
      <c r="P43" s="6"/>
      <c r="Q43" s="6"/>
    </row>
    <row r="44" spans="1:17" x14ac:dyDescent="0.2">
      <c r="G44" s="6"/>
      <c r="H44" s="6"/>
      <c r="I44" s="6"/>
      <c r="J44" s="6"/>
      <c r="K44" s="6"/>
      <c r="M44" s="6"/>
      <c r="N44" s="6"/>
      <c r="O44" s="6"/>
      <c r="P44" s="6"/>
      <c r="Q44" s="6"/>
    </row>
    <row r="45" spans="1:17" x14ac:dyDescent="0.2">
      <c r="G45" s="6"/>
      <c r="H45" s="6"/>
      <c r="I45" s="6"/>
      <c r="J45" s="6"/>
      <c r="K45" s="6"/>
      <c r="M45" s="6"/>
      <c r="N45" s="6"/>
      <c r="O45" s="6"/>
      <c r="P45" s="6"/>
      <c r="Q45" s="6"/>
    </row>
    <row r="46" spans="1:17" x14ac:dyDescent="0.2">
      <c r="G46" s="6"/>
      <c r="H46" s="6"/>
      <c r="I46" s="6"/>
      <c r="J46" s="6"/>
      <c r="K46" s="6"/>
      <c r="M46" s="6"/>
      <c r="N46" s="6"/>
      <c r="O46" s="6"/>
      <c r="P46" s="6"/>
      <c r="Q46" s="6"/>
    </row>
    <row r="47" spans="1:17" x14ac:dyDescent="0.2">
      <c r="G47" s="6"/>
      <c r="H47" s="6"/>
      <c r="I47" s="6"/>
      <c r="J47" s="6"/>
      <c r="K47" s="6"/>
      <c r="M47" s="6"/>
      <c r="N47" s="6"/>
      <c r="O47" s="6"/>
      <c r="P47" s="6"/>
      <c r="Q47" s="6"/>
    </row>
    <row r="48" spans="1:17" x14ac:dyDescent="0.2">
      <c r="G48" s="6"/>
      <c r="H48" s="6"/>
      <c r="I48" s="6"/>
      <c r="J48" s="6"/>
      <c r="K48" s="6"/>
      <c r="M48" s="6"/>
      <c r="N48" s="6"/>
      <c r="O48" s="6"/>
      <c r="P48" s="6"/>
      <c r="Q48" s="6"/>
    </row>
    <row r="49" spans="7:17" x14ac:dyDescent="0.2">
      <c r="G49" s="6"/>
      <c r="H49" s="6"/>
      <c r="I49" s="6"/>
      <c r="J49" s="6"/>
      <c r="K49" s="6"/>
      <c r="M49" s="6"/>
      <c r="N49" s="6"/>
      <c r="O49" s="6"/>
      <c r="P49" s="6"/>
      <c r="Q49" s="6"/>
    </row>
    <row r="50" spans="7:17" x14ac:dyDescent="0.2">
      <c r="G50" s="6"/>
      <c r="H50" s="6"/>
      <c r="I50" s="6"/>
      <c r="J50" s="6"/>
      <c r="K50" s="6"/>
      <c r="M50" s="6"/>
      <c r="N50" s="6"/>
      <c r="O50" s="6"/>
      <c r="P50" s="6"/>
      <c r="Q50" s="6"/>
    </row>
    <row r="51" spans="7:17" x14ac:dyDescent="0.2">
      <c r="G51" s="6"/>
      <c r="H51" s="6"/>
      <c r="I51" s="6"/>
      <c r="J51" s="6"/>
      <c r="K51" s="6"/>
      <c r="M51" s="6"/>
      <c r="N51" s="6"/>
      <c r="O51" s="6"/>
      <c r="P51" s="6"/>
      <c r="Q51" s="6"/>
    </row>
    <row r="52" spans="7:17" x14ac:dyDescent="0.2">
      <c r="G52" s="6"/>
      <c r="H52" s="6"/>
      <c r="I52" s="6"/>
      <c r="J52" s="6"/>
      <c r="K52" s="6"/>
      <c r="M52" s="6"/>
      <c r="N52" s="6"/>
      <c r="O52" s="6"/>
      <c r="P52" s="6"/>
      <c r="Q52" s="6"/>
    </row>
    <row r="53" spans="7:17" x14ac:dyDescent="0.2">
      <c r="G53" s="6"/>
      <c r="H53" s="6"/>
      <c r="I53" s="6"/>
      <c r="J53" s="6"/>
      <c r="K53" s="6"/>
      <c r="M53" s="6"/>
      <c r="N53" s="6"/>
      <c r="O53" s="6"/>
      <c r="P53" s="6"/>
      <c r="Q53" s="6"/>
    </row>
    <row r="54" spans="7:17" x14ac:dyDescent="0.2">
      <c r="G54" s="6"/>
      <c r="H54" s="6"/>
      <c r="I54" s="6"/>
      <c r="J54" s="6"/>
      <c r="K54" s="6"/>
      <c r="M54" s="6"/>
      <c r="N54" s="6"/>
      <c r="O54" s="6"/>
      <c r="P54" s="6"/>
      <c r="Q54" s="6"/>
    </row>
    <row r="55" spans="7:17" x14ac:dyDescent="0.2">
      <c r="G55" s="6"/>
      <c r="H55" s="6"/>
      <c r="I55" s="6"/>
      <c r="J55" s="6"/>
      <c r="K55" s="6"/>
      <c r="M55" s="6"/>
      <c r="N55" s="6"/>
      <c r="O55" s="6"/>
      <c r="P55" s="6"/>
      <c r="Q55" s="6"/>
    </row>
    <row r="56" spans="7:17" x14ac:dyDescent="0.2">
      <c r="G56" s="6"/>
      <c r="H56" s="6"/>
      <c r="I56" s="6"/>
      <c r="J56" s="6"/>
      <c r="K56" s="6"/>
      <c r="M56" s="6"/>
      <c r="N56" s="6"/>
      <c r="O56" s="6"/>
      <c r="P56" s="6"/>
      <c r="Q56" s="6"/>
    </row>
    <row r="57" spans="7:17" x14ac:dyDescent="0.2">
      <c r="G57" s="6"/>
      <c r="H57" s="6"/>
      <c r="I57" s="6"/>
      <c r="J57" s="6"/>
      <c r="K57" s="6"/>
      <c r="M57" s="6"/>
      <c r="N57" s="6"/>
      <c r="O57" s="6"/>
      <c r="P57" s="6"/>
      <c r="Q57" s="6"/>
    </row>
    <row r="58" spans="7:17" x14ac:dyDescent="0.2">
      <c r="G58" s="6"/>
      <c r="H58" s="6"/>
      <c r="I58" s="6"/>
      <c r="J58" s="6"/>
      <c r="K58" s="6"/>
      <c r="M58" s="6"/>
      <c r="N58" s="6"/>
      <c r="O58" s="6"/>
      <c r="P58" s="6"/>
      <c r="Q58" s="6"/>
    </row>
    <row r="59" spans="7:17" x14ac:dyDescent="0.2">
      <c r="G59" s="6"/>
      <c r="H59" s="6"/>
      <c r="I59" s="6"/>
      <c r="J59" s="6"/>
      <c r="K59" s="6"/>
      <c r="M59" s="6"/>
      <c r="N59" s="6"/>
      <c r="O59" s="6"/>
      <c r="P59" s="6"/>
      <c r="Q59" s="6"/>
    </row>
    <row r="60" spans="7:17" x14ac:dyDescent="0.2">
      <c r="G60" s="6"/>
      <c r="H60" s="6"/>
      <c r="I60" s="6"/>
      <c r="J60" s="6"/>
      <c r="K60" s="6"/>
      <c r="M60" s="6"/>
      <c r="N60" s="6"/>
      <c r="O60" s="6"/>
      <c r="P60" s="6"/>
      <c r="Q60" s="6"/>
    </row>
    <row r="61" spans="7:17" x14ac:dyDescent="0.2">
      <c r="G61" s="6"/>
      <c r="H61" s="6"/>
      <c r="I61" s="6"/>
      <c r="J61" s="6"/>
      <c r="K61" s="6"/>
      <c r="M61" s="6"/>
      <c r="N61" s="6"/>
      <c r="O61" s="6"/>
      <c r="P61" s="6"/>
      <c r="Q61" s="6"/>
    </row>
    <row r="62" spans="7:17" x14ac:dyDescent="0.2">
      <c r="G62" s="6"/>
      <c r="H62" s="6"/>
      <c r="I62" s="6"/>
      <c r="J62" s="6"/>
      <c r="K62" s="6"/>
      <c r="M62" s="6"/>
      <c r="N62" s="6"/>
      <c r="O62" s="6"/>
      <c r="P62" s="6"/>
      <c r="Q62" s="6"/>
    </row>
    <row r="63" spans="7:17" x14ac:dyDescent="0.2">
      <c r="G63" s="6"/>
      <c r="H63" s="6"/>
      <c r="I63" s="6"/>
      <c r="J63" s="6"/>
      <c r="K63" s="6"/>
      <c r="M63" s="6"/>
      <c r="N63" s="6"/>
      <c r="O63" s="6"/>
      <c r="P63" s="6"/>
      <c r="Q63" s="6"/>
    </row>
    <row r="64" spans="7:17" x14ac:dyDescent="0.2">
      <c r="G64" s="6"/>
      <c r="H64" s="6"/>
      <c r="I64" s="6"/>
      <c r="J64" s="6"/>
      <c r="K64" s="6"/>
      <c r="M64" s="6"/>
      <c r="N64" s="6"/>
      <c r="O64" s="6"/>
      <c r="P64" s="6"/>
      <c r="Q64" s="6"/>
    </row>
    <row r="65" spans="7:17" x14ac:dyDescent="0.2">
      <c r="G65" s="6"/>
      <c r="H65" s="6"/>
      <c r="I65" s="6"/>
      <c r="J65" s="6"/>
      <c r="K65" s="6"/>
      <c r="M65" s="6"/>
      <c r="N65" s="6"/>
      <c r="O65" s="6"/>
      <c r="P65" s="6"/>
      <c r="Q65" s="6"/>
    </row>
    <row r="66" spans="7:17" x14ac:dyDescent="0.2">
      <c r="G66" s="6"/>
      <c r="H66" s="6"/>
      <c r="I66" s="6"/>
      <c r="J66" s="6"/>
      <c r="K66" s="6"/>
      <c r="M66" s="6"/>
      <c r="N66" s="6"/>
      <c r="O66" s="6"/>
      <c r="P66" s="6"/>
      <c r="Q66" s="6"/>
    </row>
    <row r="67" spans="7:17" x14ac:dyDescent="0.2">
      <c r="G67" s="6"/>
      <c r="H67" s="6"/>
      <c r="I67" s="6"/>
      <c r="J67" s="6"/>
      <c r="K67" s="6"/>
      <c r="M67" s="6"/>
      <c r="N67" s="6"/>
      <c r="O67" s="6"/>
      <c r="P67" s="6"/>
      <c r="Q67" s="6"/>
    </row>
    <row r="68" spans="7:17" x14ac:dyDescent="0.2">
      <c r="G68" s="6"/>
      <c r="H68" s="6"/>
      <c r="I68" s="6"/>
      <c r="J68" s="6"/>
      <c r="K68" s="6"/>
      <c r="M68" s="6"/>
      <c r="N68" s="6"/>
      <c r="O68" s="6"/>
      <c r="P68" s="6"/>
      <c r="Q68" s="6"/>
    </row>
    <row r="69" spans="7:17" x14ac:dyDescent="0.2">
      <c r="G69" s="6"/>
      <c r="H69" s="6"/>
      <c r="I69" s="6"/>
      <c r="J69" s="6"/>
      <c r="K69" s="6"/>
      <c r="M69" s="6"/>
      <c r="N69" s="6"/>
      <c r="O69" s="6"/>
      <c r="P69" s="6"/>
      <c r="Q69" s="6"/>
    </row>
    <row r="70" spans="7:17" x14ac:dyDescent="0.2">
      <c r="G70" s="6"/>
      <c r="H70" s="6"/>
      <c r="I70" s="6"/>
      <c r="J70" s="6"/>
      <c r="K70" s="6"/>
      <c r="M70" s="6"/>
      <c r="N70" s="6"/>
      <c r="O70" s="6"/>
      <c r="P70" s="6"/>
      <c r="Q70" s="6"/>
    </row>
    <row r="71" spans="7:17" x14ac:dyDescent="0.2">
      <c r="G71" s="6"/>
      <c r="H71" s="6"/>
      <c r="I71" s="6"/>
      <c r="J71" s="6"/>
      <c r="K71" s="6"/>
      <c r="M71" s="6"/>
      <c r="N71" s="6"/>
      <c r="O71" s="6"/>
      <c r="P71" s="6"/>
      <c r="Q71" s="6"/>
    </row>
    <row r="72" spans="7:17" x14ac:dyDescent="0.2">
      <c r="G72" s="6"/>
      <c r="H72" s="6"/>
      <c r="I72" s="6"/>
      <c r="J72" s="6"/>
      <c r="K72" s="6"/>
      <c r="M72" s="6"/>
      <c r="N72" s="6"/>
      <c r="O72" s="6"/>
      <c r="P72" s="6"/>
      <c r="Q72" s="6"/>
    </row>
    <row r="73" spans="7:17" x14ac:dyDescent="0.2">
      <c r="G73" s="6"/>
      <c r="H73" s="6"/>
      <c r="I73" s="6"/>
      <c r="J73" s="6"/>
      <c r="K73" s="6"/>
      <c r="M73" s="6"/>
      <c r="N73" s="6"/>
      <c r="O73" s="6"/>
      <c r="P73" s="6"/>
      <c r="Q73" s="6"/>
    </row>
    <row r="74" spans="7:17" x14ac:dyDescent="0.2">
      <c r="G74" s="6"/>
      <c r="H74" s="6"/>
      <c r="I74" s="6"/>
      <c r="J74" s="6"/>
      <c r="K74" s="6"/>
      <c r="M74" s="6"/>
      <c r="N74" s="6"/>
      <c r="O74" s="6"/>
      <c r="P74" s="6"/>
      <c r="Q74" s="6"/>
    </row>
    <row r="75" spans="7:17" x14ac:dyDescent="0.2">
      <c r="G75" s="6"/>
      <c r="H75" s="6"/>
      <c r="I75" s="6"/>
      <c r="J75" s="6"/>
      <c r="K75" s="6"/>
      <c r="M75" s="6"/>
      <c r="N75" s="6"/>
      <c r="O75" s="6"/>
      <c r="P75" s="6"/>
      <c r="Q75" s="6"/>
    </row>
    <row r="76" spans="7:17" x14ac:dyDescent="0.2">
      <c r="G76" s="6"/>
      <c r="H76" s="6"/>
      <c r="I76" s="6"/>
      <c r="J76" s="6"/>
      <c r="K76" s="6"/>
      <c r="M76" s="6"/>
      <c r="N76" s="6"/>
      <c r="O76" s="6"/>
      <c r="P76" s="6"/>
      <c r="Q76" s="6"/>
    </row>
    <row r="77" spans="7:17" x14ac:dyDescent="0.2">
      <c r="G77" s="6"/>
      <c r="H77" s="6"/>
      <c r="I77" s="6"/>
      <c r="J77" s="6"/>
      <c r="K77" s="6"/>
      <c r="M77" s="6"/>
      <c r="N77" s="6"/>
      <c r="O77" s="6"/>
      <c r="P77" s="6"/>
      <c r="Q77" s="6"/>
    </row>
    <row r="78" spans="7:17" x14ac:dyDescent="0.2">
      <c r="G78" s="6"/>
      <c r="H78" s="6"/>
      <c r="I78" s="6"/>
      <c r="J78" s="6"/>
      <c r="K78" s="6"/>
      <c r="M78" s="6"/>
      <c r="N78" s="6"/>
      <c r="O78" s="6"/>
      <c r="P78" s="6"/>
      <c r="Q78" s="6"/>
    </row>
    <row r="79" spans="7:17" x14ac:dyDescent="0.2">
      <c r="G79" s="6"/>
      <c r="H79" s="6"/>
      <c r="I79" s="6"/>
      <c r="J79" s="6"/>
      <c r="K79" s="6"/>
      <c r="M79" s="6"/>
      <c r="N79" s="6"/>
      <c r="O79" s="6"/>
      <c r="P79" s="6"/>
      <c r="Q79" s="6"/>
    </row>
    <row r="80" spans="7:17" x14ac:dyDescent="0.2">
      <c r="G80" s="6"/>
      <c r="H80" s="6"/>
      <c r="I80" s="6"/>
      <c r="J80" s="6"/>
      <c r="K80" s="6"/>
      <c r="M80" s="6"/>
      <c r="N80" s="6"/>
      <c r="O80" s="6"/>
      <c r="P80" s="6"/>
      <c r="Q80" s="6"/>
    </row>
    <row r="81" spans="7:17" x14ac:dyDescent="0.2">
      <c r="G81" s="6"/>
      <c r="H81" s="6"/>
      <c r="I81" s="6"/>
      <c r="J81" s="6"/>
      <c r="K81" s="6"/>
      <c r="M81" s="6"/>
      <c r="N81" s="6"/>
      <c r="O81" s="6"/>
      <c r="P81" s="6"/>
      <c r="Q81" s="6"/>
    </row>
    <row r="82" spans="7:17" x14ac:dyDescent="0.2">
      <c r="G82" s="6"/>
      <c r="H82" s="6"/>
      <c r="I82" s="6"/>
      <c r="J82" s="6"/>
      <c r="K82" s="6"/>
      <c r="M82" s="6"/>
      <c r="N82" s="6"/>
      <c r="O82" s="6"/>
      <c r="P82" s="6"/>
      <c r="Q82" s="6"/>
    </row>
    <row r="83" spans="7:17" x14ac:dyDescent="0.2">
      <c r="G83" s="6"/>
      <c r="H83" s="6"/>
      <c r="I83" s="6"/>
      <c r="J83" s="6"/>
      <c r="K83" s="6"/>
      <c r="M83" s="6"/>
      <c r="N83" s="6"/>
      <c r="O83" s="6"/>
      <c r="P83" s="6"/>
      <c r="Q83" s="6"/>
    </row>
    <row r="84" spans="7:17" x14ac:dyDescent="0.2">
      <c r="G84" s="6"/>
      <c r="H84" s="6"/>
      <c r="I84" s="6"/>
      <c r="J84" s="6"/>
      <c r="K84" s="6"/>
      <c r="M84" s="6"/>
      <c r="N84" s="6"/>
      <c r="O84" s="6"/>
      <c r="P84" s="6"/>
      <c r="Q84" s="6"/>
    </row>
    <row r="85" spans="7:17" x14ac:dyDescent="0.2">
      <c r="G85" s="6"/>
      <c r="H85" s="6"/>
      <c r="I85" s="6"/>
      <c r="J85" s="6"/>
      <c r="K85" s="6"/>
      <c r="M85" s="6"/>
      <c r="N85" s="6"/>
      <c r="O85" s="6"/>
      <c r="P85" s="6"/>
      <c r="Q85" s="6"/>
    </row>
    <row r="86" spans="7:17" x14ac:dyDescent="0.2">
      <c r="G86" s="6"/>
      <c r="H86" s="6"/>
      <c r="I86" s="6"/>
      <c r="J86" s="6"/>
      <c r="K86" s="6"/>
      <c r="M86" s="6"/>
      <c r="N86" s="6"/>
      <c r="O86" s="6"/>
      <c r="P86" s="6"/>
      <c r="Q86" s="6"/>
    </row>
    <row r="87" spans="7:17" x14ac:dyDescent="0.2">
      <c r="G87" s="6"/>
      <c r="H87" s="6"/>
      <c r="I87" s="6"/>
      <c r="J87" s="6"/>
      <c r="K87" s="6"/>
      <c r="M87" s="6"/>
      <c r="N87" s="6"/>
      <c r="O87" s="6"/>
      <c r="P87" s="6"/>
      <c r="Q87" s="6"/>
    </row>
    <row r="88" spans="7:17" x14ac:dyDescent="0.2">
      <c r="G88" s="6"/>
      <c r="H88" s="6"/>
      <c r="I88" s="6"/>
      <c r="J88" s="6"/>
      <c r="K88" s="6"/>
      <c r="M88" s="6"/>
      <c r="N88" s="6"/>
      <c r="O88" s="6"/>
      <c r="P88" s="6"/>
      <c r="Q88" s="6"/>
    </row>
    <row r="89" spans="7:17" x14ac:dyDescent="0.2">
      <c r="G89" s="6"/>
      <c r="H89" s="6"/>
      <c r="I89" s="6"/>
      <c r="J89" s="6"/>
      <c r="K89" s="6"/>
      <c r="M89" s="6"/>
      <c r="N89" s="6"/>
      <c r="O89" s="6"/>
      <c r="P89" s="6"/>
      <c r="Q89" s="6"/>
    </row>
    <row r="90" spans="7:17" x14ac:dyDescent="0.2">
      <c r="G90" s="6"/>
      <c r="H90" s="6"/>
      <c r="I90" s="6"/>
      <c r="J90" s="6"/>
      <c r="K90" s="6"/>
      <c r="M90" s="6"/>
      <c r="N90" s="6"/>
      <c r="O90" s="6"/>
      <c r="P90" s="6"/>
      <c r="Q90" s="6"/>
    </row>
    <row r="91" spans="7:17" x14ac:dyDescent="0.2">
      <c r="G91" s="6"/>
      <c r="H91" s="6"/>
      <c r="I91" s="6"/>
      <c r="J91" s="6"/>
      <c r="K91" s="6"/>
      <c r="M91" s="6"/>
      <c r="N91" s="6"/>
      <c r="O91" s="6"/>
      <c r="P91" s="6"/>
      <c r="Q91" s="6"/>
    </row>
    <row r="92" spans="7:17" x14ac:dyDescent="0.2">
      <c r="G92" s="6"/>
      <c r="H92" s="6"/>
      <c r="I92" s="6"/>
      <c r="J92" s="6"/>
      <c r="K92" s="6"/>
      <c r="M92" s="6"/>
      <c r="N92" s="6"/>
      <c r="O92" s="6"/>
      <c r="P92" s="6"/>
      <c r="Q92" s="6"/>
    </row>
    <row r="93" spans="7:17" x14ac:dyDescent="0.2">
      <c r="G93" s="6"/>
      <c r="H93" s="6"/>
      <c r="I93" s="6"/>
      <c r="J93" s="6"/>
      <c r="K93" s="6"/>
      <c r="M93" s="6"/>
      <c r="N93" s="6"/>
      <c r="O93" s="6"/>
      <c r="P93" s="6"/>
      <c r="Q93" s="6"/>
    </row>
    <row r="94" spans="7:17" x14ac:dyDescent="0.2">
      <c r="G94" s="6"/>
      <c r="H94" s="6"/>
      <c r="I94" s="6"/>
      <c r="J94" s="6"/>
      <c r="K94" s="6"/>
      <c r="M94" s="6"/>
      <c r="N94" s="6"/>
      <c r="O94" s="6"/>
      <c r="P94" s="6"/>
      <c r="Q94" s="6"/>
    </row>
    <row r="95" spans="7:17" x14ac:dyDescent="0.2">
      <c r="G95" s="6"/>
      <c r="H95" s="6"/>
      <c r="I95" s="6"/>
      <c r="J95" s="6"/>
      <c r="K95" s="6"/>
      <c r="M95" s="6"/>
      <c r="N95" s="6"/>
      <c r="O95" s="6"/>
      <c r="P95" s="6"/>
      <c r="Q95" s="6"/>
    </row>
    <row r="96" spans="7:17" x14ac:dyDescent="0.2">
      <c r="G96" s="6"/>
      <c r="H96" s="6"/>
      <c r="I96" s="6"/>
      <c r="J96" s="6"/>
      <c r="K96" s="6"/>
      <c r="M96" s="6"/>
      <c r="N96" s="6"/>
      <c r="O96" s="6"/>
      <c r="P96" s="6"/>
      <c r="Q96" s="6"/>
    </row>
    <row r="97" spans="7:17" x14ac:dyDescent="0.2">
      <c r="G97" s="6"/>
      <c r="H97" s="6"/>
      <c r="I97" s="6"/>
      <c r="J97" s="6"/>
      <c r="K97" s="6"/>
      <c r="M97" s="6"/>
      <c r="N97" s="6"/>
      <c r="O97" s="6"/>
      <c r="P97" s="6"/>
      <c r="Q97" s="6"/>
    </row>
    <row r="98" spans="7:17" x14ac:dyDescent="0.2">
      <c r="G98" s="6"/>
      <c r="H98" s="6"/>
      <c r="I98" s="6"/>
      <c r="J98" s="6"/>
      <c r="K98" s="6"/>
      <c r="M98" s="6"/>
      <c r="N98" s="6"/>
      <c r="O98" s="6"/>
      <c r="P98" s="6"/>
      <c r="Q98" s="6"/>
    </row>
    <row r="99" spans="7:17" x14ac:dyDescent="0.2">
      <c r="G99" s="6"/>
      <c r="H99" s="6"/>
      <c r="I99" s="6"/>
      <c r="J99" s="6"/>
      <c r="K99" s="6"/>
      <c r="M99" s="6"/>
      <c r="N99" s="6"/>
      <c r="O99" s="6"/>
      <c r="P99" s="6"/>
      <c r="Q99" s="6"/>
    </row>
    <row r="100" spans="7:17" x14ac:dyDescent="0.2">
      <c r="G100" s="6"/>
      <c r="H100" s="6"/>
      <c r="I100" s="6"/>
      <c r="J100" s="6"/>
      <c r="K100" s="6"/>
      <c r="M100" s="6"/>
      <c r="N100" s="6"/>
      <c r="O100" s="6"/>
      <c r="P100" s="6"/>
      <c r="Q100" s="6"/>
    </row>
    <row r="101" spans="7:17" x14ac:dyDescent="0.2">
      <c r="G101" s="6"/>
      <c r="H101" s="6"/>
      <c r="I101" s="6"/>
      <c r="J101" s="6"/>
      <c r="K101" s="6"/>
      <c r="M101" s="6"/>
      <c r="N101" s="6"/>
      <c r="O101" s="6"/>
      <c r="P101" s="6"/>
      <c r="Q101" s="6"/>
    </row>
    <row r="102" spans="7:17" x14ac:dyDescent="0.2">
      <c r="G102" s="6"/>
      <c r="H102" s="6"/>
      <c r="I102" s="6"/>
      <c r="J102" s="6"/>
      <c r="K102" s="6"/>
      <c r="M102" s="6"/>
      <c r="N102" s="6"/>
      <c r="O102" s="6"/>
      <c r="P102" s="6"/>
      <c r="Q102" s="6"/>
    </row>
    <row r="103" spans="7:17" x14ac:dyDescent="0.2">
      <c r="G103" s="6"/>
      <c r="H103" s="6"/>
      <c r="I103" s="6"/>
      <c r="J103" s="6"/>
      <c r="K103" s="6"/>
      <c r="M103" s="6"/>
      <c r="N103" s="6"/>
      <c r="O103" s="6"/>
      <c r="P103" s="6"/>
      <c r="Q103" s="6"/>
    </row>
    <row r="104" spans="7:17" x14ac:dyDescent="0.2">
      <c r="G104" s="6"/>
      <c r="H104" s="6"/>
      <c r="I104" s="6"/>
      <c r="J104" s="6"/>
      <c r="K104" s="6"/>
      <c r="M104" s="6"/>
      <c r="N104" s="6"/>
      <c r="O104" s="6"/>
      <c r="P104" s="6"/>
      <c r="Q104" s="6"/>
    </row>
    <row r="105" spans="7:17" x14ac:dyDescent="0.2">
      <c r="G105" s="6"/>
      <c r="H105" s="6"/>
      <c r="I105" s="6"/>
      <c r="J105" s="6"/>
      <c r="K105" s="6"/>
      <c r="M105" s="6"/>
      <c r="N105" s="6"/>
      <c r="O105" s="6"/>
      <c r="P105" s="6"/>
      <c r="Q105" s="6"/>
    </row>
    <row r="106" spans="7:17" x14ac:dyDescent="0.2">
      <c r="G106" s="6"/>
      <c r="H106" s="6"/>
      <c r="I106" s="6"/>
      <c r="J106" s="6"/>
      <c r="K106" s="6"/>
      <c r="M106" s="6"/>
      <c r="N106" s="6"/>
      <c r="O106" s="6"/>
      <c r="P106" s="6"/>
      <c r="Q106" s="6"/>
    </row>
    <row r="107" spans="7:17" x14ac:dyDescent="0.2">
      <c r="G107" s="6"/>
      <c r="H107" s="6"/>
      <c r="I107" s="6"/>
      <c r="J107" s="6"/>
      <c r="K107" s="6"/>
      <c r="M107" s="6"/>
      <c r="N107" s="6"/>
      <c r="O107" s="6"/>
      <c r="P107" s="6"/>
      <c r="Q107" s="6"/>
    </row>
    <row r="108" spans="7:17" x14ac:dyDescent="0.2">
      <c r="G108" s="6"/>
      <c r="H108" s="6"/>
      <c r="I108" s="6"/>
      <c r="J108" s="6"/>
      <c r="K108" s="6"/>
      <c r="M108" s="6"/>
      <c r="N108" s="6"/>
      <c r="O108" s="6"/>
      <c r="P108" s="6"/>
      <c r="Q108" s="6"/>
    </row>
    <row r="109" spans="7:17" x14ac:dyDescent="0.2">
      <c r="G109" s="6"/>
      <c r="H109" s="6"/>
      <c r="I109" s="6"/>
      <c r="J109" s="6"/>
      <c r="K109" s="6"/>
      <c r="M109" s="6"/>
      <c r="N109" s="6"/>
      <c r="O109" s="6"/>
      <c r="P109" s="6"/>
      <c r="Q109" s="6"/>
    </row>
    <row r="110" spans="7:17" x14ac:dyDescent="0.2">
      <c r="G110" s="6"/>
      <c r="H110" s="6"/>
      <c r="I110" s="6"/>
      <c r="J110" s="6"/>
      <c r="K110" s="6"/>
      <c r="M110" s="6"/>
      <c r="N110" s="6"/>
      <c r="O110" s="6"/>
      <c r="P110" s="6"/>
      <c r="Q110" s="6"/>
    </row>
    <row r="111" spans="7:17" x14ac:dyDescent="0.2">
      <c r="G111" s="6"/>
      <c r="H111" s="6"/>
      <c r="I111" s="6"/>
      <c r="J111" s="6"/>
      <c r="K111" s="6"/>
      <c r="M111" s="6"/>
      <c r="N111" s="6"/>
      <c r="O111" s="6"/>
      <c r="P111" s="6"/>
      <c r="Q111" s="6"/>
    </row>
    <row r="112" spans="7:17" x14ac:dyDescent="0.2">
      <c r="G112" s="6"/>
      <c r="H112" s="6"/>
      <c r="I112" s="6"/>
      <c r="J112" s="6"/>
      <c r="K112" s="6"/>
      <c r="M112" s="6"/>
      <c r="N112" s="6"/>
      <c r="O112" s="6"/>
      <c r="P112" s="6"/>
      <c r="Q112" s="6"/>
    </row>
    <row r="113" spans="7:17" x14ac:dyDescent="0.2">
      <c r="G113" s="6"/>
      <c r="H113" s="6"/>
      <c r="I113" s="6"/>
      <c r="J113" s="6"/>
      <c r="K113" s="6"/>
      <c r="M113" s="6"/>
      <c r="N113" s="6"/>
      <c r="O113" s="6"/>
      <c r="P113" s="6"/>
      <c r="Q113" s="6"/>
    </row>
    <row r="114" spans="7:17" x14ac:dyDescent="0.2">
      <c r="G114" s="6"/>
      <c r="H114" s="6"/>
      <c r="I114" s="6"/>
      <c r="J114" s="6"/>
      <c r="K114" s="6"/>
      <c r="M114" s="6"/>
      <c r="N114" s="6"/>
      <c r="O114" s="6"/>
      <c r="P114" s="6"/>
      <c r="Q114" s="6"/>
    </row>
    <row r="115" spans="7:17" x14ac:dyDescent="0.2">
      <c r="G115" s="6"/>
      <c r="H115" s="6"/>
      <c r="I115" s="6"/>
      <c r="J115" s="6"/>
      <c r="K115" s="6"/>
      <c r="M115" s="6"/>
      <c r="N115" s="6"/>
      <c r="O115" s="6"/>
      <c r="P115" s="6"/>
      <c r="Q115" s="6"/>
    </row>
    <row r="116" spans="7:17" x14ac:dyDescent="0.2">
      <c r="G116" s="6"/>
      <c r="H116" s="6"/>
      <c r="I116" s="6"/>
      <c r="J116" s="6"/>
      <c r="K116" s="6"/>
      <c r="M116" s="6"/>
      <c r="N116" s="6"/>
      <c r="O116" s="6"/>
      <c r="P116" s="6"/>
      <c r="Q116" s="6"/>
    </row>
    <row r="117" spans="7:17" x14ac:dyDescent="0.2">
      <c r="G117" s="6"/>
      <c r="H117" s="6"/>
      <c r="I117" s="6"/>
      <c r="J117" s="6"/>
      <c r="K117" s="6"/>
      <c r="M117" s="6"/>
      <c r="N117" s="6"/>
      <c r="O117" s="6"/>
      <c r="P117" s="6"/>
      <c r="Q117" s="6"/>
    </row>
    <row r="118" spans="7:17" x14ac:dyDescent="0.2">
      <c r="G118" s="6"/>
      <c r="H118" s="6"/>
      <c r="I118" s="6"/>
      <c r="J118" s="6"/>
      <c r="K118" s="6"/>
      <c r="M118" s="6"/>
      <c r="N118" s="6"/>
      <c r="O118" s="6"/>
      <c r="P118" s="6"/>
      <c r="Q118" s="6"/>
    </row>
    <row r="119" spans="7:17" x14ac:dyDescent="0.2">
      <c r="G119" s="6"/>
      <c r="H119" s="6"/>
      <c r="I119" s="6"/>
      <c r="J119" s="6"/>
      <c r="K119" s="6"/>
      <c r="M119" s="6"/>
      <c r="N119" s="6"/>
      <c r="O119" s="6"/>
      <c r="P119" s="6"/>
      <c r="Q119" s="6"/>
    </row>
    <row r="120" spans="7:17" x14ac:dyDescent="0.2">
      <c r="G120" s="6"/>
      <c r="H120" s="6"/>
      <c r="I120" s="6"/>
      <c r="J120" s="6"/>
      <c r="K120" s="6"/>
      <c r="M120" s="6"/>
      <c r="N120" s="6"/>
      <c r="O120" s="6"/>
      <c r="P120" s="6"/>
      <c r="Q120" s="6"/>
    </row>
    <row r="121" spans="7:17" x14ac:dyDescent="0.2">
      <c r="G121" s="6"/>
      <c r="H121" s="6"/>
      <c r="I121" s="6"/>
      <c r="J121" s="6"/>
      <c r="K121" s="6"/>
      <c r="M121" s="6"/>
      <c r="N121" s="6"/>
      <c r="O121" s="6"/>
      <c r="P121" s="6"/>
      <c r="Q121" s="6"/>
    </row>
    <row r="122" spans="7:17" x14ac:dyDescent="0.2">
      <c r="G122" s="6"/>
      <c r="H122" s="6"/>
      <c r="I122" s="6"/>
      <c r="J122" s="6"/>
      <c r="K122" s="6"/>
      <c r="M122" s="6"/>
      <c r="N122" s="6"/>
      <c r="O122" s="6"/>
      <c r="P122" s="6"/>
      <c r="Q122" s="6"/>
    </row>
    <row r="123" spans="7:17" x14ac:dyDescent="0.2">
      <c r="G123" s="6"/>
      <c r="H123" s="6"/>
      <c r="I123" s="6"/>
      <c r="J123" s="6"/>
      <c r="K123" s="6"/>
      <c r="M123" s="6"/>
      <c r="N123" s="6"/>
      <c r="O123" s="6"/>
      <c r="P123" s="6"/>
      <c r="Q123" s="6"/>
    </row>
    <row r="124" spans="7:17" x14ac:dyDescent="0.2">
      <c r="G124" s="6"/>
      <c r="H124" s="6"/>
      <c r="I124" s="6"/>
      <c r="J124" s="6"/>
      <c r="K124" s="6"/>
      <c r="M124" s="6"/>
      <c r="N124" s="6"/>
      <c r="O124" s="6"/>
      <c r="P124" s="6"/>
      <c r="Q124" s="6"/>
    </row>
    <row r="125" spans="7:17" x14ac:dyDescent="0.2">
      <c r="G125" s="6"/>
      <c r="H125" s="6"/>
      <c r="I125" s="6"/>
      <c r="J125" s="6"/>
      <c r="K125" s="6"/>
      <c r="M125" s="6"/>
      <c r="N125" s="6"/>
      <c r="O125" s="6"/>
      <c r="P125" s="6"/>
      <c r="Q125" s="6"/>
    </row>
    <row r="126" spans="7:17" x14ac:dyDescent="0.2">
      <c r="G126" s="6"/>
      <c r="H126" s="6"/>
      <c r="I126" s="6"/>
      <c r="J126" s="6"/>
      <c r="K126" s="6"/>
      <c r="M126" s="6"/>
      <c r="N126" s="6"/>
      <c r="O126" s="6"/>
      <c r="P126" s="6"/>
      <c r="Q126" s="6"/>
    </row>
    <row r="127" spans="7:17" x14ac:dyDescent="0.2">
      <c r="G127" s="6"/>
      <c r="H127" s="6"/>
      <c r="I127" s="6"/>
      <c r="J127" s="6"/>
      <c r="K127" s="6"/>
      <c r="M127" s="6"/>
      <c r="N127" s="6"/>
      <c r="O127" s="6"/>
      <c r="P127" s="6"/>
      <c r="Q127" s="6"/>
    </row>
    <row r="128" spans="7:17" x14ac:dyDescent="0.2">
      <c r="G128" s="6"/>
      <c r="H128" s="6"/>
      <c r="I128" s="6"/>
      <c r="J128" s="6"/>
      <c r="K128" s="6"/>
      <c r="M128" s="6"/>
      <c r="N128" s="6"/>
      <c r="O128" s="6"/>
      <c r="P128" s="6"/>
      <c r="Q128" s="6"/>
    </row>
    <row r="129" spans="7:17" x14ac:dyDescent="0.2">
      <c r="G129" s="6"/>
      <c r="H129" s="6"/>
      <c r="I129" s="6"/>
      <c r="J129" s="6"/>
      <c r="K129" s="6"/>
      <c r="M129" s="6"/>
      <c r="N129" s="6"/>
      <c r="O129" s="6"/>
      <c r="P129" s="6"/>
      <c r="Q129" s="6"/>
    </row>
    <row r="130" spans="7:17" x14ac:dyDescent="0.2">
      <c r="G130" s="6"/>
      <c r="H130" s="6"/>
      <c r="I130" s="6"/>
      <c r="J130" s="6"/>
      <c r="K130" s="6"/>
      <c r="M130" s="6"/>
      <c r="N130" s="6"/>
      <c r="O130" s="6"/>
      <c r="P130" s="6"/>
      <c r="Q130" s="6"/>
    </row>
    <row r="131" spans="7:17" x14ac:dyDescent="0.2">
      <c r="G131" s="6"/>
      <c r="H131" s="6"/>
      <c r="I131" s="6"/>
      <c r="J131" s="6"/>
      <c r="K131" s="6"/>
      <c r="M131" s="6"/>
      <c r="N131" s="6"/>
      <c r="O131" s="6"/>
      <c r="P131" s="6"/>
      <c r="Q131" s="6"/>
    </row>
    <row r="132" spans="7:17" x14ac:dyDescent="0.2">
      <c r="G132" s="6"/>
      <c r="H132" s="6"/>
      <c r="I132" s="6"/>
      <c r="J132" s="6"/>
      <c r="K132" s="6"/>
      <c r="M132" s="6"/>
      <c r="N132" s="6"/>
      <c r="O132" s="6"/>
      <c r="P132" s="6"/>
      <c r="Q132" s="6"/>
    </row>
    <row r="133" spans="7:17" x14ac:dyDescent="0.2">
      <c r="G133" s="6"/>
      <c r="H133" s="6"/>
      <c r="I133" s="6"/>
      <c r="J133" s="6"/>
      <c r="K133" s="6"/>
      <c r="M133" s="6"/>
      <c r="N133" s="6"/>
      <c r="O133" s="6"/>
      <c r="P133" s="6"/>
      <c r="Q133" s="6"/>
    </row>
    <row r="134" spans="7:17" x14ac:dyDescent="0.2">
      <c r="G134" s="6"/>
      <c r="H134" s="6"/>
      <c r="I134" s="6"/>
      <c r="J134" s="6"/>
      <c r="K134" s="6"/>
      <c r="M134" s="6"/>
      <c r="N134" s="6"/>
      <c r="O134" s="6"/>
      <c r="P134" s="6"/>
      <c r="Q134" s="6"/>
    </row>
    <row r="135" spans="7:17" x14ac:dyDescent="0.2">
      <c r="G135" s="6"/>
      <c r="H135" s="6"/>
      <c r="I135" s="6"/>
      <c r="J135" s="6"/>
      <c r="K135" s="6"/>
      <c r="M135" s="6"/>
      <c r="N135" s="6"/>
      <c r="O135" s="6"/>
      <c r="P135" s="6"/>
      <c r="Q135" s="6"/>
    </row>
    <row r="136" spans="7:17" x14ac:dyDescent="0.2">
      <c r="G136" s="6"/>
      <c r="H136" s="6"/>
      <c r="I136" s="6"/>
      <c r="J136" s="6"/>
      <c r="K136" s="6"/>
      <c r="M136" s="6"/>
      <c r="N136" s="6"/>
      <c r="O136" s="6"/>
      <c r="P136" s="6"/>
      <c r="Q136" s="6"/>
    </row>
    <row r="137" spans="7:17" x14ac:dyDescent="0.2">
      <c r="G137" s="6"/>
      <c r="H137" s="6"/>
      <c r="I137" s="6"/>
      <c r="J137" s="6"/>
      <c r="K137" s="6"/>
      <c r="M137" s="6"/>
      <c r="N137" s="6"/>
      <c r="O137" s="6"/>
      <c r="P137" s="6"/>
      <c r="Q137" s="6"/>
    </row>
  </sheetData>
  <pageMargins left="0.7" right="0.7" top="0.75" bottom="0.75" header="0.3" footer="0.3"/>
  <pageSetup scale="83" orientation="landscape" r:id="rId1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51"/>
  <sheetViews>
    <sheetView zoomScaleNormal="100" workbookViewId="0">
      <pane ySplit="2" topLeftCell="A3" activePane="bottomLeft" state="frozen"/>
      <selection sqref="A1:XFD1048576"/>
      <selection pane="bottomLeft" activeCell="D4" sqref="D4"/>
    </sheetView>
  </sheetViews>
  <sheetFormatPr defaultColWidth="8.85546875" defaultRowHeight="15" x14ac:dyDescent="0.25"/>
  <cols>
    <col min="1" max="1" width="8.85546875" style="33"/>
    <col min="2" max="2" width="37.85546875" style="33" customWidth="1"/>
    <col min="3" max="3" width="13.28515625" style="33" customWidth="1"/>
    <col min="4" max="4" width="15.28515625" style="33" bestFit="1" customWidth="1"/>
    <col min="5" max="5" width="15.28515625" style="38" customWidth="1"/>
    <col min="6" max="6" width="14.28515625" style="33" customWidth="1"/>
    <col min="7" max="7" width="14.7109375" style="33" customWidth="1"/>
    <col min="8" max="8" width="17" style="33" bestFit="1" customWidth="1"/>
    <col min="9" max="9" width="16" style="33" bestFit="1" customWidth="1"/>
    <col min="10" max="10" width="11" style="33" customWidth="1"/>
    <col min="11" max="11" width="39.42578125" style="33" bestFit="1" customWidth="1"/>
    <col min="12" max="12" width="15.28515625" style="33" bestFit="1" customWidth="1"/>
    <col min="13" max="14" width="8.85546875" style="33"/>
    <col min="15" max="15" width="15.28515625" style="33" bestFit="1" customWidth="1"/>
    <col min="16" max="16384" width="8.85546875" style="33"/>
  </cols>
  <sheetData>
    <row r="1" spans="1:10" ht="45" x14ac:dyDescent="0.25">
      <c r="A1" s="32"/>
      <c r="B1" s="32"/>
      <c r="C1" s="1" t="s">
        <v>52</v>
      </c>
      <c r="D1" s="1" t="s">
        <v>105</v>
      </c>
      <c r="E1" s="1" t="s">
        <v>93</v>
      </c>
      <c r="F1" s="1" t="s">
        <v>54</v>
      </c>
      <c r="G1" s="1" t="s">
        <v>53</v>
      </c>
      <c r="H1" s="1" t="s">
        <v>91</v>
      </c>
      <c r="I1" s="1" t="s">
        <v>92</v>
      </c>
      <c r="J1" s="2"/>
    </row>
    <row r="2" spans="1:10" x14ac:dyDescent="0.25">
      <c r="A2" s="10" t="s">
        <v>110</v>
      </c>
      <c r="B2" s="9" t="s">
        <v>51</v>
      </c>
      <c r="C2" s="1" t="s">
        <v>50</v>
      </c>
      <c r="D2" s="1" t="s">
        <v>49</v>
      </c>
      <c r="E2" s="1" t="s">
        <v>48</v>
      </c>
      <c r="F2" s="1" t="s">
        <v>106</v>
      </c>
      <c r="G2" s="10" t="s">
        <v>107</v>
      </c>
      <c r="H2" s="10" t="s">
        <v>108</v>
      </c>
      <c r="I2" s="10" t="s">
        <v>109</v>
      </c>
    </row>
    <row r="3" spans="1:10" x14ac:dyDescent="0.25">
      <c r="A3" s="11" t="s">
        <v>111</v>
      </c>
      <c r="C3" s="3"/>
      <c r="D3" s="3"/>
      <c r="E3" s="4"/>
      <c r="F3" s="3"/>
    </row>
    <row r="4" spans="1:10" x14ac:dyDescent="0.25">
      <c r="A4" s="33" t="str">
        <f>LEFT(B4,4)</f>
        <v>E311</v>
      </c>
      <c r="B4" s="33" t="s">
        <v>47</v>
      </c>
      <c r="C4" s="34">
        <v>3.4099999999999998E-2</v>
      </c>
      <c r="D4" s="35">
        <f>'[1]Production Plant'!$H$149</f>
        <v>1048103.2600000002</v>
      </c>
      <c r="E4" s="35">
        <f>'[1]Production Plant'!$K$149</f>
        <v>1052468.255652</v>
      </c>
      <c r="F4" s="34">
        <f>+'Colstrip Depn Update'!S18/100</f>
        <v>5.7599999999999998E-2</v>
      </c>
      <c r="G4" s="34">
        <f>+F4/C4</f>
        <v>1.6891495601173021</v>
      </c>
      <c r="H4" s="35">
        <f t="shared" ref="H4:H17" si="0">E4*G4</f>
        <v>1777776.2910720001</v>
      </c>
      <c r="I4" s="35">
        <f>+H4-E4</f>
        <v>725308.03542000009</v>
      </c>
      <c r="J4" s="36"/>
    </row>
    <row r="5" spans="1:10" x14ac:dyDescent="0.25">
      <c r="A5" s="33" t="str">
        <f t="shared" ref="A5:A17" si="1">LEFT(B5,4)</f>
        <v>E311</v>
      </c>
      <c r="B5" s="33" t="s">
        <v>46</v>
      </c>
      <c r="C5" s="34">
        <v>3.1699999999999999E-2</v>
      </c>
      <c r="D5" s="37">
        <f>'[1]Production Plant'!$H$162</f>
        <v>2217281.7599999998</v>
      </c>
      <c r="E5" s="37">
        <f>'[1]Production Plant'!$K$162</f>
        <v>2220951.6</v>
      </c>
      <c r="F5" s="34">
        <f>+'Colstrip Depn Update'!S19/100</f>
        <v>5.9900000000000002E-2</v>
      </c>
      <c r="G5" s="34">
        <f t="shared" ref="G5:G17" si="2">+F5/C5</f>
        <v>1.889589905362776</v>
      </c>
      <c r="H5" s="37">
        <f t="shared" si="0"/>
        <v>4196687.7236593058</v>
      </c>
      <c r="I5" s="37">
        <f t="shared" ref="I5:I17" si="3">+H5-E5</f>
        <v>1975736.1236593057</v>
      </c>
      <c r="J5" s="36"/>
    </row>
    <row r="6" spans="1:10" x14ac:dyDescent="0.25">
      <c r="A6" s="33" t="str">
        <f t="shared" si="1"/>
        <v>E311</v>
      </c>
      <c r="B6" s="33" t="s">
        <v>45</v>
      </c>
      <c r="C6" s="34">
        <v>3.6799999999999999E-2</v>
      </c>
      <c r="D6" s="37">
        <f>'[1]Production Plant'!$H$188</f>
        <v>1061520.17</v>
      </c>
      <c r="E6" s="37">
        <f>'[1]Production Plant'!$K$188</f>
        <v>1066085.0604639999</v>
      </c>
      <c r="F6" s="34">
        <f>+'Colstrip Depn Update'!S20/100</f>
        <v>5.6399999999999999E-2</v>
      </c>
      <c r="G6" s="34">
        <f t="shared" si="2"/>
        <v>1.5326086956521738</v>
      </c>
      <c r="H6" s="37">
        <f t="shared" si="0"/>
        <v>1633891.2339719997</v>
      </c>
      <c r="I6" s="37">
        <f t="shared" si="3"/>
        <v>567806.17350799986</v>
      </c>
      <c r="J6" s="36"/>
    </row>
    <row r="7" spans="1:10" x14ac:dyDescent="0.25">
      <c r="A7" s="33" t="str">
        <f t="shared" si="1"/>
        <v>E312</v>
      </c>
      <c r="B7" s="33" t="s">
        <v>44</v>
      </c>
      <c r="C7" s="34">
        <v>4.1999999999999996E-2</v>
      </c>
      <c r="D7" s="38">
        <f>'[1]Production Plant'!$H$292</f>
        <v>6161555.1700000018</v>
      </c>
      <c r="E7" s="38">
        <f>'[1]Production Plant'!$K$292</f>
        <v>6160637.8402799973</v>
      </c>
      <c r="F7" s="34">
        <f>+'Colstrip Depn Update'!S25/100</f>
        <v>7.2700000000000001E-2</v>
      </c>
      <c r="G7" s="34">
        <f t="shared" si="2"/>
        <v>1.7309523809523812</v>
      </c>
      <c r="H7" s="37">
        <f t="shared" si="0"/>
        <v>10663770.737817997</v>
      </c>
      <c r="I7" s="37">
        <f t="shared" si="3"/>
        <v>4503132.8975379998</v>
      </c>
      <c r="J7" s="36"/>
    </row>
    <row r="8" spans="1:10" x14ac:dyDescent="0.25">
      <c r="A8" s="33" t="str">
        <f t="shared" si="1"/>
        <v>E312</v>
      </c>
      <c r="B8" s="33" t="s">
        <v>43</v>
      </c>
      <c r="C8" s="34">
        <v>4.0800000000000003E-2</v>
      </c>
      <c r="D8" s="38">
        <f>'[1]Production Plant'!$H$305</f>
        <v>611412.5</v>
      </c>
      <c r="E8" s="38">
        <f>'[1]Production Plant'!$K$305</f>
        <v>606673.10385599989</v>
      </c>
      <c r="F8" s="34">
        <f>+'Colstrip Depn Update'!S26/100</f>
        <v>7.4700000000000003E-2</v>
      </c>
      <c r="G8" s="34">
        <f t="shared" si="2"/>
        <v>1.8308823529411764</v>
      </c>
      <c r="H8" s="37">
        <f t="shared" si="0"/>
        <v>1110747.0798539997</v>
      </c>
      <c r="I8" s="37">
        <f t="shared" si="3"/>
        <v>504073.97599799978</v>
      </c>
      <c r="J8" s="36"/>
    </row>
    <row r="9" spans="1:10" x14ac:dyDescent="0.25">
      <c r="A9" s="33" t="str">
        <f t="shared" si="1"/>
        <v>E312</v>
      </c>
      <c r="B9" s="33" t="s">
        <v>42</v>
      </c>
      <c r="C9" s="34">
        <v>4.7E-2</v>
      </c>
      <c r="D9" s="38">
        <f>'[1]Production Plant'!$H$318</f>
        <v>6130631.8300000001</v>
      </c>
      <c r="E9" s="38">
        <f>'[1]Production Plant'!$H$318</f>
        <v>6130631.8300000001</v>
      </c>
      <c r="F9" s="34">
        <f>+'Colstrip Depn Update'!S27/100</f>
        <v>8.199999999999999E-2</v>
      </c>
      <c r="G9" s="34">
        <f t="shared" si="2"/>
        <v>1.7446808510638296</v>
      </c>
      <c r="H9" s="37">
        <f t="shared" si="0"/>
        <v>10695995.958723404</v>
      </c>
      <c r="I9" s="37">
        <f t="shared" si="3"/>
        <v>4565364.1287234034</v>
      </c>
      <c r="J9" s="36"/>
    </row>
    <row r="10" spans="1:10" x14ac:dyDescent="0.25">
      <c r="A10" s="33" t="str">
        <f t="shared" si="1"/>
        <v>E314</v>
      </c>
      <c r="B10" s="33" t="s">
        <v>41</v>
      </c>
      <c r="C10" s="34">
        <v>6.9699999999999998E-2</v>
      </c>
      <c r="D10" s="38">
        <f>'[1]Production Plant'!$H$487</f>
        <v>2938828.2600000002</v>
      </c>
      <c r="E10" s="38">
        <f>'[1]Production Plant'!$K$487</f>
        <v>2938254.8563540005</v>
      </c>
      <c r="F10" s="34">
        <f>+'Colstrip Depn Update'!S32/100</f>
        <v>0.11</v>
      </c>
      <c r="G10" s="34">
        <f t="shared" si="2"/>
        <v>1.5781922525107606</v>
      </c>
      <c r="H10" s="37">
        <f t="shared" si="0"/>
        <v>4637131.0502000013</v>
      </c>
      <c r="I10" s="37">
        <f t="shared" si="3"/>
        <v>1698876.1938460008</v>
      </c>
      <c r="J10" s="36"/>
    </row>
    <row r="11" spans="1:10" x14ac:dyDescent="0.25">
      <c r="A11" s="33" t="str">
        <f t="shared" si="1"/>
        <v>E314</v>
      </c>
      <c r="B11" s="33" t="s">
        <v>40</v>
      </c>
      <c r="C11" s="34">
        <v>6.6000000000000003E-2</v>
      </c>
      <c r="D11" s="38">
        <f>'[1]Production Plant'!$H$500</f>
        <v>2686086.0600000005</v>
      </c>
      <c r="E11" s="38">
        <f>'[1]Production Plant'!$K$500</f>
        <v>2718882.4568400001</v>
      </c>
      <c r="F11" s="34">
        <f>+'Colstrip Depn Update'!S33/100</f>
        <v>0.1017</v>
      </c>
      <c r="G11" s="34">
        <f t="shared" si="2"/>
        <v>1.5409090909090908</v>
      </c>
      <c r="H11" s="37">
        <f t="shared" si="0"/>
        <v>4189550.6948579997</v>
      </c>
      <c r="I11" s="37">
        <f t="shared" si="3"/>
        <v>1470668.2380179996</v>
      </c>
      <c r="J11" s="36"/>
    </row>
    <row r="12" spans="1:10" x14ac:dyDescent="0.25">
      <c r="A12" s="33" t="str">
        <f t="shared" si="1"/>
        <v>E315</v>
      </c>
      <c r="B12" s="33" t="s">
        <v>39</v>
      </c>
      <c r="C12" s="34">
        <v>4.0099999999999997E-2</v>
      </c>
      <c r="D12" s="38">
        <f>'[1]Production Plant'!$H$669</f>
        <v>306911.95</v>
      </c>
      <c r="E12" s="38">
        <f>'[1]Production Plant'!$K$669</f>
        <v>312478.20018200006</v>
      </c>
      <c r="F12" s="34">
        <f>+'Colstrip Depn Update'!S38/100</f>
        <v>7.980000000000001E-2</v>
      </c>
      <c r="G12" s="34">
        <f t="shared" si="2"/>
        <v>1.9900249376558607</v>
      </c>
      <c r="H12" s="37">
        <f t="shared" si="0"/>
        <v>621839.41083600023</v>
      </c>
      <c r="I12" s="37">
        <f t="shared" si="3"/>
        <v>309361.21065400017</v>
      </c>
      <c r="J12" s="36"/>
    </row>
    <row r="13" spans="1:10" x14ac:dyDescent="0.25">
      <c r="A13" s="33" t="str">
        <f t="shared" si="1"/>
        <v>E315</v>
      </c>
      <c r="B13" s="33" t="s">
        <v>38</v>
      </c>
      <c r="C13" s="34">
        <v>3.5499999999999997E-2</v>
      </c>
      <c r="D13" s="38">
        <f>'[1]Production Plant'!$H$682</f>
        <v>271572.68</v>
      </c>
      <c r="E13" s="38">
        <f>'[1]Production Plant'!$K$682</f>
        <v>272996.92658499995</v>
      </c>
      <c r="F13" s="34">
        <f>+'Colstrip Depn Update'!S39/100</f>
        <v>8.5199999999999998E-2</v>
      </c>
      <c r="G13" s="34">
        <f t="shared" si="2"/>
        <v>2.4000000000000004</v>
      </c>
      <c r="H13" s="37">
        <f t="shared" si="0"/>
        <v>655192.62380399997</v>
      </c>
      <c r="I13" s="37">
        <f t="shared" si="3"/>
        <v>382195.69721900002</v>
      </c>
      <c r="J13" s="36"/>
    </row>
    <row r="14" spans="1:10" x14ac:dyDescent="0.25">
      <c r="A14" s="33" t="str">
        <f t="shared" si="1"/>
        <v>E315</v>
      </c>
      <c r="B14" s="33" t="s">
        <v>37</v>
      </c>
      <c r="C14" s="34">
        <v>4.7100000000000003E-2</v>
      </c>
      <c r="D14" s="38">
        <f>'[1]Production Plant'!$H$695</f>
        <v>330963.89</v>
      </c>
      <c r="E14" s="38">
        <f>'[1]Production Plant'!$K$695</f>
        <v>349797.13668</v>
      </c>
      <c r="F14" s="34">
        <f>+'Colstrip Depn Update'!S40/100</f>
        <v>5.3200000000000004E-2</v>
      </c>
      <c r="G14" s="34">
        <f t="shared" si="2"/>
        <v>1.1295116772823779</v>
      </c>
      <c r="H14" s="37">
        <f t="shared" si="0"/>
        <v>395099.95055999997</v>
      </c>
      <c r="I14" s="37">
        <f t="shared" si="3"/>
        <v>45302.813879999972</v>
      </c>
      <c r="J14" s="36"/>
    </row>
    <row r="15" spans="1:10" x14ac:dyDescent="0.25">
      <c r="A15" s="33" t="str">
        <f t="shared" si="1"/>
        <v>E316</v>
      </c>
      <c r="B15" s="33" t="s">
        <v>36</v>
      </c>
      <c r="C15" s="34">
        <v>6.7699999999999996E-2</v>
      </c>
      <c r="D15" s="38">
        <f>'[1]Production Plant'!$H$851</f>
        <v>72427.8</v>
      </c>
      <c r="E15" s="38">
        <f>'[1]Production Plant'!$K$851</f>
        <v>72427.729980999982</v>
      </c>
      <c r="F15" s="34">
        <f>+'Colstrip Depn Update'!S45/100</f>
        <v>0.1013</v>
      </c>
      <c r="G15" s="34">
        <f t="shared" si="2"/>
        <v>1.4963072378138849</v>
      </c>
      <c r="H15" s="37">
        <f t="shared" si="0"/>
        <v>108374.13658899997</v>
      </c>
      <c r="I15" s="37">
        <f t="shared" si="3"/>
        <v>35946.40660799999</v>
      </c>
      <c r="J15" s="36"/>
    </row>
    <row r="16" spans="1:10" x14ac:dyDescent="0.25">
      <c r="A16" s="33" t="str">
        <f t="shared" si="1"/>
        <v>E316</v>
      </c>
      <c r="B16" s="33" t="s">
        <v>35</v>
      </c>
      <c r="C16" s="34">
        <v>4.1599999999999998E-2</v>
      </c>
      <c r="D16" s="38">
        <f>'[1]Production Plant'!$H$864</f>
        <v>399825.10000000021</v>
      </c>
      <c r="E16" s="38">
        <f>'[1]Production Plant'!$K$864</f>
        <v>190410.35228799994</v>
      </c>
      <c r="F16" s="34">
        <f>+'Colstrip Depn Update'!S48/100</f>
        <v>6.3200000000000006E-2</v>
      </c>
      <c r="G16" s="34">
        <f t="shared" si="2"/>
        <v>1.5192307692307694</v>
      </c>
      <c r="H16" s="37">
        <f t="shared" si="0"/>
        <v>289277.26597599994</v>
      </c>
      <c r="I16" s="37">
        <f t="shared" si="3"/>
        <v>98866.913688000001</v>
      </c>
      <c r="J16" s="36"/>
    </row>
    <row r="17" spans="1:10" x14ac:dyDescent="0.25">
      <c r="A17" s="33" t="str">
        <f t="shared" si="1"/>
        <v>E316</v>
      </c>
      <c r="B17" s="33" t="s">
        <v>34</v>
      </c>
      <c r="C17" s="34">
        <v>6.8000000000000005E-2</v>
      </c>
      <c r="D17" s="38">
        <f>'[1]Production Plant'!$H$877</f>
        <v>81023.64</v>
      </c>
      <c r="E17" s="38">
        <f>'[1]Production Plant'!$K$877</f>
        <v>81023.614320000037</v>
      </c>
      <c r="F17" s="34">
        <f>+'Colstrip Depn Update'!S46/100</f>
        <v>0.10150000000000001</v>
      </c>
      <c r="G17" s="34">
        <f t="shared" si="2"/>
        <v>1.4926470588235294</v>
      </c>
      <c r="H17" s="37">
        <f t="shared" si="0"/>
        <v>120939.65961000006</v>
      </c>
      <c r="I17" s="37">
        <f t="shared" si="3"/>
        <v>39916.045290000024</v>
      </c>
      <c r="J17" s="36"/>
    </row>
    <row r="18" spans="1:10" ht="15.75" thickBot="1" x14ac:dyDescent="0.3">
      <c r="D18" s="5">
        <f>SUM(D4:D17)</f>
        <v>24318144.070000008</v>
      </c>
      <c r="E18" s="5">
        <f>SUM(E4:E17)</f>
        <v>24173718.963481996</v>
      </c>
      <c r="H18" s="5">
        <f>SUM(H4:H17)</f>
        <v>41096273.81753172</v>
      </c>
      <c r="I18" s="5">
        <f>SUM(I4:I17)</f>
        <v>16922554.854049709</v>
      </c>
    </row>
    <row r="19" spans="1:10" ht="15.75" thickTop="1" x14ac:dyDescent="0.25">
      <c r="H19" s="39"/>
    </row>
    <row r="20" spans="1:10" x14ac:dyDescent="0.25">
      <c r="D20" s="38"/>
      <c r="E20" s="33"/>
    </row>
    <row r="21" spans="1:10" x14ac:dyDescent="0.25">
      <c r="B21" s="8"/>
      <c r="E21" s="33"/>
    </row>
    <row r="22" spans="1:10" x14ac:dyDescent="0.25">
      <c r="B22" s="8"/>
      <c r="E22" s="33"/>
    </row>
    <row r="23" spans="1:10" x14ac:dyDescent="0.25">
      <c r="B23" s="8"/>
      <c r="E23" s="33"/>
    </row>
    <row r="24" spans="1:10" x14ac:dyDescent="0.25">
      <c r="B24" s="8"/>
      <c r="E24" s="33"/>
    </row>
    <row r="25" spans="1:10" x14ac:dyDescent="0.25">
      <c r="B25" s="8"/>
      <c r="E25" s="33"/>
    </row>
    <row r="26" spans="1:10" x14ac:dyDescent="0.25">
      <c r="B26" s="8"/>
      <c r="E26" s="33"/>
    </row>
    <row r="27" spans="1:10" x14ac:dyDescent="0.25">
      <c r="B27" s="8"/>
      <c r="E27" s="33"/>
    </row>
    <row r="28" spans="1:10" x14ac:dyDescent="0.25">
      <c r="B28" s="8"/>
      <c r="E28" s="33"/>
    </row>
    <row r="29" spans="1:10" x14ac:dyDescent="0.25">
      <c r="B29" s="8"/>
      <c r="E29" s="33"/>
    </row>
    <row r="30" spans="1:10" x14ac:dyDescent="0.25">
      <c r="B30" s="8"/>
      <c r="E30" s="33"/>
    </row>
    <row r="31" spans="1:10" x14ac:dyDescent="0.25">
      <c r="B31" s="8"/>
      <c r="E31" s="33"/>
    </row>
    <row r="32" spans="1:10" x14ac:dyDescent="0.25">
      <c r="B32" s="8"/>
      <c r="E32" s="33"/>
    </row>
    <row r="33" spans="2:11" x14ac:dyDescent="0.25">
      <c r="B33" s="8"/>
      <c r="E33" s="33"/>
    </row>
    <row r="34" spans="2:11" x14ac:dyDescent="0.25">
      <c r="B34" s="8"/>
      <c r="E34" s="33"/>
    </row>
    <row r="35" spans="2:11" x14ac:dyDescent="0.25">
      <c r="B35" s="8"/>
      <c r="E35" s="33"/>
    </row>
    <row r="36" spans="2:11" x14ac:dyDescent="0.25">
      <c r="B36" s="8"/>
      <c r="E36" s="33"/>
    </row>
    <row r="37" spans="2:11" x14ac:dyDescent="0.25">
      <c r="B37" s="8"/>
      <c r="E37" s="33"/>
    </row>
    <row r="38" spans="2:11" x14ac:dyDescent="0.25">
      <c r="B38" s="8"/>
      <c r="E38" s="33"/>
    </row>
    <row r="39" spans="2:11" x14ac:dyDescent="0.25">
      <c r="E39" s="33"/>
      <c r="K39" s="8"/>
    </row>
    <row r="40" spans="2:11" x14ac:dyDescent="0.25">
      <c r="E40" s="33"/>
      <c r="K40" s="8"/>
    </row>
    <row r="41" spans="2:11" x14ac:dyDescent="0.25">
      <c r="E41" s="33"/>
      <c r="K41" s="8"/>
    </row>
    <row r="42" spans="2:11" x14ac:dyDescent="0.25">
      <c r="K42" s="8"/>
    </row>
    <row r="43" spans="2:11" x14ac:dyDescent="0.25">
      <c r="K43" s="8"/>
    </row>
    <row r="44" spans="2:11" x14ac:dyDescent="0.25">
      <c r="K44" s="8"/>
    </row>
    <row r="45" spans="2:11" x14ac:dyDescent="0.25">
      <c r="K45" s="8"/>
    </row>
    <row r="46" spans="2:11" x14ac:dyDescent="0.25">
      <c r="K46" s="8"/>
    </row>
    <row r="47" spans="2:11" x14ac:dyDescent="0.25">
      <c r="K47" s="8"/>
    </row>
    <row r="48" spans="2:11" x14ac:dyDescent="0.25">
      <c r="K48" s="8"/>
    </row>
    <row r="49" spans="11:11" x14ac:dyDescent="0.25">
      <c r="K49" s="8"/>
    </row>
    <row r="50" spans="11:11" x14ac:dyDescent="0.25">
      <c r="K50" s="8"/>
    </row>
    <row r="51" spans="11:11" x14ac:dyDescent="0.25">
      <c r="K51" s="8"/>
    </row>
  </sheetData>
  <printOptions horizontalCentered="1"/>
  <pageMargins left="0.7" right="0.7" top="0.5" bottom="0.5" header="0.3" footer="0.3"/>
  <pageSetup scale="81" orientation="landscape" r:id="rId1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V63"/>
  <sheetViews>
    <sheetView topLeftCell="A19" zoomScale="70" zoomScaleNormal="70" workbookViewId="0">
      <selection activeCell="S18" sqref="S18"/>
    </sheetView>
  </sheetViews>
  <sheetFormatPr defaultColWidth="11.5703125" defaultRowHeight="15" x14ac:dyDescent="0.2"/>
  <cols>
    <col min="1" max="1" width="8.5703125" style="56" bestFit="1" customWidth="1"/>
    <col min="2" max="2" width="3.28515625" style="56" customWidth="1"/>
    <col min="3" max="3" width="66" style="56" bestFit="1" customWidth="1"/>
    <col min="4" max="4" width="1.85546875" style="56" customWidth="1"/>
    <col min="5" max="5" width="15.140625" style="70" bestFit="1" customWidth="1"/>
    <col min="6" max="6" width="1.85546875" style="56" customWidth="1"/>
    <col min="7" max="7" width="18.5703125" style="56" bestFit="1" customWidth="1"/>
    <col min="8" max="8" width="2" style="56" bestFit="1" customWidth="1"/>
    <col min="9" max="9" width="11.5703125" style="80" bestFit="1" customWidth="1"/>
    <col min="10" max="10" width="1.85546875" style="56" customWidth="1"/>
    <col min="11" max="11" width="23.7109375" style="56" customWidth="1"/>
    <col min="12" max="12" width="1.85546875" style="56" customWidth="1"/>
    <col min="13" max="13" width="18.85546875" style="62" bestFit="1" customWidth="1"/>
    <col min="14" max="14" width="1.85546875" style="62" customWidth="1"/>
    <col min="15" max="15" width="17.7109375" style="62" customWidth="1"/>
    <col min="16" max="16" width="1.85546875" style="62" customWidth="1"/>
    <col min="17" max="17" width="15.7109375" style="62" customWidth="1"/>
    <col min="18" max="18" width="1.85546875" style="56" customWidth="1"/>
    <col min="19" max="19" width="11.5703125" style="56" bestFit="1" customWidth="1"/>
    <col min="20" max="20" width="2.7109375" style="56" bestFit="1" customWidth="1"/>
    <col min="21" max="21" width="13.85546875" style="56" bestFit="1" customWidth="1"/>
    <col min="22" max="16384" width="11.5703125" style="56"/>
  </cols>
  <sheetData>
    <row r="1" spans="1:22" ht="15.75" x14ac:dyDescent="0.25">
      <c r="A1" s="54" t="s">
        <v>90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5"/>
    </row>
    <row r="2" spans="1:22" ht="15.75" x14ac:dyDescent="0.25">
      <c r="A2" s="54" t="s">
        <v>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5"/>
    </row>
    <row r="3" spans="1:22" ht="15.75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5"/>
    </row>
    <row r="4" spans="1:22" ht="15.75" x14ac:dyDescent="0.25">
      <c r="A4" s="54" t="s">
        <v>89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5"/>
    </row>
    <row r="5" spans="1:22" ht="15.75" x14ac:dyDescent="0.25">
      <c r="A5" s="54" t="s">
        <v>88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5"/>
    </row>
    <row r="6" spans="1:22" ht="15.75" x14ac:dyDescent="0.25">
      <c r="A6" s="54" t="s">
        <v>87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5"/>
    </row>
    <row r="7" spans="1:22" ht="15.75" x14ac:dyDescent="0.25">
      <c r="A7" s="57"/>
      <c r="B7" s="58"/>
      <c r="C7" s="58"/>
      <c r="D7" s="58"/>
      <c r="E7" s="59"/>
      <c r="F7" s="58"/>
      <c r="G7" s="58"/>
      <c r="H7" s="58"/>
      <c r="I7" s="60"/>
      <c r="J7" s="58"/>
      <c r="K7" s="58"/>
      <c r="L7" s="58"/>
      <c r="M7" s="61"/>
      <c r="N7" s="61"/>
      <c r="O7" s="61"/>
      <c r="P7" s="61"/>
      <c r="V7" s="55"/>
    </row>
    <row r="8" spans="1:22" ht="15.75" x14ac:dyDescent="0.25">
      <c r="A8" s="55"/>
      <c r="B8" s="63"/>
      <c r="C8" s="64"/>
      <c r="D8" s="65"/>
      <c r="E8" s="66" t="s">
        <v>86</v>
      </c>
      <c r="F8" s="65"/>
      <c r="G8" s="65"/>
      <c r="H8" s="65"/>
      <c r="I8" s="67" t="s">
        <v>85</v>
      </c>
      <c r="J8" s="65"/>
      <c r="K8" s="65" t="s">
        <v>84</v>
      </c>
      <c r="L8" s="65"/>
      <c r="M8" s="68" t="s">
        <v>83</v>
      </c>
      <c r="N8" s="68"/>
      <c r="O8" s="68"/>
      <c r="P8" s="68"/>
      <c r="Q8" s="69" t="s">
        <v>82</v>
      </c>
      <c r="R8" s="58"/>
      <c r="S8" s="58"/>
      <c r="T8" s="70"/>
      <c r="U8" s="65" t="s">
        <v>81</v>
      </c>
      <c r="V8" s="55"/>
    </row>
    <row r="9" spans="1:22" ht="15.75" x14ac:dyDescent="0.25">
      <c r="A9" s="55"/>
      <c r="B9" s="63"/>
      <c r="C9" s="65"/>
      <c r="D9" s="65"/>
      <c r="E9" s="66" t="s">
        <v>80</v>
      </c>
      <c r="F9" s="65"/>
      <c r="G9" s="65" t="s">
        <v>79</v>
      </c>
      <c r="H9" s="65"/>
      <c r="I9" s="67" t="s">
        <v>78</v>
      </c>
      <c r="J9" s="65"/>
      <c r="K9" s="65" t="s">
        <v>77</v>
      </c>
      <c r="L9" s="65"/>
      <c r="M9" s="68" t="s">
        <v>1</v>
      </c>
      <c r="N9" s="68"/>
      <c r="O9" s="68" t="s">
        <v>76</v>
      </c>
      <c r="P9" s="68"/>
      <c r="Q9" s="71" t="s">
        <v>75</v>
      </c>
      <c r="R9" s="72"/>
      <c r="S9" s="73" t="s">
        <v>74</v>
      </c>
      <c r="T9" s="70"/>
      <c r="U9" s="65" t="s">
        <v>73</v>
      </c>
      <c r="V9" s="55"/>
    </row>
    <row r="10" spans="1:22" ht="15.75" x14ac:dyDescent="0.25">
      <c r="A10" s="55"/>
      <c r="B10" s="63"/>
      <c r="C10" s="65" t="s">
        <v>0</v>
      </c>
      <c r="D10" s="65"/>
      <c r="E10" s="74" t="s">
        <v>72</v>
      </c>
      <c r="F10" s="65"/>
      <c r="G10" s="65" t="s">
        <v>71</v>
      </c>
      <c r="H10" s="65"/>
      <c r="I10" s="67" t="s">
        <v>70</v>
      </c>
      <c r="J10" s="65"/>
      <c r="K10" s="75" t="s">
        <v>69</v>
      </c>
      <c r="L10" s="65"/>
      <c r="M10" s="68" t="s">
        <v>68</v>
      </c>
      <c r="N10" s="68"/>
      <c r="O10" s="68" t="s">
        <v>67</v>
      </c>
      <c r="P10" s="68"/>
      <c r="Q10" s="68" t="s">
        <v>4</v>
      </c>
      <c r="R10" s="65"/>
      <c r="S10" s="64" t="s">
        <v>2</v>
      </c>
      <c r="T10" s="70"/>
      <c r="U10" s="65" t="s">
        <v>66</v>
      </c>
      <c r="V10" s="55"/>
    </row>
    <row r="11" spans="1:22" ht="15.75" x14ac:dyDescent="0.25">
      <c r="A11" s="55"/>
      <c r="B11" s="63"/>
      <c r="C11" s="71">
        <v>-1</v>
      </c>
      <c r="D11" s="76"/>
      <c r="E11" s="71">
        <v>-2</v>
      </c>
      <c r="F11" s="76"/>
      <c r="G11" s="77">
        <v>-3</v>
      </c>
      <c r="H11" s="76"/>
      <c r="I11" s="71">
        <v>-4</v>
      </c>
      <c r="J11" s="76"/>
      <c r="K11" s="71">
        <v>-5</v>
      </c>
      <c r="L11" s="68"/>
      <c r="M11" s="71">
        <v>-6</v>
      </c>
      <c r="N11" s="68"/>
      <c r="O11" s="71">
        <v>-7</v>
      </c>
      <c r="Q11" s="71">
        <v>-8</v>
      </c>
      <c r="R11" s="76"/>
      <c r="S11" s="78" t="s">
        <v>65</v>
      </c>
      <c r="U11" s="78" t="s">
        <v>64</v>
      </c>
      <c r="V11" s="55"/>
    </row>
    <row r="12" spans="1:22" ht="15.75" x14ac:dyDescent="0.25">
      <c r="A12" s="55"/>
      <c r="B12" s="63"/>
      <c r="C12" s="76"/>
      <c r="D12" s="76"/>
      <c r="E12" s="76"/>
      <c r="F12" s="76"/>
      <c r="G12" s="76"/>
      <c r="H12" s="76"/>
      <c r="I12" s="67"/>
      <c r="J12" s="76"/>
      <c r="K12" s="76"/>
      <c r="L12" s="76"/>
      <c r="M12" s="68"/>
      <c r="N12" s="68"/>
      <c r="O12" s="68"/>
      <c r="P12" s="68"/>
      <c r="Q12" s="68"/>
      <c r="R12" s="76"/>
      <c r="S12" s="76"/>
      <c r="U12" s="76"/>
      <c r="V12" s="55"/>
    </row>
    <row r="13" spans="1:22" ht="15.75" x14ac:dyDescent="0.25">
      <c r="A13" s="55"/>
      <c r="C13" s="79" t="s">
        <v>63</v>
      </c>
      <c r="M13" s="81"/>
      <c r="N13" s="81"/>
      <c r="O13" s="81"/>
      <c r="P13" s="81"/>
      <c r="Q13" s="81"/>
      <c r="V13" s="55"/>
    </row>
    <row r="14" spans="1:22" x14ac:dyDescent="0.2">
      <c r="A14" s="55"/>
      <c r="M14" s="81"/>
      <c r="N14" s="81"/>
      <c r="O14" s="81"/>
      <c r="P14" s="81"/>
      <c r="Q14" s="81"/>
      <c r="V14" s="55"/>
    </row>
    <row r="15" spans="1:22" ht="15.75" x14ac:dyDescent="0.25">
      <c r="A15" s="55"/>
      <c r="C15" s="64" t="s">
        <v>6</v>
      </c>
      <c r="M15" s="81"/>
      <c r="N15" s="81"/>
      <c r="O15" s="81"/>
      <c r="P15" s="81"/>
      <c r="Q15" s="81"/>
      <c r="S15" s="82"/>
      <c r="U15" s="83"/>
      <c r="V15" s="55"/>
    </row>
    <row r="16" spans="1:22" ht="15.75" x14ac:dyDescent="0.25">
      <c r="A16" s="55"/>
      <c r="C16" s="73"/>
      <c r="M16" s="81"/>
      <c r="N16" s="81"/>
      <c r="O16" s="81"/>
      <c r="P16" s="81"/>
      <c r="Q16" s="81"/>
      <c r="S16" s="82"/>
      <c r="U16" s="83"/>
      <c r="V16" s="55"/>
    </row>
    <row r="17" spans="1:22" x14ac:dyDescent="0.2">
      <c r="A17" s="84">
        <v>311</v>
      </c>
      <c r="B17" s="85"/>
      <c r="C17" s="85" t="s">
        <v>7</v>
      </c>
      <c r="D17" s="85"/>
      <c r="E17" s="86"/>
      <c r="F17" s="85"/>
      <c r="G17" s="85"/>
      <c r="H17" s="85"/>
      <c r="I17" s="87"/>
      <c r="J17" s="85"/>
      <c r="K17" s="85"/>
      <c r="L17" s="85"/>
      <c r="M17" s="88"/>
      <c r="N17" s="88"/>
      <c r="O17" s="88"/>
      <c r="P17" s="88"/>
      <c r="Q17" s="88"/>
      <c r="V17" s="55"/>
    </row>
    <row r="18" spans="1:22" x14ac:dyDescent="0.2">
      <c r="A18" s="84"/>
      <c r="B18" s="85"/>
      <c r="C18" s="89" t="s">
        <v>8</v>
      </c>
      <c r="D18" s="85"/>
      <c r="E18" s="90">
        <v>46022</v>
      </c>
      <c r="F18" s="85"/>
      <c r="G18" s="91" t="s">
        <v>62</v>
      </c>
      <c r="H18" s="91" t="s">
        <v>57</v>
      </c>
      <c r="I18" s="92">
        <v>-14</v>
      </c>
      <c r="J18" s="85"/>
      <c r="K18" s="93">
        <v>29987171.960000001</v>
      </c>
      <c r="L18" s="94"/>
      <c r="M18" s="95">
        <v>22270655.57</v>
      </c>
      <c r="N18" s="95"/>
      <c r="O18" s="95">
        <v>11914720</v>
      </c>
      <c r="P18" s="95"/>
      <c r="Q18" s="95">
        <v>1727058</v>
      </c>
      <c r="S18" s="83">
        <v>5.76</v>
      </c>
      <c r="U18" s="82">
        <v>6.9</v>
      </c>
      <c r="V18" s="55"/>
    </row>
    <row r="19" spans="1:22" x14ac:dyDescent="0.2">
      <c r="A19" s="84"/>
      <c r="B19" s="85"/>
      <c r="C19" s="89" t="s">
        <v>9</v>
      </c>
      <c r="D19" s="85"/>
      <c r="E19" s="90">
        <v>46022</v>
      </c>
      <c r="F19" s="85"/>
      <c r="G19" s="91" t="s">
        <v>62</v>
      </c>
      <c r="H19" s="91" t="s">
        <v>57</v>
      </c>
      <c r="I19" s="92">
        <v>-14</v>
      </c>
      <c r="J19" s="85"/>
      <c r="K19" s="93">
        <v>28124316.629999999</v>
      </c>
      <c r="L19" s="94"/>
      <c r="M19" s="95">
        <v>20427526.469999999</v>
      </c>
      <c r="N19" s="95"/>
      <c r="O19" s="95">
        <v>11634194</v>
      </c>
      <c r="P19" s="95"/>
      <c r="Q19" s="95">
        <v>1684616</v>
      </c>
      <c r="S19" s="83">
        <v>5.99</v>
      </c>
      <c r="U19" s="82">
        <v>6.9</v>
      </c>
      <c r="V19" s="55"/>
    </row>
    <row r="20" spans="1:22" x14ac:dyDescent="0.2">
      <c r="A20" s="84"/>
      <c r="B20" s="85"/>
      <c r="C20" s="89" t="s">
        <v>11</v>
      </c>
      <c r="D20" s="85"/>
      <c r="E20" s="90">
        <v>46022</v>
      </c>
      <c r="F20" s="85"/>
      <c r="G20" s="91" t="s">
        <v>62</v>
      </c>
      <c r="H20" s="91" t="s">
        <v>57</v>
      </c>
      <c r="I20" s="92">
        <v>-14</v>
      </c>
      <c r="J20" s="85"/>
      <c r="K20" s="93">
        <v>70041117.890000001</v>
      </c>
      <c r="L20" s="94"/>
      <c r="M20" s="95">
        <v>52604021.530000001</v>
      </c>
      <c r="N20" s="95"/>
      <c r="O20" s="95">
        <v>27242853</v>
      </c>
      <c r="P20" s="95"/>
      <c r="Q20" s="95">
        <v>3950954</v>
      </c>
      <c r="S20" s="83">
        <v>5.64</v>
      </c>
      <c r="U20" s="82">
        <v>6.9</v>
      </c>
      <c r="V20" s="55"/>
    </row>
    <row r="21" spans="1:22" x14ac:dyDescent="0.2">
      <c r="A21" s="84"/>
      <c r="B21" s="85"/>
      <c r="C21" s="89"/>
      <c r="D21" s="85"/>
      <c r="E21" s="90"/>
      <c r="F21" s="85"/>
      <c r="G21" s="91"/>
      <c r="H21" s="91"/>
      <c r="I21" s="92"/>
      <c r="J21" s="85"/>
      <c r="K21" s="93"/>
      <c r="L21" s="94"/>
      <c r="M21" s="95"/>
      <c r="N21" s="95"/>
      <c r="O21" s="95"/>
      <c r="P21" s="95"/>
      <c r="Q21" s="95"/>
      <c r="S21" s="83"/>
      <c r="U21" s="82"/>
      <c r="V21" s="55"/>
    </row>
    <row r="22" spans="1:22" x14ac:dyDescent="0.2">
      <c r="A22" s="84"/>
      <c r="B22" s="85"/>
      <c r="C22" s="96" t="s">
        <v>12</v>
      </c>
      <c r="D22" s="85"/>
      <c r="E22" s="86"/>
      <c r="F22" s="85"/>
      <c r="G22" s="91"/>
      <c r="H22" s="91"/>
      <c r="I22" s="92"/>
      <c r="J22" s="85"/>
      <c r="K22" s="93">
        <f>+SUBTOTAL(9,K18:K20)</f>
        <v>128152606.48</v>
      </c>
      <c r="L22" s="94"/>
      <c r="M22" s="95">
        <f>+SUBTOTAL(9,M18:M20)</f>
        <v>95302203.569999993</v>
      </c>
      <c r="N22" s="95"/>
      <c r="O22" s="95">
        <f>+SUBTOTAL(9,O18:O20)</f>
        <v>50791767</v>
      </c>
      <c r="P22" s="95"/>
      <c r="Q22" s="95">
        <f>+SUBTOTAL(9,Q18:Q20)</f>
        <v>7362628</v>
      </c>
      <c r="S22" s="83">
        <f>Q22/K22*100</f>
        <v>5.7452034743819596</v>
      </c>
      <c r="U22" s="82">
        <f>ROUND(O22/Q22,1)</f>
        <v>6.9</v>
      </c>
      <c r="V22" s="55"/>
    </row>
    <row r="23" spans="1:22" x14ac:dyDescent="0.2">
      <c r="A23" s="84"/>
      <c r="B23" s="85"/>
      <c r="C23" s="89"/>
      <c r="D23" s="85"/>
      <c r="E23" s="86"/>
      <c r="F23" s="85"/>
      <c r="G23" s="91"/>
      <c r="H23" s="91"/>
      <c r="I23" s="92"/>
      <c r="J23" s="85"/>
      <c r="K23" s="93"/>
      <c r="L23" s="94"/>
      <c r="M23" s="95"/>
      <c r="N23" s="95"/>
      <c r="O23" s="95"/>
      <c r="P23" s="95"/>
      <c r="Q23" s="95"/>
      <c r="S23" s="83"/>
      <c r="U23" s="82"/>
      <c r="V23" s="55"/>
    </row>
    <row r="24" spans="1:22" x14ac:dyDescent="0.2">
      <c r="A24" s="84">
        <v>312</v>
      </c>
      <c r="B24" s="85"/>
      <c r="C24" s="89" t="s">
        <v>13</v>
      </c>
      <c r="D24" s="85"/>
      <c r="E24" s="86"/>
      <c r="F24" s="85"/>
      <c r="G24" s="91"/>
      <c r="H24" s="91"/>
      <c r="I24" s="92"/>
      <c r="J24" s="85"/>
      <c r="K24" s="93"/>
      <c r="L24" s="94"/>
      <c r="M24" s="95"/>
      <c r="N24" s="95"/>
      <c r="O24" s="95"/>
      <c r="P24" s="95"/>
      <c r="Q24" s="95"/>
      <c r="S24" s="83"/>
      <c r="U24" s="82"/>
      <c r="V24" s="55"/>
    </row>
    <row r="25" spans="1:22" x14ac:dyDescent="0.2">
      <c r="A25" s="84"/>
      <c r="B25" s="85"/>
      <c r="C25" s="89" t="s">
        <v>14</v>
      </c>
      <c r="D25" s="85"/>
      <c r="E25" s="90">
        <v>46022</v>
      </c>
      <c r="F25" s="85"/>
      <c r="G25" s="91" t="s">
        <v>61</v>
      </c>
      <c r="H25" s="91" t="s">
        <v>57</v>
      </c>
      <c r="I25" s="92">
        <v>-14</v>
      </c>
      <c r="J25" s="85"/>
      <c r="K25" s="93">
        <v>147108225.71000001</v>
      </c>
      <c r="L25" s="94"/>
      <c r="M25" s="95">
        <v>94285714.659999996</v>
      </c>
      <c r="N25" s="95"/>
      <c r="O25" s="95">
        <v>73417663</v>
      </c>
      <c r="P25" s="95"/>
      <c r="Q25" s="95">
        <v>10700948</v>
      </c>
      <c r="S25" s="83">
        <v>7.27</v>
      </c>
      <c r="U25" s="82">
        <v>6.9</v>
      </c>
      <c r="V25" s="55"/>
    </row>
    <row r="26" spans="1:22" x14ac:dyDescent="0.2">
      <c r="A26" s="84"/>
      <c r="B26" s="85"/>
      <c r="C26" s="89" t="s">
        <v>15</v>
      </c>
      <c r="D26" s="85"/>
      <c r="E26" s="90">
        <v>46022</v>
      </c>
      <c r="F26" s="85"/>
      <c r="G26" s="91" t="s">
        <v>61</v>
      </c>
      <c r="H26" s="91" t="s">
        <v>57</v>
      </c>
      <c r="I26" s="92">
        <v>-14</v>
      </c>
      <c r="J26" s="85"/>
      <c r="K26" s="93">
        <v>129733477.59999999</v>
      </c>
      <c r="L26" s="94"/>
      <c r="M26" s="95">
        <v>81385731.530000001</v>
      </c>
      <c r="N26" s="95"/>
      <c r="O26" s="95">
        <v>66510433</v>
      </c>
      <c r="P26" s="95"/>
      <c r="Q26" s="95">
        <v>9690302</v>
      </c>
      <c r="S26" s="83">
        <v>7.47</v>
      </c>
      <c r="U26" s="82">
        <v>6.9</v>
      </c>
      <c r="V26" s="55"/>
    </row>
    <row r="27" spans="1:22" x14ac:dyDescent="0.2">
      <c r="A27" s="84"/>
      <c r="B27" s="85"/>
      <c r="C27" s="85" t="s">
        <v>16</v>
      </c>
      <c r="D27" s="85"/>
      <c r="E27" s="90">
        <v>46022</v>
      </c>
      <c r="F27" s="85"/>
      <c r="G27" s="91" t="s">
        <v>61</v>
      </c>
      <c r="H27" s="91" t="s">
        <v>57</v>
      </c>
      <c r="I27" s="92">
        <v>-14</v>
      </c>
      <c r="J27" s="85"/>
      <c r="K27" s="93">
        <v>15171818.779999999</v>
      </c>
      <c r="L27" s="94"/>
      <c r="M27" s="95">
        <v>8794326.3300000001</v>
      </c>
      <c r="N27" s="95"/>
      <c r="O27" s="95">
        <v>8501547</v>
      </c>
      <c r="P27" s="95"/>
      <c r="Q27" s="95">
        <v>1243507</v>
      </c>
      <c r="S27" s="83">
        <v>8.1999999999999993</v>
      </c>
      <c r="U27" s="82">
        <v>6.8</v>
      </c>
      <c r="V27" s="55"/>
    </row>
    <row r="28" spans="1:22" x14ac:dyDescent="0.2">
      <c r="A28" s="84"/>
      <c r="B28" s="85"/>
      <c r="C28" s="85"/>
      <c r="D28" s="85"/>
      <c r="E28" s="86"/>
      <c r="F28" s="85"/>
      <c r="G28" s="85"/>
      <c r="H28" s="85"/>
      <c r="I28" s="87"/>
      <c r="J28" s="85"/>
      <c r="K28" s="93"/>
      <c r="L28" s="85"/>
      <c r="M28" s="88"/>
      <c r="N28" s="88"/>
      <c r="O28" s="88"/>
      <c r="P28" s="88"/>
      <c r="Q28" s="88"/>
      <c r="S28" s="83"/>
      <c r="U28" s="82"/>
      <c r="V28" s="55"/>
    </row>
    <row r="29" spans="1:22" x14ac:dyDescent="0.2">
      <c r="A29" s="84"/>
      <c r="B29" s="85"/>
      <c r="C29" s="96" t="s">
        <v>17</v>
      </c>
      <c r="D29" s="85"/>
      <c r="E29" s="86"/>
      <c r="F29" s="85"/>
      <c r="G29" s="91"/>
      <c r="H29" s="91"/>
      <c r="I29" s="92"/>
      <c r="J29" s="85"/>
      <c r="K29" s="93">
        <f>+SUBTOTAL(9,K25:K27)</f>
        <v>292013522.08999997</v>
      </c>
      <c r="L29" s="94"/>
      <c r="M29" s="95">
        <f>+SUBTOTAL(9,M25:M27)</f>
        <v>184465772.52000001</v>
      </c>
      <c r="N29" s="95"/>
      <c r="O29" s="95">
        <f>+SUBTOTAL(9,O25:O27)</f>
        <v>148429643</v>
      </c>
      <c r="P29" s="95"/>
      <c r="Q29" s="95">
        <f>+SUBTOTAL(9,Q25:Q27)</f>
        <v>21634757</v>
      </c>
      <c r="S29" s="83">
        <f>Q29/K29*100</f>
        <v>7.4088202646081793</v>
      </c>
      <c r="U29" s="82">
        <f>ROUND(O29/Q29,1)</f>
        <v>6.9</v>
      </c>
      <c r="V29" s="55"/>
    </row>
    <row r="30" spans="1:22" x14ac:dyDescent="0.2">
      <c r="A30" s="84"/>
      <c r="B30" s="85"/>
      <c r="C30" s="89"/>
      <c r="D30" s="85"/>
      <c r="E30" s="86"/>
      <c r="F30" s="85"/>
      <c r="G30" s="91"/>
      <c r="H30" s="91"/>
      <c r="I30" s="92"/>
      <c r="J30" s="85"/>
      <c r="K30" s="93"/>
      <c r="L30" s="94"/>
      <c r="M30" s="95"/>
      <c r="N30" s="95"/>
      <c r="O30" s="95"/>
      <c r="P30" s="95"/>
      <c r="Q30" s="95"/>
      <c r="S30" s="83"/>
      <c r="U30" s="82"/>
      <c r="V30" s="55"/>
    </row>
    <row r="31" spans="1:22" x14ac:dyDescent="0.2">
      <c r="A31" s="84">
        <v>314</v>
      </c>
      <c r="B31" s="85"/>
      <c r="C31" s="89" t="s">
        <v>18</v>
      </c>
      <c r="D31" s="85"/>
      <c r="E31" s="86"/>
      <c r="F31" s="85"/>
      <c r="G31" s="91"/>
      <c r="H31" s="91"/>
      <c r="I31" s="92"/>
      <c r="J31" s="85"/>
      <c r="K31" s="93"/>
      <c r="L31" s="94"/>
      <c r="M31" s="95"/>
      <c r="N31" s="95"/>
      <c r="O31" s="95"/>
      <c r="P31" s="95"/>
      <c r="Q31" s="95"/>
      <c r="S31" s="83"/>
      <c r="U31" s="82"/>
      <c r="V31" s="55"/>
    </row>
    <row r="32" spans="1:22" x14ac:dyDescent="0.2">
      <c r="A32" s="84"/>
      <c r="B32" s="85"/>
      <c r="C32" s="89" t="s">
        <v>19</v>
      </c>
      <c r="D32" s="85"/>
      <c r="E32" s="90">
        <v>46022</v>
      </c>
      <c r="F32" s="85"/>
      <c r="G32" s="91" t="s">
        <v>60</v>
      </c>
      <c r="H32" s="91" t="s">
        <v>57</v>
      </c>
      <c r="I32" s="92">
        <v>-13</v>
      </c>
      <c r="J32" s="85"/>
      <c r="K32" s="93">
        <v>42170023.689999998</v>
      </c>
      <c r="L32" s="94"/>
      <c r="M32" s="95">
        <v>16801546.170000002</v>
      </c>
      <c r="N32" s="95"/>
      <c r="O32" s="95">
        <v>30850581</v>
      </c>
      <c r="P32" s="95"/>
      <c r="Q32" s="95">
        <v>4639345</v>
      </c>
      <c r="S32" s="83">
        <v>11</v>
      </c>
      <c r="U32" s="82">
        <v>6.6</v>
      </c>
      <c r="V32" s="55"/>
    </row>
    <row r="33" spans="1:22" x14ac:dyDescent="0.2">
      <c r="A33" s="84"/>
      <c r="B33" s="85"/>
      <c r="C33" s="89" t="s">
        <v>20</v>
      </c>
      <c r="D33" s="85"/>
      <c r="E33" s="90">
        <v>46022</v>
      </c>
      <c r="F33" s="85"/>
      <c r="G33" s="91" t="s">
        <v>60</v>
      </c>
      <c r="H33" s="91" t="s">
        <v>57</v>
      </c>
      <c r="I33" s="92">
        <v>-13</v>
      </c>
      <c r="J33" s="85"/>
      <c r="K33" s="93">
        <v>39956361.689999998</v>
      </c>
      <c r="L33" s="94"/>
      <c r="M33" s="95">
        <v>17977871.260000002</v>
      </c>
      <c r="N33" s="95"/>
      <c r="O33" s="95">
        <v>27172817</v>
      </c>
      <c r="P33" s="95"/>
      <c r="Q33" s="95">
        <v>4062031</v>
      </c>
      <c r="S33" s="83">
        <v>10.17</v>
      </c>
      <c r="U33" s="82">
        <v>6.7</v>
      </c>
      <c r="V33" s="55"/>
    </row>
    <row r="34" spans="1:22" x14ac:dyDescent="0.2">
      <c r="A34" s="84"/>
      <c r="B34" s="85"/>
      <c r="C34" s="89"/>
      <c r="D34" s="85"/>
      <c r="E34" s="86"/>
      <c r="F34" s="85"/>
      <c r="G34" s="91"/>
      <c r="H34" s="91"/>
      <c r="I34" s="92"/>
      <c r="J34" s="85"/>
      <c r="K34" s="93"/>
      <c r="L34" s="94"/>
      <c r="M34" s="95"/>
      <c r="N34" s="95"/>
      <c r="O34" s="95"/>
      <c r="P34" s="95"/>
      <c r="Q34" s="95"/>
      <c r="S34" s="83"/>
      <c r="U34" s="82"/>
      <c r="V34" s="55"/>
    </row>
    <row r="35" spans="1:22" x14ac:dyDescent="0.2">
      <c r="A35" s="84"/>
      <c r="B35" s="85"/>
      <c r="C35" s="96" t="s">
        <v>21</v>
      </c>
      <c r="D35" s="85"/>
      <c r="E35" s="86"/>
      <c r="F35" s="85"/>
      <c r="G35" s="91"/>
      <c r="H35" s="91"/>
      <c r="I35" s="92"/>
      <c r="J35" s="85"/>
      <c r="K35" s="93">
        <f>+SUBTOTAL(9,K32:K33)</f>
        <v>82126385.379999995</v>
      </c>
      <c r="L35" s="94"/>
      <c r="M35" s="95">
        <f>+SUBTOTAL(9,M32:M33)</f>
        <v>34779417.430000007</v>
      </c>
      <c r="N35" s="95"/>
      <c r="O35" s="95">
        <f>+SUBTOTAL(9,O32:O33)</f>
        <v>58023398</v>
      </c>
      <c r="P35" s="95"/>
      <c r="Q35" s="95">
        <f>+SUBTOTAL(9,Q32:Q33)</f>
        <v>8701376</v>
      </c>
      <c r="S35" s="83">
        <f>Q35/K35*100</f>
        <v>10.595104070072736</v>
      </c>
      <c r="U35" s="82">
        <f>ROUND(O35/Q35,1)</f>
        <v>6.7</v>
      </c>
      <c r="V35" s="55"/>
    </row>
    <row r="36" spans="1:22" x14ac:dyDescent="0.2">
      <c r="A36" s="84"/>
      <c r="B36" s="85"/>
      <c r="C36" s="89"/>
      <c r="D36" s="85"/>
      <c r="E36" s="86"/>
      <c r="F36" s="85"/>
      <c r="G36" s="91"/>
      <c r="H36" s="91"/>
      <c r="I36" s="92"/>
      <c r="J36" s="85"/>
      <c r="K36" s="93"/>
      <c r="L36" s="94"/>
      <c r="M36" s="95"/>
      <c r="N36" s="95"/>
      <c r="O36" s="95"/>
      <c r="P36" s="95"/>
      <c r="Q36" s="95"/>
      <c r="S36" s="83"/>
      <c r="U36" s="82"/>
      <c r="V36" s="55"/>
    </row>
    <row r="37" spans="1:22" x14ac:dyDescent="0.2">
      <c r="A37" s="84">
        <v>315</v>
      </c>
      <c r="B37" s="85"/>
      <c r="C37" s="89" t="s">
        <v>22</v>
      </c>
      <c r="D37" s="85"/>
      <c r="E37" s="86"/>
      <c r="F37" s="85"/>
      <c r="G37" s="91"/>
      <c r="H37" s="91"/>
      <c r="I37" s="92"/>
      <c r="J37" s="85"/>
      <c r="K37" s="93"/>
      <c r="L37" s="94"/>
      <c r="M37" s="95"/>
      <c r="N37" s="95"/>
      <c r="O37" s="95"/>
      <c r="P37" s="95"/>
      <c r="Q37" s="95"/>
      <c r="S37" s="83"/>
      <c r="U37" s="82"/>
      <c r="V37" s="55"/>
    </row>
    <row r="38" spans="1:22" x14ac:dyDescent="0.2">
      <c r="A38" s="84"/>
      <c r="B38" s="85"/>
      <c r="C38" s="89" t="s">
        <v>23</v>
      </c>
      <c r="D38" s="85"/>
      <c r="E38" s="90">
        <v>46022</v>
      </c>
      <c r="F38" s="85"/>
      <c r="G38" s="91" t="s">
        <v>59</v>
      </c>
      <c r="H38" s="91" t="s">
        <v>57</v>
      </c>
      <c r="I38" s="92">
        <v>-13</v>
      </c>
      <c r="J38" s="85"/>
      <c r="K38" s="93">
        <v>7257623.1699999999</v>
      </c>
      <c r="L38" s="94"/>
      <c r="M38" s="95">
        <v>4247838</v>
      </c>
      <c r="N38" s="95"/>
      <c r="O38" s="95">
        <v>3953276</v>
      </c>
      <c r="P38" s="95"/>
      <c r="Q38" s="95">
        <v>579402</v>
      </c>
      <c r="S38" s="83">
        <v>7.98</v>
      </c>
      <c r="U38" s="82">
        <v>6.8</v>
      </c>
      <c r="V38" s="55"/>
    </row>
    <row r="39" spans="1:22" x14ac:dyDescent="0.2">
      <c r="A39" s="84"/>
      <c r="B39" s="85"/>
      <c r="C39" s="89" t="s">
        <v>24</v>
      </c>
      <c r="D39" s="85"/>
      <c r="E39" s="90">
        <v>46022</v>
      </c>
      <c r="F39" s="85"/>
      <c r="G39" s="91" t="s">
        <v>59</v>
      </c>
      <c r="H39" s="91" t="s">
        <v>57</v>
      </c>
      <c r="I39" s="92">
        <v>-13</v>
      </c>
      <c r="J39" s="85"/>
      <c r="K39" s="93">
        <v>6567794.7800000003</v>
      </c>
      <c r="L39" s="94"/>
      <c r="M39" s="95">
        <v>3593742.16</v>
      </c>
      <c r="N39" s="95"/>
      <c r="O39" s="95">
        <v>3827866</v>
      </c>
      <c r="P39" s="95"/>
      <c r="Q39" s="95">
        <v>559616</v>
      </c>
      <c r="S39" s="83">
        <v>8.52</v>
      </c>
      <c r="U39" s="82">
        <v>6.8</v>
      </c>
      <c r="V39" s="55"/>
    </row>
    <row r="40" spans="1:22" x14ac:dyDescent="0.2">
      <c r="B40" s="85"/>
      <c r="C40" s="89" t="s">
        <v>25</v>
      </c>
      <c r="D40" s="85"/>
      <c r="E40" s="90">
        <v>46022</v>
      </c>
      <c r="F40" s="85"/>
      <c r="G40" s="91" t="s">
        <v>59</v>
      </c>
      <c r="H40" s="91" t="s">
        <v>57</v>
      </c>
      <c r="I40" s="92">
        <v>-13</v>
      </c>
      <c r="J40" s="85"/>
      <c r="K40" s="93">
        <v>7639006.2400000002</v>
      </c>
      <c r="L40" s="94"/>
      <c r="M40" s="95">
        <v>5896442.1699999999</v>
      </c>
      <c r="N40" s="95"/>
      <c r="O40" s="95">
        <v>2735635</v>
      </c>
      <c r="P40" s="95"/>
      <c r="Q40" s="95">
        <v>406440</v>
      </c>
      <c r="S40" s="83">
        <v>5.32</v>
      </c>
      <c r="U40" s="82">
        <v>6.7</v>
      </c>
      <c r="V40" s="55"/>
    </row>
    <row r="41" spans="1:22" x14ac:dyDescent="0.2">
      <c r="A41" s="84"/>
      <c r="B41" s="85"/>
      <c r="C41" s="89"/>
      <c r="D41" s="85"/>
      <c r="E41" s="86"/>
      <c r="F41" s="85"/>
      <c r="G41" s="91"/>
      <c r="H41" s="91"/>
      <c r="I41" s="92"/>
      <c r="J41" s="85"/>
      <c r="K41" s="93"/>
      <c r="L41" s="94"/>
      <c r="M41" s="95"/>
      <c r="N41" s="95"/>
      <c r="O41" s="95"/>
      <c r="P41" s="95"/>
      <c r="Q41" s="95"/>
      <c r="S41" s="83"/>
      <c r="U41" s="82"/>
      <c r="V41" s="55"/>
    </row>
    <row r="42" spans="1:22" x14ac:dyDescent="0.2">
      <c r="A42" s="84"/>
      <c r="B42" s="85"/>
      <c r="C42" s="96" t="s">
        <v>26</v>
      </c>
      <c r="D42" s="85"/>
      <c r="E42" s="86"/>
      <c r="F42" s="85"/>
      <c r="G42" s="91"/>
      <c r="H42" s="91"/>
      <c r="I42" s="92"/>
      <c r="J42" s="85"/>
      <c r="K42" s="93">
        <f>+SUBTOTAL(9,K38:K40)</f>
        <v>21464424.189999998</v>
      </c>
      <c r="L42" s="94"/>
      <c r="M42" s="95">
        <f>+SUBTOTAL(9,M38:M40)</f>
        <v>13738022.33</v>
      </c>
      <c r="N42" s="95"/>
      <c r="O42" s="95">
        <f>+SUBTOTAL(9,O38:O40)</f>
        <v>10516777</v>
      </c>
      <c r="P42" s="95"/>
      <c r="Q42" s="95">
        <f>+SUBTOTAL(9,Q38:Q40)</f>
        <v>1545458</v>
      </c>
      <c r="S42" s="83">
        <f>Q42/K42*100</f>
        <v>7.2000906538178144</v>
      </c>
      <c r="U42" s="82">
        <f>ROUND(O42/Q42,1)</f>
        <v>6.8</v>
      </c>
      <c r="V42" s="55"/>
    </row>
    <row r="43" spans="1:22" x14ac:dyDescent="0.2">
      <c r="A43" s="84"/>
      <c r="B43" s="85"/>
      <c r="C43" s="89"/>
      <c r="D43" s="85"/>
      <c r="E43" s="86"/>
      <c r="F43" s="85"/>
      <c r="G43" s="91"/>
      <c r="H43" s="91"/>
      <c r="I43" s="92"/>
      <c r="J43" s="85"/>
      <c r="K43" s="93"/>
      <c r="L43" s="85"/>
      <c r="M43" s="88"/>
      <c r="N43" s="88"/>
      <c r="O43" s="88"/>
      <c r="P43" s="88"/>
      <c r="Q43" s="88"/>
      <c r="S43" s="83"/>
      <c r="U43" s="82"/>
      <c r="V43" s="55"/>
    </row>
    <row r="44" spans="1:22" x14ac:dyDescent="0.2">
      <c r="A44" s="84">
        <v>316</v>
      </c>
      <c r="B44" s="85"/>
      <c r="C44" s="89" t="s">
        <v>27</v>
      </c>
      <c r="D44" s="85"/>
      <c r="E44" s="86"/>
      <c r="F44" s="85"/>
      <c r="G44" s="91"/>
      <c r="H44" s="91"/>
      <c r="I44" s="92"/>
      <c r="J44" s="85"/>
      <c r="K44" s="93"/>
      <c r="L44" s="85"/>
      <c r="M44" s="88"/>
      <c r="N44" s="88"/>
      <c r="O44" s="88"/>
      <c r="P44" s="88"/>
      <c r="Q44" s="88"/>
      <c r="S44" s="83"/>
      <c r="U44" s="82"/>
      <c r="V44" s="55"/>
    </row>
    <row r="45" spans="1:22" x14ac:dyDescent="0.2">
      <c r="A45" s="84"/>
      <c r="B45" s="85"/>
      <c r="C45" s="89" t="s">
        <v>28</v>
      </c>
      <c r="D45" s="85"/>
      <c r="E45" s="90">
        <v>46022</v>
      </c>
      <c r="F45" s="85"/>
      <c r="G45" s="91" t="s">
        <v>58</v>
      </c>
      <c r="H45" s="91" t="s">
        <v>57</v>
      </c>
      <c r="I45" s="92">
        <v>-13</v>
      </c>
      <c r="J45" s="85"/>
      <c r="K45" s="93">
        <v>1069833.53</v>
      </c>
      <c r="L45" s="94"/>
      <c r="M45" s="95">
        <v>472091.3</v>
      </c>
      <c r="N45" s="95"/>
      <c r="O45" s="95">
        <v>736821</v>
      </c>
      <c r="P45" s="95"/>
      <c r="Q45" s="95">
        <v>108366</v>
      </c>
      <c r="S45" s="83">
        <v>10.130000000000001</v>
      </c>
      <c r="U45" s="82">
        <v>6.8</v>
      </c>
      <c r="V45" s="55"/>
    </row>
    <row r="46" spans="1:22" x14ac:dyDescent="0.2">
      <c r="A46" s="84"/>
      <c r="B46" s="85"/>
      <c r="C46" s="89" t="s">
        <v>29</v>
      </c>
      <c r="D46" s="85"/>
      <c r="E46" s="90">
        <v>46022</v>
      </c>
      <c r="F46" s="85"/>
      <c r="G46" s="91" t="s">
        <v>58</v>
      </c>
      <c r="H46" s="91" t="s">
        <v>57</v>
      </c>
      <c r="I46" s="92">
        <v>-13</v>
      </c>
      <c r="J46" s="85"/>
      <c r="K46" s="93">
        <v>1191523.74</v>
      </c>
      <c r="L46" s="94"/>
      <c r="M46" s="95">
        <v>525297.55000000005</v>
      </c>
      <c r="N46" s="95"/>
      <c r="O46" s="95">
        <v>821124</v>
      </c>
      <c r="P46" s="95"/>
      <c r="Q46" s="95">
        <v>120952</v>
      </c>
      <c r="S46" s="83">
        <v>10.15</v>
      </c>
      <c r="U46" s="82">
        <v>6.8</v>
      </c>
      <c r="V46" s="55"/>
    </row>
    <row r="47" spans="1:22" x14ac:dyDescent="0.2">
      <c r="A47" s="84"/>
      <c r="B47" s="85"/>
      <c r="C47" s="89" t="s">
        <v>30</v>
      </c>
      <c r="D47" s="85"/>
      <c r="E47" s="90">
        <v>46022</v>
      </c>
      <c r="F47" s="85"/>
      <c r="G47" s="91" t="s">
        <v>58</v>
      </c>
      <c r="H47" s="91" t="s">
        <v>57</v>
      </c>
      <c r="I47" s="92">
        <v>-13</v>
      </c>
      <c r="J47" s="85"/>
      <c r="K47" s="93">
        <v>251533.56</v>
      </c>
      <c r="L47" s="94"/>
      <c r="M47" s="95">
        <v>206949.78</v>
      </c>
      <c r="N47" s="95"/>
      <c r="O47" s="95">
        <v>77283</v>
      </c>
      <c r="P47" s="95"/>
      <c r="Q47" s="95">
        <v>11691</v>
      </c>
      <c r="S47" s="83">
        <v>4.6500000000000004</v>
      </c>
      <c r="U47" s="82">
        <v>6.6</v>
      </c>
      <c r="V47" s="55"/>
    </row>
    <row r="48" spans="1:22" x14ac:dyDescent="0.2">
      <c r="A48" s="84"/>
      <c r="B48" s="85"/>
      <c r="C48" s="89" t="s">
        <v>31</v>
      </c>
      <c r="D48" s="85"/>
      <c r="E48" s="90">
        <v>46022</v>
      </c>
      <c r="F48" s="85"/>
      <c r="G48" s="91" t="s">
        <v>58</v>
      </c>
      <c r="H48" s="91" t="s">
        <v>57</v>
      </c>
      <c r="I48" s="92">
        <v>-13</v>
      </c>
      <c r="J48" s="85"/>
      <c r="K48" s="93">
        <v>4325614.8</v>
      </c>
      <c r="L48" s="94"/>
      <c r="M48" s="95">
        <v>3064481.24</v>
      </c>
      <c r="N48" s="95"/>
      <c r="O48" s="95">
        <v>1823463</v>
      </c>
      <c r="P48" s="95"/>
      <c r="Q48" s="95">
        <v>273330</v>
      </c>
      <c r="S48" s="83">
        <v>6.32</v>
      </c>
      <c r="U48" s="82">
        <v>6.7</v>
      </c>
      <c r="V48" s="55"/>
    </row>
    <row r="49" spans="1:22" x14ac:dyDescent="0.2">
      <c r="A49" s="84"/>
      <c r="B49" s="85"/>
      <c r="C49" s="89"/>
      <c r="D49" s="85"/>
      <c r="E49" s="86"/>
      <c r="F49" s="85"/>
      <c r="G49" s="91"/>
      <c r="H49" s="91"/>
      <c r="I49" s="92"/>
      <c r="J49" s="85"/>
      <c r="K49" s="93"/>
      <c r="L49" s="94"/>
      <c r="M49" s="95"/>
      <c r="N49" s="95"/>
      <c r="O49" s="95"/>
      <c r="P49" s="95"/>
      <c r="Q49" s="95"/>
      <c r="S49" s="83"/>
      <c r="U49" s="82"/>
      <c r="V49" s="55"/>
    </row>
    <row r="50" spans="1:22" x14ac:dyDescent="0.2">
      <c r="A50" s="84"/>
      <c r="B50" s="85"/>
      <c r="C50" s="96" t="s">
        <v>32</v>
      </c>
      <c r="D50" s="85"/>
      <c r="E50" s="86"/>
      <c r="F50" s="85"/>
      <c r="G50" s="91"/>
      <c r="H50" s="91"/>
      <c r="I50" s="92"/>
      <c r="J50" s="85"/>
      <c r="K50" s="97">
        <f>+SUBTOTAL(9,K45:K48)</f>
        <v>6838505.6299999999</v>
      </c>
      <c r="L50" s="94"/>
      <c r="M50" s="98">
        <f>+SUBTOTAL(9,M45:M48)</f>
        <v>4268819.87</v>
      </c>
      <c r="N50" s="95"/>
      <c r="O50" s="98">
        <f>+SUBTOTAL(9,O45:O48)</f>
        <v>3458691</v>
      </c>
      <c r="P50" s="95"/>
      <c r="Q50" s="98">
        <f>+SUBTOTAL(9,Q45:Q48)</f>
        <v>514339</v>
      </c>
      <c r="S50" s="83">
        <f>Q50/K50*100</f>
        <v>7.521219222861121</v>
      </c>
      <c r="U50" s="82">
        <f>ROUND(O50/Q50,1)</f>
        <v>6.7</v>
      </c>
      <c r="V50" s="55"/>
    </row>
    <row r="51" spans="1:22" x14ac:dyDescent="0.2">
      <c r="A51" s="84"/>
      <c r="B51" s="99"/>
      <c r="C51" s="89"/>
      <c r="D51" s="100"/>
      <c r="E51" s="86"/>
      <c r="F51" s="100"/>
      <c r="G51" s="91"/>
      <c r="H51" s="91"/>
      <c r="I51" s="92"/>
      <c r="J51" s="100"/>
      <c r="K51" s="93"/>
      <c r="L51" s="94"/>
      <c r="M51" s="95"/>
      <c r="N51" s="95"/>
      <c r="O51" s="95"/>
      <c r="P51" s="95"/>
      <c r="Q51" s="95"/>
      <c r="R51" s="55"/>
      <c r="S51" s="83"/>
      <c r="T51" s="55"/>
      <c r="U51" s="82"/>
      <c r="V51" s="55"/>
    </row>
    <row r="52" spans="1:22" ht="15.75" x14ac:dyDescent="0.25">
      <c r="A52" s="83"/>
      <c r="C52" s="79" t="s">
        <v>33</v>
      </c>
      <c r="G52" s="59"/>
      <c r="H52" s="59"/>
      <c r="I52" s="101"/>
      <c r="K52" s="102">
        <f>SUBTOTAL(9,K17:K50)</f>
        <v>530595443.76999992</v>
      </c>
      <c r="L52" s="103"/>
      <c r="M52" s="104">
        <f>SUBTOTAL(9,M17:M50)</f>
        <v>332554235.72000003</v>
      </c>
      <c r="N52" s="105"/>
      <c r="O52" s="104">
        <f>SUBTOTAL(9,O17:O50)</f>
        <v>271220276</v>
      </c>
      <c r="P52" s="105"/>
      <c r="Q52" s="104">
        <f>SUBTOTAL(9,Q17:Q50)</f>
        <v>39758558</v>
      </c>
      <c r="S52" s="106">
        <f>ROUND(Q52/K52*100,2)</f>
        <v>7.49</v>
      </c>
      <c r="U52" s="82"/>
      <c r="V52" s="55"/>
    </row>
    <row r="53" spans="1:22" ht="15.75" x14ac:dyDescent="0.25">
      <c r="A53" s="83"/>
      <c r="C53" s="79"/>
      <c r="G53" s="59"/>
      <c r="H53" s="59"/>
      <c r="I53" s="101"/>
      <c r="K53" s="107"/>
      <c r="L53" s="63"/>
      <c r="M53" s="108"/>
      <c r="N53" s="108"/>
      <c r="O53" s="108"/>
      <c r="P53" s="108"/>
      <c r="Q53" s="108"/>
      <c r="S53" s="83"/>
      <c r="U53" s="82"/>
      <c r="V53" s="55"/>
    </row>
    <row r="54" spans="1:22" x14ac:dyDescent="0.2">
      <c r="A54" s="83"/>
      <c r="C54" s="109"/>
      <c r="G54" s="59"/>
      <c r="H54" s="59"/>
      <c r="I54" s="101"/>
      <c r="K54" s="107"/>
      <c r="S54" s="83"/>
      <c r="U54" s="82"/>
      <c r="V54" s="55"/>
    </row>
    <row r="55" spans="1:22" x14ac:dyDescent="0.2">
      <c r="A55" s="83"/>
      <c r="G55" s="70"/>
      <c r="I55" s="101"/>
      <c r="K55" s="107"/>
      <c r="M55" s="81"/>
      <c r="N55" s="81"/>
      <c r="O55" s="81"/>
      <c r="P55" s="81"/>
      <c r="Q55" s="81"/>
      <c r="S55" s="83"/>
      <c r="U55" s="82"/>
      <c r="V55" s="55"/>
    </row>
    <row r="56" spans="1:22" ht="16.5" thickBot="1" x14ac:dyDescent="0.3">
      <c r="A56" s="55"/>
      <c r="C56" s="79" t="s">
        <v>56</v>
      </c>
      <c r="G56" s="70"/>
      <c r="I56" s="101"/>
      <c r="K56" s="110">
        <f>+SUBTOTAL(9,K17:K55)</f>
        <v>530595443.76999992</v>
      </c>
      <c r="L56" s="63"/>
      <c r="M56" s="111">
        <f>+SUBTOTAL(9,M17:M55)</f>
        <v>332554235.72000003</v>
      </c>
      <c r="N56" s="108"/>
      <c r="O56" s="111">
        <f>+SUBTOTAL(9,O17:O55)</f>
        <v>271220276</v>
      </c>
      <c r="P56" s="108"/>
      <c r="Q56" s="111">
        <f>+SUBTOTAL(9,Q17:Q55)</f>
        <v>39758558</v>
      </c>
      <c r="R56" s="63"/>
      <c r="S56" s="83"/>
      <c r="U56" s="112"/>
      <c r="V56" s="55"/>
    </row>
    <row r="57" spans="1:22" ht="16.5" thickTop="1" x14ac:dyDescent="0.25">
      <c r="A57" s="55"/>
      <c r="C57" s="79"/>
      <c r="G57" s="70"/>
      <c r="I57" s="101"/>
      <c r="K57" s="113"/>
      <c r="L57" s="63"/>
      <c r="M57" s="108"/>
      <c r="N57" s="108"/>
      <c r="O57" s="108"/>
      <c r="P57" s="108"/>
      <c r="Q57" s="108"/>
      <c r="R57" s="63"/>
      <c r="S57" s="83"/>
      <c r="U57" s="112"/>
      <c r="V57" s="55"/>
    </row>
    <row r="58" spans="1:22" ht="15.75" x14ac:dyDescent="0.25">
      <c r="A58" s="55"/>
      <c r="C58" s="63"/>
      <c r="G58" s="70"/>
      <c r="I58" s="101"/>
      <c r="K58" s="113"/>
      <c r="L58" s="63"/>
      <c r="M58" s="108"/>
      <c r="N58" s="108"/>
      <c r="O58" s="108"/>
      <c r="P58" s="108"/>
      <c r="Q58" s="108"/>
      <c r="R58" s="63"/>
      <c r="S58" s="83"/>
      <c r="U58" s="112"/>
      <c r="V58" s="55"/>
    </row>
    <row r="59" spans="1:22" ht="15.75" x14ac:dyDescent="0.25">
      <c r="A59" s="55"/>
      <c r="C59" s="79"/>
      <c r="G59" s="70"/>
      <c r="I59" s="101"/>
      <c r="K59" s="107"/>
      <c r="L59" s="63"/>
      <c r="M59" s="81"/>
      <c r="N59" s="108"/>
      <c r="O59" s="108"/>
      <c r="P59" s="108"/>
      <c r="Q59" s="108"/>
      <c r="R59" s="63"/>
      <c r="S59" s="83"/>
      <c r="U59" s="112"/>
      <c r="V59" s="55"/>
    </row>
    <row r="60" spans="1:22" x14ac:dyDescent="0.2">
      <c r="A60" s="55"/>
      <c r="G60" s="70"/>
      <c r="I60" s="101"/>
      <c r="K60" s="107"/>
      <c r="N60" s="81"/>
      <c r="O60" s="81"/>
      <c r="P60" s="81"/>
      <c r="Q60" s="81" t="s">
        <v>10</v>
      </c>
      <c r="S60" s="83"/>
      <c r="U60" s="82"/>
      <c r="V60" s="55"/>
    </row>
    <row r="61" spans="1:22" x14ac:dyDescent="0.2">
      <c r="B61" s="56" t="s">
        <v>55</v>
      </c>
      <c r="H61" s="80"/>
      <c r="I61" s="56"/>
      <c r="K61" s="114"/>
    </row>
    <row r="62" spans="1:22" x14ac:dyDescent="0.2">
      <c r="B62" s="115"/>
      <c r="C62" s="70"/>
      <c r="D62" s="116"/>
      <c r="E62" s="116"/>
      <c r="F62" s="116"/>
      <c r="G62" s="116"/>
      <c r="H62" s="80"/>
      <c r="I62" s="56"/>
    </row>
    <row r="63" spans="1:22" x14ac:dyDescent="0.2">
      <c r="B63" s="115"/>
      <c r="C63" s="70"/>
      <c r="D63" s="116"/>
      <c r="E63" s="116"/>
      <c r="F63" s="116"/>
      <c r="G63" s="116"/>
      <c r="H63" s="80"/>
      <c r="I63" s="56"/>
    </row>
  </sheetData>
  <pageMargins left="0.7" right="0.7" top="0.65" bottom="0.5" header="0.3" footer="0.3"/>
  <pageSetup scale="51" fitToHeight="0" orientation="landscape" horizontalDpi="4294967295" verticalDpi="4294967295" r:id="rId1"/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7"/>
  <sheetViews>
    <sheetView zoomScaleNormal="100" workbookViewId="0">
      <selection activeCell="J14" sqref="J14"/>
    </sheetView>
  </sheetViews>
  <sheetFormatPr defaultColWidth="9.140625" defaultRowHeight="12.75" x14ac:dyDescent="0.2"/>
  <cols>
    <col min="1" max="1" width="2.7109375" style="15" customWidth="1"/>
    <col min="2" max="2" width="44.7109375" style="18" bestFit="1" customWidth="1"/>
    <col min="3" max="3" width="12.42578125" style="15" bestFit="1" customWidth="1"/>
    <col min="4" max="4" width="13.7109375" style="15" bestFit="1" customWidth="1"/>
    <col min="5" max="5" width="9.28515625" style="15" bestFit="1" customWidth="1"/>
    <col min="6" max="6" width="12.42578125" style="41" bestFit="1" customWidth="1"/>
    <col min="7" max="7" width="12.42578125" style="15" bestFit="1" customWidth="1"/>
    <col min="8" max="8" width="7.28515625" style="15" bestFit="1" customWidth="1"/>
    <col min="9" max="9" width="14.28515625" style="15" bestFit="1" customWidth="1"/>
    <col min="10" max="10" width="9.5703125" style="15" bestFit="1" customWidth="1"/>
    <col min="11" max="11" width="11.7109375" style="15" bestFit="1" customWidth="1"/>
    <col min="12" max="12" width="14.7109375" style="15" bestFit="1" customWidth="1"/>
    <col min="13" max="13" width="11.85546875" style="15" bestFit="1" customWidth="1"/>
    <col min="14" max="16384" width="9.140625" style="15"/>
  </cols>
  <sheetData>
    <row r="1" spans="2:13" x14ac:dyDescent="0.2">
      <c r="B1" s="14" t="s">
        <v>238</v>
      </c>
    </row>
    <row r="2" spans="2:13" x14ac:dyDescent="0.2">
      <c r="B2" s="14"/>
      <c r="C2" s="16"/>
      <c r="D2" s="17" t="s">
        <v>127</v>
      </c>
      <c r="E2" s="16"/>
      <c r="F2" s="47"/>
      <c r="G2" s="16"/>
      <c r="I2" s="17" t="s">
        <v>205</v>
      </c>
      <c r="J2" s="17"/>
      <c r="K2" s="17"/>
      <c r="L2" s="17"/>
    </row>
    <row r="3" spans="2:13" ht="13.5" thickBot="1" x14ac:dyDescent="0.25">
      <c r="B3" s="14"/>
    </row>
    <row r="4" spans="2:13" ht="13.5" thickBot="1" x14ac:dyDescent="0.25">
      <c r="D4" s="19" t="s">
        <v>126</v>
      </c>
      <c r="E4" s="19" t="s">
        <v>219</v>
      </c>
      <c r="F4" s="145" t="s">
        <v>125</v>
      </c>
      <c r="G4" s="146"/>
      <c r="I4" s="19" t="s">
        <v>126</v>
      </c>
      <c r="J4" s="19" t="s">
        <v>219</v>
      </c>
      <c r="K4" s="145" t="s">
        <v>125</v>
      </c>
      <c r="L4" s="146"/>
    </row>
    <row r="5" spans="2:13" ht="25.5" x14ac:dyDescent="0.2">
      <c r="D5" s="20" t="s">
        <v>124</v>
      </c>
      <c r="E5" s="20" t="s">
        <v>220</v>
      </c>
      <c r="F5" s="20" t="s">
        <v>123</v>
      </c>
      <c r="G5" s="21" t="s">
        <v>122</v>
      </c>
      <c r="I5" s="20" t="s">
        <v>124</v>
      </c>
      <c r="J5" s="20" t="s">
        <v>220</v>
      </c>
      <c r="K5" s="20" t="s">
        <v>123</v>
      </c>
      <c r="L5" s="21" t="s">
        <v>122</v>
      </c>
    </row>
    <row r="6" spans="2:13" x14ac:dyDescent="0.2">
      <c r="B6" s="48" t="s">
        <v>230</v>
      </c>
      <c r="C6" s="22" t="s">
        <v>232</v>
      </c>
      <c r="D6" s="49">
        <f>'PT RPT 257A'!B23</f>
        <v>108507130</v>
      </c>
      <c r="E6" s="49"/>
      <c r="F6" s="49"/>
      <c r="G6" s="49"/>
      <c r="H6" s="23"/>
      <c r="I6" s="49">
        <f>'PT RPT 257A'!B44</f>
        <v>160378428</v>
      </c>
      <c r="J6" s="49"/>
      <c r="K6" s="49"/>
      <c r="L6" s="49"/>
    </row>
    <row r="7" spans="2:13" x14ac:dyDescent="0.2">
      <c r="B7" s="48" t="s">
        <v>227</v>
      </c>
      <c r="C7" s="22" t="s">
        <v>232</v>
      </c>
      <c r="D7" s="50"/>
      <c r="E7" s="50"/>
      <c r="F7" s="50">
        <f>D7*0.21</f>
        <v>0</v>
      </c>
      <c r="G7" s="23"/>
      <c r="H7" s="23"/>
      <c r="I7" s="50">
        <f>'PT RPT 257A'!C44</f>
        <v>18944479</v>
      </c>
      <c r="J7" s="50"/>
      <c r="K7" s="50">
        <f>I7*0.21</f>
        <v>3978340.59</v>
      </c>
      <c r="L7" s="23"/>
      <c r="M7" s="24"/>
    </row>
    <row r="8" spans="2:13" x14ac:dyDescent="0.2">
      <c r="B8" s="48" t="s">
        <v>228</v>
      </c>
      <c r="C8" s="22" t="s">
        <v>232</v>
      </c>
      <c r="D8" s="50">
        <f>'PT RPT 257A'!D23+'PT RPT 257A'!C23</f>
        <v>-18673339</v>
      </c>
      <c r="E8" s="50"/>
      <c r="F8" s="50">
        <f>D8*0.21</f>
        <v>-3921401.19</v>
      </c>
      <c r="G8" s="23"/>
      <c r="H8" s="23"/>
      <c r="I8" s="50">
        <f>'PT RPT 257A'!D44</f>
        <v>-16709263</v>
      </c>
      <c r="J8" s="50"/>
      <c r="K8" s="50">
        <f>I8*0.21</f>
        <v>-3508945.23</v>
      </c>
      <c r="L8" s="23"/>
      <c r="M8" s="25"/>
    </row>
    <row r="9" spans="2:13" x14ac:dyDescent="0.2">
      <c r="B9" s="48" t="s">
        <v>229</v>
      </c>
      <c r="C9" s="22" t="s">
        <v>232</v>
      </c>
      <c r="D9" s="50">
        <f>'PT RPT 257A'!E23</f>
        <v>1183632</v>
      </c>
      <c r="E9" s="50"/>
      <c r="F9" s="50" t="s">
        <v>117</v>
      </c>
      <c r="G9" s="23"/>
      <c r="H9" s="50"/>
      <c r="I9" s="50">
        <f>'PT RPT 257A'!E44</f>
        <v>-2143733</v>
      </c>
      <c r="J9" s="50"/>
      <c r="K9" s="50" t="s">
        <v>117</v>
      </c>
      <c r="L9" s="23"/>
      <c r="M9" s="24"/>
    </row>
    <row r="10" spans="2:13" x14ac:dyDescent="0.2">
      <c r="B10" s="48" t="s">
        <v>231</v>
      </c>
      <c r="C10" s="22" t="s">
        <v>232</v>
      </c>
      <c r="D10" s="50">
        <f>SUM(D6:D9)</f>
        <v>91017423</v>
      </c>
      <c r="E10" s="50"/>
      <c r="F10" s="50"/>
      <c r="G10" s="23"/>
      <c r="H10" s="50"/>
      <c r="I10" s="50">
        <f>SUM(I6:I9)</f>
        <v>160469911</v>
      </c>
      <c r="J10" s="50"/>
      <c r="K10" s="50"/>
      <c r="L10" s="23"/>
    </row>
    <row r="11" spans="2:13" ht="29.25" customHeight="1" x14ac:dyDescent="0.2">
      <c r="B11" s="48"/>
      <c r="C11" s="51"/>
      <c r="D11" s="50"/>
      <c r="E11" s="50"/>
      <c r="F11" s="50"/>
      <c r="G11" s="23"/>
      <c r="H11" s="50"/>
      <c r="I11" s="50"/>
      <c r="J11" s="50"/>
      <c r="K11" s="50"/>
      <c r="L11" s="23"/>
    </row>
    <row r="12" spans="2:13" x14ac:dyDescent="0.2">
      <c r="B12" s="48" t="s">
        <v>236</v>
      </c>
      <c r="C12" s="51" t="s">
        <v>233</v>
      </c>
      <c r="D12" s="50">
        <f>'PT RPT 257A'!G23</f>
        <v>38021581</v>
      </c>
      <c r="E12" s="50"/>
      <c r="F12" s="50"/>
      <c r="G12" s="23"/>
      <c r="H12" s="50"/>
      <c r="I12" s="50">
        <f>'PT RPT 257A'!G44</f>
        <v>53111795</v>
      </c>
      <c r="J12" s="50"/>
      <c r="K12" s="50"/>
      <c r="L12" s="23"/>
    </row>
    <row r="13" spans="2:13" x14ac:dyDescent="0.2">
      <c r="B13" s="48" t="s">
        <v>234</v>
      </c>
      <c r="C13" s="51" t="s">
        <v>233</v>
      </c>
      <c r="D13" s="50"/>
      <c r="E13" s="50"/>
      <c r="F13" s="50">
        <f>F7</f>
        <v>0</v>
      </c>
      <c r="G13" s="26">
        <f>D13-F13</f>
        <v>0</v>
      </c>
      <c r="H13" s="50"/>
      <c r="I13" s="50">
        <f>'PT RPT 257A'!H44</f>
        <v>3978179</v>
      </c>
      <c r="J13" s="50"/>
      <c r="K13" s="50">
        <f>K7</f>
        <v>3978340.59</v>
      </c>
      <c r="L13" s="26">
        <f>I13-K13</f>
        <v>-161.58999999985099</v>
      </c>
    </row>
    <row r="14" spans="2:13" x14ac:dyDescent="0.2">
      <c r="B14" s="48" t="s">
        <v>235</v>
      </c>
      <c r="C14" s="51" t="s">
        <v>233</v>
      </c>
      <c r="D14" s="50">
        <f>'PT RPT 257A'!I23+'PT RPT 257A'!H23</f>
        <v>-6082016</v>
      </c>
      <c r="E14" s="52">
        <f>ROUND(D14/(D8+D9),3)</f>
        <v>0.34799999999999998</v>
      </c>
      <c r="F14" s="50">
        <f>F8</f>
        <v>-3921401.19</v>
      </c>
      <c r="G14" s="26">
        <f>D14-F14</f>
        <v>-2160614.81</v>
      </c>
      <c r="I14" s="50">
        <f>'PT RPT 257A'!I44</f>
        <v>-6219488</v>
      </c>
      <c r="J14" s="52">
        <f>ROUND(I14/(I8+I9),3)</f>
        <v>0.33</v>
      </c>
      <c r="K14" s="50">
        <f>K8</f>
        <v>-3508945.23</v>
      </c>
      <c r="L14" s="26">
        <f>+I14-K14</f>
        <v>-2710542.77</v>
      </c>
    </row>
    <row r="15" spans="2:13" x14ac:dyDescent="0.2">
      <c r="B15" s="48" t="s">
        <v>237</v>
      </c>
      <c r="C15" s="51" t="s">
        <v>233</v>
      </c>
      <c r="D15" s="50">
        <f>SUM(D12:D14)</f>
        <v>31939565</v>
      </c>
      <c r="E15" s="50"/>
      <c r="F15" s="50"/>
      <c r="G15" s="23"/>
      <c r="H15" s="50"/>
      <c r="I15" s="50">
        <f>SUM(I12:I14)</f>
        <v>50870486</v>
      </c>
      <c r="J15" s="50"/>
      <c r="K15" s="50"/>
      <c r="L15" s="23"/>
    </row>
    <row r="16" spans="2:13" ht="13.5" thickBot="1" x14ac:dyDescent="0.25">
      <c r="C16" s="49"/>
      <c r="E16" s="49"/>
      <c r="F16" s="53">
        <f>SUM(F13:F15)</f>
        <v>-3921401.19</v>
      </c>
      <c r="G16" s="53">
        <f>SUM(G13:G15)</f>
        <v>-2160614.81</v>
      </c>
      <c r="H16" s="49"/>
      <c r="K16" s="53">
        <f>SUM(K13:K15)</f>
        <v>469395.35999999987</v>
      </c>
      <c r="L16" s="53">
        <f>SUM(L13:L15)</f>
        <v>-2710704.36</v>
      </c>
    </row>
    <row r="17" spans="7:12" ht="13.5" thickTop="1" x14ac:dyDescent="0.2">
      <c r="G17" s="27">
        <f>SUM(F16:G16)-SUM(D13:D14)</f>
        <v>0</v>
      </c>
      <c r="K17" s="41"/>
      <c r="L17" s="27">
        <f>SUM(I13:I14)-SUM(K16:L16)</f>
        <v>0</v>
      </c>
    </row>
  </sheetData>
  <mergeCells count="2">
    <mergeCell ref="F4:G4"/>
    <mergeCell ref="K4:L4"/>
  </mergeCells>
  <pageMargins left="0.7" right="0.7" top="0.75" bottom="0.75" header="0.3" footer="0.3"/>
  <pageSetup scale="75" orientation="landscape" r:id="rId1"/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1"/>
  <sheetViews>
    <sheetView topLeftCell="A4" zoomScaleNormal="100" workbookViewId="0">
      <pane xSplit="1" ySplit="4" topLeftCell="B116" activePane="bottomRight" state="frozen"/>
      <selection sqref="A1:XFD1048576"/>
      <selection pane="topRight" sqref="A1:XFD1048576"/>
      <selection pane="bottomLeft" sqref="A1:XFD1048576"/>
      <selection pane="bottomRight" activeCell="E18" sqref="E18"/>
    </sheetView>
  </sheetViews>
  <sheetFormatPr defaultColWidth="9.140625" defaultRowHeight="15" x14ac:dyDescent="0.25"/>
  <cols>
    <col min="1" max="1" width="48" style="40" bestFit="1" customWidth="1"/>
    <col min="2" max="2" width="17.28515625" style="41" bestFit="1" customWidth="1"/>
    <col min="3" max="3" width="15.5703125" style="41" bestFit="1" customWidth="1"/>
    <col min="4" max="4" width="16.28515625" style="41" bestFit="1" customWidth="1"/>
    <col min="5" max="5" width="14.5703125" style="41" bestFit="1" customWidth="1"/>
    <col min="6" max="7" width="17.28515625" style="41" bestFit="1" customWidth="1"/>
    <col min="8" max="8" width="14.5703125" style="41" bestFit="1" customWidth="1"/>
    <col min="9" max="9" width="15.28515625" style="41" bestFit="1" customWidth="1"/>
    <col min="10" max="10" width="15.28515625" style="42" customWidth="1"/>
    <col min="11" max="13" width="17.28515625" style="41" bestFit="1" customWidth="1"/>
    <col min="14" max="14" width="15.28515625" style="41" bestFit="1" customWidth="1"/>
    <col min="15" max="15" width="16.28515625" style="41" bestFit="1" customWidth="1"/>
    <col min="16" max="16" width="15.28515625" style="41" bestFit="1" customWidth="1"/>
    <col min="17" max="17" width="16.28515625" style="41" bestFit="1" customWidth="1"/>
    <col min="18" max="16384" width="9.140625" style="40"/>
  </cols>
  <sheetData>
    <row r="1" spans="1:17" x14ac:dyDescent="0.25">
      <c r="A1" s="40" t="s">
        <v>218</v>
      </c>
    </row>
    <row r="2" spans="1:17" x14ac:dyDescent="0.25">
      <c r="A2" s="40" t="s">
        <v>217</v>
      </c>
    </row>
    <row r="3" spans="1:17" x14ac:dyDescent="0.25">
      <c r="A3" s="40" t="s">
        <v>216</v>
      </c>
    </row>
    <row r="4" spans="1:17" x14ac:dyDescent="0.25">
      <c r="A4" s="40" t="s">
        <v>215</v>
      </c>
    </row>
    <row r="5" spans="1:17" x14ac:dyDescent="0.25">
      <c r="A5" s="40" t="s">
        <v>214</v>
      </c>
      <c r="J5" s="43">
        <f>G8+H8+I8-K8</f>
        <v>-435254</v>
      </c>
    </row>
    <row r="7" spans="1:17" ht="51.75" x14ac:dyDescent="0.25">
      <c r="A7" s="40" t="s">
        <v>213</v>
      </c>
      <c r="B7" s="44" t="s">
        <v>121</v>
      </c>
      <c r="C7" s="44" t="s">
        <v>120</v>
      </c>
      <c r="D7" s="44" t="s">
        <v>119</v>
      </c>
      <c r="E7" s="44" t="s">
        <v>118</v>
      </c>
      <c r="F7" s="44" t="s">
        <v>116</v>
      </c>
      <c r="G7" s="44" t="s">
        <v>115</v>
      </c>
      <c r="H7" s="44" t="s">
        <v>114</v>
      </c>
      <c r="I7" s="44" t="s">
        <v>113</v>
      </c>
      <c r="J7" s="45"/>
      <c r="K7" s="44" t="s">
        <v>112</v>
      </c>
      <c r="L7" s="44" t="s">
        <v>212</v>
      </c>
      <c r="M7" s="44" t="s">
        <v>211</v>
      </c>
      <c r="N7" s="44" t="s">
        <v>210</v>
      </c>
      <c r="O7" s="44" t="s">
        <v>209</v>
      </c>
      <c r="P7" s="44" t="s">
        <v>208</v>
      </c>
      <c r="Q7" s="44" t="s">
        <v>207</v>
      </c>
    </row>
    <row r="8" spans="1:17" x14ac:dyDescent="0.25">
      <c r="A8" s="40" t="s">
        <v>203</v>
      </c>
      <c r="B8" s="41">
        <v>108969223</v>
      </c>
      <c r="C8" s="41">
        <v>-3453187</v>
      </c>
      <c r="D8" s="41">
        <v>-15243775</v>
      </c>
      <c r="E8" s="41">
        <v>1133951</v>
      </c>
      <c r="F8" s="41">
        <v>91406211</v>
      </c>
      <c r="G8" s="41">
        <v>38183238</v>
      </c>
      <c r="H8" s="41">
        <v>-725169</v>
      </c>
      <c r="I8" s="41">
        <v>-5368370</v>
      </c>
      <c r="J8" s="46">
        <f>I8/D8</f>
        <v>0.35216801612461479</v>
      </c>
      <c r="K8" s="41">
        <v>32524953</v>
      </c>
      <c r="L8" s="41">
        <v>22883537</v>
      </c>
      <c r="M8" s="41">
        <v>19195304</v>
      </c>
      <c r="N8" s="41">
        <v>0</v>
      </c>
      <c r="O8" s="41">
        <v>-15299701</v>
      </c>
      <c r="P8" s="41">
        <v>0</v>
      </c>
      <c r="Q8" s="41">
        <v>-13329649</v>
      </c>
    </row>
    <row r="9" spans="1:17" x14ac:dyDescent="0.25">
      <c r="A9" s="40" t="s">
        <v>199</v>
      </c>
      <c r="B9" s="41">
        <v>108969223</v>
      </c>
      <c r="C9" s="41">
        <v>-3453187</v>
      </c>
      <c r="D9" s="41">
        <v>-15243775</v>
      </c>
      <c r="E9" s="41">
        <v>1133951</v>
      </c>
      <c r="F9" s="41">
        <v>91406211</v>
      </c>
      <c r="G9" s="41">
        <v>38183238</v>
      </c>
      <c r="H9" s="41">
        <v>-725169</v>
      </c>
      <c r="I9" s="41">
        <v>-5368370</v>
      </c>
      <c r="J9" s="46">
        <f>I9/D9</f>
        <v>0.35216801612461479</v>
      </c>
      <c r="K9" s="41">
        <v>32524953</v>
      </c>
      <c r="L9" s="41">
        <v>22883537</v>
      </c>
      <c r="M9" s="41">
        <v>19195304</v>
      </c>
      <c r="N9" s="41">
        <v>0</v>
      </c>
      <c r="O9" s="41">
        <v>-15299701</v>
      </c>
      <c r="P9" s="41">
        <v>0</v>
      </c>
      <c r="Q9" s="41">
        <v>-13329649</v>
      </c>
    </row>
    <row r="10" spans="1:17" x14ac:dyDescent="0.25">
      <c r="A10" s="40" t="s">
        <v>190</v>
      </c>
      <c r="B10" s="41">
        <v>-696545</v>
      </c>
      <c r="C10" s="41">
        <v>-23253</v>
      </c>
      <c r="D10" s="41">
        <v>60654</v>
      </c>
      <c r="E10" s="41">
        <v>768</v>
      </c>
      <c r="F10" s="41">
        <v>-658377</v>
      </c>
      <c r="G10" s="41">
        <v>-240464</v>
      </c>
      <c r="H10" s="41">
        <v>-5005</v>
      </c>
      <c r="I10" s="41">
        <v>21351</v>
      </c>
      <c r="J10" s="46">
        <f>I10/D10</f>
        <v>0.35201305767138191</v>
      </c>
      <c r="K10" s="41">
        <v>-224119</v>
      </c>
      <c r="L10" s="41">
        <v>-146275</v>
      </c>
      <c r="M10" s="41">
        <v>-138259</v>
      </c>
      <c r="N10" s="41">
        <v>-1996</v>
      </c>
      <c r="O10" s="41">
        <v>96186</v>
      </c>
      <c r="P10" s="41">
        <v>-1835</v>
      </c>
      <c r="Q10" s="41">
        <v>87694</v>
      </c>
    </row>
    <row r="11" spans="1:17" x14ac:dyDescent="0.25">
      <c r="A11" s="40" t="s">
        <v>182</v>
      </c>
      <c r="B11" s="41">
        <v>0</v>
      </c>
      <c r="C11" s="41">
        <v>0</v>
      </c>
      <c r="D11" s="41">
        <v>0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6"/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</row>
    <row r="12" spans="1:17" x14ac:dyDescent="0.25">
      <c r="A12" s="40" t="s">
        <v>180</v>
      </c>
      <c r="B12" s="41">
        <v>225164</v>
      </c>
      <c r="C12" s="41">
        <v>0</v>
      </c>
      <c r="D12" s="41">
        <v>-13777</v>
      </c>
      <c r="E12" s="41">
        <v>0</v>
      </c>
      <c r="F12" s="41">
        <v>211387</v>
      </c>
      <c r="G12" s="41">
        <v>78807</v>
      </c>
      <c r="H12" s="41">
        <v>0</v>
      </c>
      <c r="I12" s="41">
        <v>-4822</v>
      </c>
      <c r="J12" s="46">
        <f>I12/D12</f>
        <v>0.35000362923713435</v>
      </c>
      <c r="K12" s="41">
        <v>73985</v>
      </c>
      <c r="L12" s="41">
        <v>47284</v>
      </c>
      <c r="M12" s="41">
        <v>44391</v>
      </c>
      <c r="N12" s="41">
        <v>0</v>
      </c>
      <c r="O12" s="41">
        <v>-31523</v>
      </c>
      <c r="P12" s="41">
        <v>0</v>
      </c>
      <c r="Q12" s="41">
        <v>-29594</v>
      </c>
    </row>
    <row r="13" spans="1:17" x14ac:dyDescent="0.25">
      <c r="A13" s="40" t="s">
        <v>143</v>
      </c>
      <c r="B13" s="41">
        <v>-471381</v>
      </c>
      <c r="C13" s="41">
        <v>-23253</v>
      </c>
      <c r="D13" s="41">
        <v>46876</v>
      </c>
      <c r="E13" s="41">
        <v>768</v>
      </c>
      <c r="F13" s="41">
        <v>-446990</v>
      </c>
      <c r="G13" s="41">
        <v>-161657</v>
      </c>
      <c r="H13" s="41">
        <v>-5005</v>
      </c>
      <c r="I13" s="41">
        <v>16529</v>
      </c>
      <c r="J13" s="46">
        <f>I13/D13</f>
        <v>0.35261114429558837</v>
      </c>
      <c r="K13" s="41">
        <v>-150133</v>
      </c>
      <c r="L13" s="41">
        <v>-98990</v>
      </c>
      <c r="M13" s="41">
        <v>-93868</v>
      </c>
      <c r="N13" s="41">
        <v>-1996</v>
      </c>
      <c r="O13" s="41">
        <v>64663</v>
      </c>
      <c r="P13" s="41">
        <v>-1835</v>
      </c>
      <c r="Q13" s="41">
        <v>58100</v>
      </c>
    </row>
    <row r="14" spans="1:17" x14ac:dyDescent="0.25">
      <c r="A14" s="40" t="s">
        <v>174</v>
      </c>
      <c r="B14" s="41">
        <v>-62847</v>
      </c>
      <c r="C14" s="41">
        <v>0</v>
      </c>
      <c r="D14" s="41">
        <v>0</v>
      </c>
      <c r="E14" s="41">
        <v>4755</v>
      </c>
      <c r="F14" s="41">
        <v>-58092</v>
      </c>
      <c r="G14" s="41">
        <v>0</v>
      </c>
      <c r="H14" s="41">
        <v>0</v>
      </c>
      <c r="I14" s="41">
        <v>0</v>
      </c>
      <c r="K14" s="41">
        <v>0</v>
      </c>
      <c r="L14" s="41">
        <v>-21996</v>
      </c>
      <c r="M14" s="41">
        <v>-20332</v>
      </c>
      <c r="N14" s="41">
        <v>-21996</v>
      </c>
      <c r="O14" s="41">
        <v>0</v>
      </c>
      <c r="P14" s="41">
        <v>-20332</v>
      </c>
      <c r="Q14" s="41">
        <v>0</v>
      </c>
    </row>
    <row r="15" spans="1:17" x14ac:dyDescent="0.25">
      <c r="A15" s="40" t="s">
        <v>171</v>
      </c>
      <c r="B15" s="41">
        <v>994873</v>
      </c>
      <c r="C15" s="41">
        <v>0</v>
      </c>
      <c r="D15" s="41">
        <v>0</v>
      </c>
      <c r="E15" s="41">
        <v>-71947</v>
      </c>
      <c r="F15" s="41">
        <v>922926</v>
      </c>
      <c r="G15" s="41">
        <v>0</v>
      </c>
      <c r="H15" s="41">
        <v>0</v>
      </c>
      <c r="I15" s="41">
        <v>0</v>
      </c>
      <c r="K15" s="41">
        <v>0</v>
      </c>
      <c r="L15" s="41">
        <v>348205</v>
      </c>
      <c r="M15" s="41">
        <v>323024</v>
      </c>
      <c r="N15" s="41">
        <v>348205</v>
      </c>
      <c r="O15" s="41">
        <v>0</v>
      </c>
      <c r="P15" s="41">
        <v>323024</v>
      </c>
      <c r="Q15" s="41">
        <v>0</v>
      </c>
    </row>
    <row r="16" spans="1:17" x14ac:dyDescent="0.25">
      <c r="A16" s="40" t="s">
        <v>166</v>
      </c>
      <c r="B16" s="41">
        <v>-150284</v>
      </c>
      <c r="C16" s="41">
        <v>0</v>
      </c>
      <c r="D16" s="41">
        <v>0</v>
      </c>
      <c r="E16" s="41">
        <v>10001</v>
      </c>
      <c r="F16" s="41">
        <v>-140283</v>
      </c>
      <c r="G16" s="41">
        <v>0</v>
      </c>
      <c r="H16" s="41">
        <v>0</v>
      </c>
      <c r="I16" s="41">
        <v>0</v>
      </c>
      <c r="K16" s="41">
        <v>0</v>
      </c>
      <c r="L16" s="41">
        <v>-52599</v>
      </c>
      <c r="M16" s="41">
        <v>-49099</v>
      </c>
      <c r="N16" s="41">
        <v>-52599</v>
      </c>
      <c r="O16" s="41">
        <v>0</v>
      </c>
      <c r="P16" s="41">
        <v>-49099</v>
      </c>
      <c r="Q16" s="41">
        <v>0</v>
      </c>
    </row>
    <row r="17" spans="1:17" x14ac:dyDescent="0.25">
      <c r="A17" s="40" t="s">
        <v>157</v>
      </c>
      <c r="B17" s="41">
        <v>-923117</v>
      </c>
      <c r="C17" s="41">
        <v>0</v>
      </c>
      <c r="D17" s="41">
        <v>0</v>
      </c>
      <c r="E17" s="41">
        <v>65165</v>
      </c>
      <c r="F17" s="41">
        <v>-857951</v>
      </c>
      <c r="G17" s="41">
        <v>0</v>
      </c>
      <c r="H17" s="41">
        <v>0</v>
      </c>
      <c r="I17" s="41">
        <v>0</v>
      </c>
      <c r="K17" s="41">
        <v>0</v>
      </c>
      <c r="L17" s="41">
        <v>-323091</v>
      </c>
      <c r="M17" s="41">
        <v>-300283</v>
      </c>
      <c r="N17" s="41">
        <v>-323091</v>
      </c>
      <c r="O17" s="41">
        <v>0</v>
      </c>
      <c r="P17" s="41">
        <v>-300283</v>
      </c>
      <c r="Q17" s="41">
        <v>0</v>
      </c>
    </row>
    <row r="18" spans="1:17" x14ac:dyDescent="0.25">
      <c r="A18" s="40" t="s">
        <v>154</v>
      </c>
      <c r="B18" s="41">
        <v>150663</v>
      </c>
      <c r="C18" s="41">
        <v>0</v>
      </c>
      <c r="D18" s="41">
        <v>0</v>
      </c>
      <c r="E18" s="41">
        <v>40938</v>
      </c>
      <c r="F18" s="41">
        <v>191601</v>
      </c>
      <c r="G18" s="41">
        <v>0</v>
      </c>
      <c r="H18" s="41">
        <v>0</v>
      </c>
      <c r="I18" s="41">
        <v>0</v>
      </c>
      <c r="K18" s="41">
        <v>0</v>
      </c>
      <c r="L18" s="41">
        <v>52732</v>
      </c>
      <c r="M18" s="41">
        <v>67060</v>
      </c>
      <c r="N18" s="41">
        <v>52732</v>
      </c>
      <c r="O18" s="41">
        <v>0</v>
      </c>
      <c r="P18" s="41">
        <v>67060</v>
      </c>
      <c r="Q18" s="41">
        <v>0</v>
      </c>
    </row>
    <row r="19" spans="1:17" x14ac:dyDescent="0.25">
      <c r="A19" s="40" t="s">
        <v>143</v>
      </c>
      <c r="B19" s="41">
        <v>9289</v>
      </c>
      <c r="C19" s="41">
        <v>0</v>
      </c>
      <c r="D19" s="41">
        <v>0</v>
      </c>
      <c r="E19" s="41">
        <v>48913</v>
      </c>
      <c r="F19" s="41">
        <v>58201</v>
      </c>
      <c r="G19" s="41">
        <v>0</v>
      </c>
      <c r="H19" s="41">
        <v>0</v>
      </c>
      <c r="I19" s="41">
        <v>0</v>
      </c>
      <c r="K19" s="41">
        <v>0</v>
      </c>
      <c r="L19" s="41">
        <v>3251</v>
      </c>
      <c r="M19" s="41">
        <v>20370</v>
      </c>
      <c r="N19" s="41">
        <v>3251</v>
      </c>
      <c r="O19" s="41">
        <v>0</v>
      </c>
      <c r="P19" s="41">
        <v>20370</v>
      </c>
      <c r="Q19" s="41">
        <v>0</v>
      </c>
    </row>
    <row r="20" spans="1:17" x14ac:dyDescent="0.25">
      <c r="A20" s="40" t="s">
        <v>137</v>
      </c>
      <c r="B20" s="41">
        <v>0</v>
      </c>
      <c r="C20" s="41">
        <v>0</v>
      </c>
      <c r="D20" s="41">
        <v>0</v>
      </c>
      <c r="E20" s="41">
        <v>0</v>
      </c>
      <c r="F20" s="41">
        <v>0</v>
      </c>
      <c r="G20" s="41">
        <v>0</v>
      </c>
      <c r="H20" s="41">
        <v>0</v>
      </c>
      <c r="I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41">
        <v>0</v>
      </c>
    </row>
    <row r="21" spans="1:17" x14ac:dyDescent="0.25">
      <c r="A21" s="40" t="s">
        <v>136</v>
      </c>
      <c r="B21" s="41">
        <v>0</v>
      </c>
      <c r="C21" s="41">
        <v>0</v>
      </c>
      <c r="D21" s="41">
        <v>0</v>
      </c>
      <c r="E21" s="41">
        <v>0</v>
      </c>
      <c r="F21" s="41">
        <v>0</v>
      </c>
      <c r="G21" s="41">
        <v>0</v>
      </c>
      <c r="H21" s="41">
        <v>0</v>
      </c>
      <c r="I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</row>
    <row r="22" spans="1:17" x14ac:dyDescent="0.25">
      <c r="A22" s="40" t="s">
        <v>133</v>
      </c>
      <c r="B22" s="41">
        <v>0</v>
      </c>
      <c r="C22" s="41">
        <v>0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</row>
    <row r="23" spans="1:17" x14ac:dyDescent="0.25">
      <c r="A23" s="40" t="s">
        <v>127</v>
      </c>
      <c r="B23" s="41">
        <v>108507130</v>
      </c>
      <c r="D23" s="41">
        <f>-15196899-3476440</f>
        <v>-18673339</v>
      </c>
      <c r="E23" s="41">
        <v>1183632</v>
      </c>
      <c r="F23" s="41">
        <v>91017423</v>
      </c>
      <c r="G23" s="41">
        <v>38021581</v>
      </c>
      <c r="I23" s="41">
        <f>-5351841-730175</f>
        <v>-6082016</v>
      </c>
      <c r="K23" s="41">
        <v>32374820</v>
      </c>
      <c r="L23" s="41">
        <v>22787798</v>
      </c>
      <c r="M23" s="41">
        <v>19121807</v>
      </c>
      <c r="N23" s="41">
        <v>1255</v>
      </c>
      <c r="O23" s="41">
        <v>-15235038</v>
      </c>
      <c r="P23" s="41">
        <v>18536</v>
      </c>
      <c r="Q23" s="41">
        <v>-13271549</v>
      </c>
    </row>
    <row r="24" spans="1:17" x14ac:dyDescent="0.25">
      <c r="C24" s="12">
        <f>C23*0.21</f>
        <v>0</v>
      </c>
      <c r="D24" s="12">
        <f>D23*0.21</f>
        <v>-3921401.19</v>
      </c>
      <c r="E24" s="12"/>
      <c r="F24" s="12"/>
      <c r="G24" s="12"/>
      <c r="H24" s="12"/>
      <c r="I24" s="13">
        <f>I23/(D23+E23)</f>
        <v>0.34774830704711063</v>
      </c>
    </row>
    <row r="27" spans="1:17" x14ac:dyDescent="0.25">
      <c r="A27" s="40" t="s">
        <v>203</v>
      </c>
      <c r="B27" s="41">
        <v>146921797</v>
      </c>
      <c r="C27" s="41">
        <v>18975141</v>
      </c>
      <c r="D27" s="41">
        <v>-16759187</v>
      </c>
      <c r="E27" s="41">
        <v>1708715</v>
      </c>
      <c r="F27" s="41">
        <v>150846466</v>
      </c>
      <c r="G27" s="41">
        <v>53255821</v>
      </c>
      <c r="H27" s="41">
        <v>3984780</v>
      </c>
      <c r="I27" s="41">
        <v>-6237123</v>
      </c>
      <c r="J27" s="46">
        <f>I27/D27</f>
        <v>0.37216143002640878</v>
      </c>
      <c r="K27" s="41">
        <v>51660431</v>
      </c>
      <c r="L27" s="41">
        <v>30853577</v>
      </c>
      <c r="M27" s="41">
        <v>31677758</v>
      </c>
      <c r="N27" s="41">
        <v>0</v>
      </c>
      <c r="O27" s="41">
        <v>-22402243</v>
      </c>
      <c r="P27" s="41">
        <v>0</v>
      </c>
      <c r="Q27" s="41">
        <v>-19982673</v>
      </c>
    </row>
    <row r="28" spans="1:17" x14ac:dyDescent="0.25">
      <c r="A28" s="40" t="s">
        <v>199</v>
      </c>
      <c r="B28" s="41">
        <v>146921797</v>
      </c>
      <c r="C28" s="41">
        <v>18975141</v>
      </c>
      <c r="D28" s="41">
        <v>-16759187</v>
      </c>
      <c r="E28" s="41">
        <v>1708715</v>
      </c>
      <c r="F28" s="41">
        <v>150846466</v>
      </c>
      <c r="G28" s="41">
        <v>53255821</v>
      </c>
      <c r="H28" s="41">
        <v>3984780</v>
      </c>
      <c r="I28" s="41">
        <v>-6237123</v>
      </c>
      <c r="J28" s="46">
        <f>I28/D28</f>
        <v>0.37216143002640878</v>
      </c>
      <c r="K28" s="41">
        <v>51660431</v>
      </c>
      <c r="L28" s="41">
        <v>30853577</v>
      </c>
      <c r="M28" s="41">
        <v>31677758</v>
      </c>
      <c r="N28" s="41">
        <v>0</v>
      </c>
      <c r="O28" s="41">
        <v>-22402243</v>
      </c>
      <c r="P28" s="41">
        <v>0</v>
      </c>
      <c r="Q28" s="41">
        <v>-19982673</v>
      </c>
    </row>
    <row r="29" spans="1:17" x14ac:dyDescent="0.25">
      <c r="A29" s="40" t="s">
        <v>190</v>
      </c>
      <c r="B29" s="41">
        <v>-531004</v>
      </c>
      <c r="C29" s="41">
        <v>-30662</v>
      </c>
      <c r="D29" s="41">
        <v>57903</v>
      </c>
      <c r="E29" s="41">
        <v>835</v>
      </c>
      <c r="F29" s="41">
        <v>-502928</v>
      </c>
      <c r="G29" s="41">
        <v>-181966</v>
      </c>
      <c r="H29" s="41">
        <v>-6600</v>
      </c>
      <c r="I29" s="41">
        <v>20427</v>
      </c>
      <c r="J29" s="46">
        <f>I29/D29</f>
        <v>0.3527796487228641</v>
      </c>
      <c r="K29" s="41">
        <v>-168139</v>
      </c>
      <c r="L29" s="41">
        <v>-111511</v>
      </c>
      <c r="M29" s="41">
        <v>-105615</v>
      </c>
      <c r="N29" s="41">
        <v>-2331</v>
      </c>
      <c r="O29" s="41">
        <v>72787</v>
      </c>
      <c r="P29" s="41">
        <v>-2156</v>
      </c>
      <c r="Q29" s="41">
        <v>64680</v>
      </c>
    </row>
    <row r="30" spans="1:17" x14ac:dyDescent="0.25">
      <c r="A30" s="40" t="s">
        <v>182</v>
      </c>
      <c r="B30" s="41">
        <v>0</v>
      </c>
      <c r="C30" s="41">
        <v>0</v>
      </c>
      <c r="D30" s="41">
        <v>0</v>
      </c>
      <c r="E30" s="41">
        <v>0</v>
      </c>
      <c r="F30" s="41">
        <v>0</v>
      </c>
      <c r="G30" s="41">
        <v>0</v>
      </c>
      <c r="H30" s="41">
        <v>0</v>
      </c>
      <c r="I30" s="41">
        <v>0</v>
      </c>
      <c r="J30" s="46"/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</row>
    <row r="31" spans="1:17" x14ac:dyDescent="0.25">
      <c r="A31" s="40" t="s">
        <v>180</v>
      </c>
      <c r="B31" s="41">
        <v>108403</v>
      </c>
      <c r="C31" s="41">
        <v>0</v>
      </c>
      <c r="D31" s="41">
        <v>-7978</v>
      </c>
      <c r="E31" s="41">
        <v>0</v>
      </c>
      <c r="F31" s="41">
        <v>100425</v>
      </c>
      <c r="G31" s="41">
        <v>37941</v>
      </c>
      <c r="H31" s="41">
        <v>0</v>
      </c>
      <c r="I31" s="41">
        <v>-2792</v>
      </c>
      <c r="J31" s="46">
        <f>I31/D31</f>
        <v>0.34996239659062423</v>
      </c>
      <c r="K31" s="41">
        <v>35149</v>
      </c>
      <c r="L31" s="41">
        <v>22765</v>
      </c>
      <c r="M31" s="41">
        <v>21089</v>
      </c>
      <c r="N31" s="41">
        <v>0</v>
      </c>
      <c r="O31" s="41">
        <v>-15176</v>
      </c>
      <c r="P31" s="41">
        <v>0</v>
      </c>
      <c r="Q31" s="41">
        <v>-14060</v>
      </c>
    </row>
    <row r="32" spans="1:17" x14ac:dyDescent="0.25">
      <c r="A32" s="40" t="s">
        <v>143</v>
      </c>
      <c r="B32" s="41">
        <v>-422600</v>
      </c>
      <c r="C32" s="41">
        <v>-30662</v>
      </c>
      <c r="D32" s="41">
        <v>49924</v>
      </c>
      <c r="E32" s="41">
        <v>835</v>
      </c>
      <c r="F32" s="41">
        <v>-402503</v>
      </c>
      <c r="G32" s="41">
        <v>-144025</v>
      </c>
      <c r="H32" s="41">
        <v>-6600</v>
      </c>
      <c r="I32" s="41">
        <v>17635</v>
      </c>
      <c r="J32" s="46">
        <f>I32/D32</f>
        <v>0.35323692011858027</v>
      </c>
      <c r="K32" s="41">
        <v>-132991</v>
      </c>
      <c r="L32" s="41">
        <v>-88746</v>
      </c>
      <c r="M32" s="41">
        <v>-84526</v>
      </c>
      <c r="N32" s="41">
        <v>-2331</v>
      </c>
      <c r="O32" s="41">
        <v>57610</v>
      </c>
      <c r="P32" s="41">
        <v>-2156</v>
      </c>
      <c r="Q32" s="41">
        <v>50621</v>
      </c>
    </row>
    <row r="33" spans="1:17" x14ac:dyDescent="0.25">
      <c r="A33" s="40" t="s">
        <v>174</v>
      </c>
      <c r="B33" s="41">
        <v>-41023</v>
      </c>
      <c r="C33" s="41">
        <v>0</v>
      </c>
      <c r="D33" s="41">
        <v>0</v>
      </c>
      <c r="E33" s="41">
        <v>3447</v>
      </c>
      <c r="F33" s="41">
        <v>-37576</v>
      </c>
      <c r="G33" s="41">
        <v>0</v>
      </c>
      <c r="H33" s="41">
        <v>0</v>
      </c>
      <c r="I33" s="41">
        <v>0</v>
      </c>
      <c r="K33" s="41">
        <v>0</v>
      </c>
      <c r="L33" s="41">
        <v>-14358</v>
      </c>
      <c r="M33" s="41">
        <v>-13151</v>
      </c>
      <c r="N33" s="41">
        <v>-14358</v>
      </c>
      <c r="O33" s="41">
        <v>0</v>
      </c>
      <c r="P33" s="41">
        <v>-13151</v>
      </c>
      <c r="Q33" s="41">
        <v>0</v>
      </c>
    </row>
    <row r="34" spans="1:17" x14ac:dyDescent="0.25">
      <c r="A34" s="40" t="s">
        <v>171</v>
      </c>
      <c r="B34" s="41">
        <v>779313</v>
      </c>
      <c r="C34" s="41">
        <v>0</v>
      </c>
      <c r="D34" s="41">
        <v>0</v>
      </c>
      <c r="E34" s="41">
        <v>-61874</v>
      </c>
      <c r="F34" s="41">
        <v>717439</v>
      </c>
      <c r="G34" s="41">
        <v>0</v>
      </c>
      <c r="H34" s="41">
        <v>0</v>
      </c>
      <c r="I34" s="41">
        <v>0</v>
      </c>
      <c r="K34" s="41">
        <v>0</v>
      </c>
      <c r="L34" s="41">
        <v>272760</v>
      </c>
      <c r="M34" s="41">
        <v>251104</v>
      </c>
      <c r="N34" s="41">
        <v>272760</v>
      </c>
      <c r="O34" s="41">
        <v>0</v>
      </c>
      <c r="P34" s="41">
        <v>251104</v>
      </c>
      <c r="Q34" s="41">
        <v>0</v>
      </c>
    </row>
    <row r="35" spans="1:17" x14ac:dyDescent="0.25">
      <c r="A35" s="40" t="s">
        <v>166</v>
      </c>
      <c r="B35" s="41">
        <v>-104647</v>
      </c>
      <c r="C35" s="41">
        <v>0</v>
      </c>
      <c r="D35" s="41">
        <v>0</v>
      </c>
      <c r="E35" s="41">
        <v>9303</v>
      </c>
      <c r="F35" s="41">
        <v>-95344</v>
      </c>
      <c r="G35" s="41">
        <v>0</v>
      </c>
      <c r="H35" s="41">
        <v>0</v>
      </c>
      <c r="I35" s="41">
        <v>0</v>
      </c>
      <c r="K35" s="41">
        <v>0</v>
      </c>
      <c r="L35" s="41">
        <v>-36626</v>
      </c>
      <c r="M35" s="41">
        <v>-33370</v>
      </c>
      <c r="N35" s="41">
        <v>-36626</v>
      </c>
      <c r="O35" s="41">
        <v>0</v>
      </c>
      <c r="P35" s="41">
        <v>-33370</v>
      </c>
      <c r="Q35" s="41">
        <v>0</v>
      </c>
    </row>
    <row r="36" spans="1:17" x14ac:dyDescent="0.25">
      <c r="A36" s="40" t="s">
        <v>157</v>
      </c>
      <c r="B36" s="41">
        <v>-656817</v>
      </c>
      <c r="C36" s="41">
        <v>0</v>
      </c>
      <c r="D36" s="41">
        <v>0</v>
      </c>
      <c r="E36" s="41">
        <v>50164</v>
      </c>
      <c r="F36" s="41">
        <v>-606652</v>
      </c>
      <c r="G36" s="41">
        <v>0</v>
      </c>
      <c r="H36" s="41">
        <v>0</v>
      </c>
      <c r="I36" s="41">
        <v>0</v>
      </c>
      <c r="K36" s="41">
        <v>0</v>
      </c>
      <c r="L36" s="41">
        <v>-229886</v>
      </c>
      <c r="M36" s="41">
        <v>-212328</v>
      </c>
      <c r="N36" s="41">
        <v>-229886</v>
      </c>
      <c r="O36" s="41">
        <v>0</v>
      </c>
      <c r="P36" s="41">
        <v>-212328</v>
      </c>
      <c r="Q36" s="41">
        <v>0</v>
      </c>
    </row>
    <row r="37" spans="1:17" x14ac:dyDescent="0.25">
      <c r="A37" s="40" t="s">
        <v>154</v>
      </c>
      <c r="B37" s="41">
        <v>13902404</v>
      </c>
      <c r="C37" s="41">
        <v>0</v>
      </c>
      <c r="D37" s="41">
        <v>0</v>
      </c>
      <c r="E37" s="41">
        <v>-3854323</v>
      </c>
      <c r="F37" s="41">
        <v>10048081</v>
      </c>
      <c r="G37" s="41">
        <v>0</v>
      </c>
      <c r="H37" s="41">
        <v>0</v>
      </c>
      <c r="I37" s="41">
        <v>0</v>
      </c>
      <c r="K37" s="41">
        <v>0</v>
      </c>
      <c r="L37" s="41">
        <v>4865841</v>
      </c>
      <c r="M37" s="41">
        <v>3516828</v>
      </c>
      <c r="N37" s="41">
        <v>4865841</v>
      </c>
      <c r="O37" s="41">
        <v>0</v>
      </c>
      <c r="P37" s="41">
        <v>3516828</v>
      </c>
      <c r="Q37" s="41">
        <v>0</v>
      </c>
    </row>
    <row r="38" spans="1:17" x14ac:dyDescent="0.25">
      <c r="A38" s="40" t="s">
        <v>143</v>
      </c>
      <c r="B38" s="41">
        <v>13879231</v>
      </c>
      <c r="C38" s="41">
        <v>0</v>
      </c>
      <c r="D38" s="41">
        <v>0</v>
      </c>
      <c r="E38" s="41">
        <v>-3853283</v>
      </c>
      <c r="F38" s="41">
        <v>10025948</v>
      </c>
      <c r="G38" s="41">
        <v>0</v>
      </c>
      <c r="H38" s="41">
        <v>0</v>
      </c>
      <c r="I38" s="41">
        <v>0</v>
      </c>
      <c r="K38" s="41">
        <v>0</v>
      </c>
      <c r="L38" s="41">
        <v>4857731</v>
      </c>
      <c r="M38" s="41">
        <v>3509082</v>
      </c>
      <c r="N38" s="41">
        <v>4857731</v>
      </c>
      <c r="O38" s="41">
        <v>0</v>
      </c>
      <c r="P38" s="41">
        <v>3509082</v>
      </c>
      <c r="Q38" s="41">
        <v>0</v>
      </c>
    </row>
    <row r="39" spans="1:17" x14ac:dyDescent="0.25">
      <c r="A39" s="40" t="s">
        <v>137</v>
      </c>
      <c r="B39" s="41">
        <v>0</v>
      </c>
      <c r="C39" s="41">
        <v>0</v>
      </c>
      <c r="D39" s="41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</row>
    <row r="40" spans="1:17" x14ac:dyDescent="0.25">
      <c r="A40" s="40" t="s">
        <v>136</v>
      </c>
      <c r="B40" s="41">
        <v>0</v>
      </c>
      <c r="C40" s="41">
        <v>0</v>
      </c>
      <c r="D40" s="41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41">
        <v>0</v>
      </c>
    </row>
    <row r="41" spans="1:17" x14ac:dyDescent="0.25">
      <c r="A41" s="40" t="s">
        <v>133</v>
      </c>
      <c r="B41" s="41">
        <v>0</v>
      </c>
      <c r="C41" s="41">
        <v>0</v>
      </c>
      <c r="D41" s="41">
        <v>0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0</v>
      </c>
      <c r="Q41" s="41">
        <v>0</v>
      </c>
    </row>
    <row r="42" spans="1:17" x14ac:dyDescent="0.25">
      <c r="A42" s="40" t="s">
        <v>206</v>
      </c>
      <c r="B42" s="41">
        <v>0</v>
      </c>
      <c r="C42" s="41">
        <v>0</v>
      </c>
      <c r="D42" s="41">
        <v>0</v>
      </c>
      <c r="E42" s="41">
        <v>0</v>
      </c>
      <c r="F42" s="41">
        <v>0</v>
      </c>
      <c r="G42" s="41">
        <v>0</v>
      </c>
      <c r="H42" s="41">
        <v>0</v>
      </c>
      <c r="I42" s="41">
        <v>0</v>
      </c>
      <c r="K42" s="41">
        <v>0</v>
      </c>
      <c r="L42" s="41">
        <v>0</v>
      </c>
      <c r="M42" s="41">
        <v>0</v>
      </c>
      <c r="N42" s="41">
        <v>0</v>
      </c>
      <c r="O42" s="41">
        <v>0</v>
      </c>
      <c r="P42" s="41">
        <v>0</v>
      </c>
      <c r="Q42" s="41">
        <v>0</v>
      </c>
    </row>
    <row r="43" spans="1:17" x14ac:dyDescent="0.25">
      <c r="A43" s="40" t="s">
        <v>133</v>
      </c>
      <c r="B43" s="41">
        <v>0</v>
      </c>
      <c r="C43" s="41">
        <v>0</v>
      </c>
      <c r="D43" s="41">
        <v>0</v>
      </c>
      <c r="E43" s="41">
        <v>0</v>
      </c>
      <c r="F43" s="41">
        <v>0</v>
      </c>
      <c r="G43" s="41">
        <v>0</v>
      </c>
      <c r="H43" s="41">
        <v>0</v>
      </c>
      <c r="I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</row>
    <row r="44" spans="1:17" x14ac:dyDescent="0.25">
      <c r="A44" s="40" t="s">
        <v>205</v>
      </c>
      <c r="B44" s="41">
        <v>160378428</v>
      </c>
      <c r="C44" s="41">
        <v>18944479</v>
      </c>
      <c r="D44" s="41">
        <v>-16709263</v>
      </c>
      <c r="E44" s="41">
        <v>-2143733</v>
      </c>
      <c r="F44" s="41">
        <v>160469911</v>
      </c>
      <c r="G44" s="41">
        <v>53111795</v>
      </c>
      <c r="H44" s="41">
        <v>3978179</v>
      </c>
      <c r="I44" s="41">
        <v>-6219488</v>
      </c>
      <c r="K44" s="41">
        <v>51527440</v>
      </c>
      <c r="L44" s="41">
        <v>35622562</v>
      </c>
      <c r="M44" s="41">
        <v>35102314</v>
      </c>
      <c r="N44" s="41">
        <v>4855400</v>
      </c>
      <c r="O44" s="41">
        <v>-22344633</v>
      </c>
      <c r="P44" s="41">
        <v>3506926</v>
      </c>
      <c r="Q44" s="41">
        <v>-19932052</v>
      </c>
    </row>
    <row r="45" spans="1:17" x14ac:dyDescent="0.25">
      <c r="C45" s="12">
        <f>C44*0.21</f>
        <v>3978340.59</v>
      </c>
      <c r="D45" s="12">
        <f>D44*0.21</f>
        <v>-3508945.23</v>
      </c>
      <c r="E45" s="12"/>
      <c r="F45" s="12"/>
      <c r="G45" s="12"/>
      <c r="H45" s="12"/>
      <c r="I45" s="13">
        <f>I44/(D44+E44)</f>
        <v>0.32989387999657988</v>
      </c>
    </row>
    <row r="49" spans="1:17" x14ac:dyDescent="0.25">
      <c r="A49" s="40" t="s">
        <v>202</v>
      </c>
      <c r="B49" s="41">
        <v>-710776</v>
      </c>
      <c r="C49" s="41">
        <v>3089687</v>
      </c>
      <c r="D49" s="41">
        <v>217270</v>
      </c>
      <c r="E49" s="41">
        <v>0</v>
      </c>
      <c r="F49" s="41">
        <v>2596180</v>
      </c>
      <c r="G49" s="41">
        <v>-248772</v>
      </c>
      <c r="H49" s="41">
        <v>648834</v>
      </c>
      <c r="I49" s="41">
        <v>76044</v>
      </c>
      <c r="K49" s="41">
        <v>476107</v>
      </c>
      <c r="L49" s="41">
        <v>-149263</v>
      </c>
      <c r="M49" s="41">
        <v>545198</v>
      </c>
      <c r="N49" s="41">
        <v>0</v>
      </c>
      <c r="O49" s="41">
        <v>99509</v>
      </c>
      <c r="P49" s="41">
        <v>0</v>
      </c>
      <c r="Q49" s="41">
        <v>69091</v>
      </c>
    </row>
    <row r="50" spans="1:17" x14ac:dyDescent="0.25">
      <c r="A50" s="40" t="s">
        <v>199</v>
      </c>
      <c r="B50" s="41">
        <v>-710776</v>
      </c>
      <c r="C50" s="41">
        <v>3089687</v>
      </c>
      <c r="D50" s="41">
        <v>217270</v>
      </c>
      <c r="E50" s="41">
        <v>0</v>
      </c>
      <c r="F50" s="41">
        <v>2596180</v>
      </c>
      <c r="G50" s="41">
        <v>-248772</v>
      </c>
      <c r="H50" s="41">
        <v>648834</v>
      </c>
      <c r="I50" s="41">
        <v>76044</v>
      </c>
      <c r="K50" s="41">
        <v>476107</v>
      </c>
      <c r="L50" s="41">
        <v>-149263</v>
      </c>
      <c r="M50" s="41">
        <v>545198</v>
      </c>
      <c r="N50" s="41">
        <v>0</v>
      </c>
      <c r="O50" s="41">
        <v>99509</v>
      </c>
      <c r="P50" s="41">
        <v>0</v>
      </c>
      <c r="Q50" s="41">
        <v>69091</v>
      </c>
    </row>
    <row r="51" spans="1:17" x14ac:dyDescent="0.25">
      <c r="A51" s="40" t="s">
        <v>201</v>
      </c>
      <c r="B51" s="41">
        <v>-1935109</v>
      </c>
      <c r="C51" s="41">
        <v>0</v>
      </c>
      <c r="D51" s="41">
        <v>0</v>
      </c>
      <c r="E51" s="41">
        <v>202485</v>
      </c>
      <c r="F51" s="41">
        <v>-1732624</v>
      </c>
      <c r="G51" s="41">
        <v>0</v>
      </c>
      <c r="H51" s="41">
        <v>0</v>
      </c>
      <c r="I51" s="41">
        <v>0</v>
      </c>
      <c r="K51" s="41">
        <v>0</v>
      </c>
      <c r="L51" s="41">
        <v>-677288</v>
      </c>
      <c r="M51" s="41">
        <v>-606418</v>
      </c>
      <c r="N51" s="41">
        <v>-677288</v>
      </c>
      <c r="O51" s="41">
        <v>0</v>
      </c>
      <c r="P51" s="41">
        <v>-606418</v>
      </c>
      <c r="Q51" s="41">
        <v>0</v>
      </c>
    </row>
    <row r="52" spans="1:17" x14ac:dyDescent="0.25">
      <c r="A52" s="40" t="s">
        <v>199</v>
      </c>
      <c r="B52" s="41">
        <v>-1935109</v>
      </c>
      <c r="C52" s="41">
        <v>0</v>
      </c>
      <c r="D52" s="41">
        <v>0</v>
      </c>
      <c r="E52" s="41">
        <v>202485</v>
      </c>
      <c r="F52" s="41">
        <v>-1732624</v>
      </c>
      <c r="G52" s="41">
        <v>0</v>
      </c>
      <c r="H52" s="41">
        <v>0</v>
      </c>
      <c r="I52" s="41">
        <v>0</v>
      </c>
      <c r="K52" s="41">
        <v>0</v>
      </c>
      <c r="L52" s="41">
        <v>-677288</v>
      </c>
      <c r="M52" s="41">
        <v>-606418</v>
      </c>
      <c r="N52" s="41">
        <v>-677288</v>
      </c>
      <c r="O52" s="41">
        <v>0</v>
      </c>
      <c r="P52" s="41">
        <v>-606418</v>
      </c>
      <c r="Q52" s="41">
        <v>0</v>
      </c>
    </row>
    <row r="53" spans="1:17" x14ac:dyDescent="0.25">
      <c r="A53" s="40" t="s">
        <v>204</v>
      </c>
      <c r="B53" s="41">
        <v>-2645885</v>
      </c>
      <c r="C53" s="41">
        <v>3089687</v>
      </c>
      <c r="D53" s="41">
        <v>217270</v>
      </c>
      <c r="E53" s="41">
        <v>202485</v>
      </c>
      <c r="F53" s="41">
        <v>863556</v>
      </c>
      <c r="G53" s="41">
        <v>-248772</v>
      </c>
      <c r="H53" s="41">
        <v>648834</v>
      </c>
      <c r="I53" s="41">
        <v>76044</v>
      </c>
      <c r="K53" s="41">
        <v>476107</v>
      </c>
      <c r="L53" s="41">
        <v>-826551</v>
      </c>
      <c r="M53" s="41">
        <v>-61221</v>
      </c>
      <c r="N53" s="41">
        <v>-677288</v>
      </c>
      <c r="O53" s="41">
        <v>99509</v>
      </c>
      <c r="P53" s="41">
        <v>-606418</v>
      </c>
      <c r="Q53" s="41">
        <v>69091</v>
      </c>
    </row>
    <row r="54" spans="1:17" x14ac:dyDescent="0.25">
      <c r="A54" s="40" t="s">
        <v>203</v>
      </c>
      <c r="B54" s="41">
        <v>5162079980</v>
      </c>
      <c r="C54" s="41">
        <v>204236610</v>
      </c>
      <c r="D54" s="41">
        <v>-219641972</v>
      </c>
      <c r="E54" s="41">
        <v>11553473</v>
      </c>
      <c r="F54" s="41">
        <v>5158228091</v>
      </c>
      <c r="G54" s="41">
        <v>1808708651</v>
      </c>
      <c r="H54" s="41">
        <v>39994271</v>
      </c>
      <c r="I54" s="41">
        <v>-67285551</v>
      </c>
      <c r="K54" s="41">
        <v>1780325164</v>
      </c>
      <c r="L54" s="41">
        <v>1084036796</v>
      </c>
      <c r="M54" s="41">
        <v>1083227899</v>
      </c>
      <c r="N54" s="41">
        <v>4</v>
      </c>
      <c r="O54" s="41">
        <v>-724671859</v>
      </c>
      <c r="P54" s="41">
        <v>4</v>
      </c>
      <c r="Q54" s="41">
        <v>-697097268</v>
      </c>
    </row>
    <row r="55" spans="1:17" x14ac:dyDescent="0.25">
      <c r="A55" s="40" t="s">
        <v>202</v>
      </c>
      <c r="B55" s="41">
        <v>-240799213</v>
      </c>
      <c r="C55" s="41">
        <v>-38612939</v>
      </c>
      <c r="D55" s="41">
        <v>-3408649</v>
      </c>
      <c r="E55" s="41">
        <v>0</v>
      </c>
      <c r="F55" s="41">
        <v>-282820802</v>
      </c>
      <c r="G55" s="41">
        <v>-84279725</v>
      </c>
      <c r="H55" s="41">
        <v>-8108717</v>
      </c>
      <c r="I55" s="41">
        <v>-1193027</v>
      </c>
      <c r="K55" s="41">
        <v>-93581469</v>
      </c>
      <c r="L55" s="41">
        <v>-50567835</v>
      </c>
      <c r="M55" s="41">
        <v>-59392368</v>
      </c>
      <c r="N55" s="41">
        <v>0</v>
      </c>
      <c r="O55" s="41">
        <v>33711890</v>
      </c>
      <c r="P55" s="41">
        <v>0</v>
      </c>
      <c r="Q55" s="41">
        <v>34189101</v>
      </c>
    </row>
    <row r="56" spans="1:17" x14ac:dyDescent="0.25">
      <c r="A56" s="40" t="s">
        <v>199</v>
      </c>
      <c r="B56" s="41">
        <v>4921280767</v>
      </c>
      <c r="C56" s="41">
        <v>165623671</v>
      </c>
      <c r="D56" s="41">
        <v>-223050622</v>
      </c>
      <c r="E56" s="41">
        <v>11553473</v>
      </c>
      <c r="F56" s="41">
        <v>4875407290</v>
      </c>
      <c r="G56" s="41">
        <v>1724428926</v>
      </c>
      <c r="H56" s="41">
        <v>31885554</v>
      </c>
      <c r="I56" s="41">
        <v>-68478578</v>
      </c>
      <c r="K56" s="41">
        <v>1686743694</v>
      </c>
      <c r="L56" s="41">
        <v>1033468961</v>
      </c>
      <c r="M56" s="41">
        <v>1023835531</v>
      </c>
      <c r="N56" s="41">
        <v>4</v>
      </c>
      <c r="O56" s="41">
        <v>-690959969</v>
      </c>
      <c r="P56" s="41">
        <v>4</v>
      </c>
      <c r="Q56" s="41">
        <v>-662908167</v>
      </c>
    </row>
    <row r="57" spans="1:17" x14ac:dyDescent="0.25">
      <c r="A57" s="40" t="s">
        <v>201</v>
      </c>
      <c r="B57" s="41">
        <v>11309854</v>
      </c>
      <c r="C57" s="41">
        <v>0</v>
      </c>
      <c r="D57" s="41">
        <v>0</v>
      </c>
      <c r="E57" s="41">
        <v>2304665</v>
      </c>
      <c r="F57" s="41">
        <v>13614518</v>
      </c>
      <c r="G57" s="41">
        <v>0</v>
      </c>
      <c r="H57" s="41">
        <v>0</v>
      </c>
      <c r="I57" s="41">
        <v>0</v>
      </c>
      <c r="K57" s="41">
        <v>0</v>
      </c>
      <c r="L57" s="41">
        <v>3958449</v>
      </c>
      <c r="M57" s="41">
        <v>4765081</v>
      </c>
      <c r="N57" s="41">
        <v>3958449</v>
      </c>
      <c r="O57" s="41">
        <v>0</v>
      </c>
      <c r="P57" s="41">
        <v>4765081</v>
      </c>
      <c r="Q57" s="41">
        <v>0</v>
      </c>
    </row>
    <row r="58" spans="1:17" x14ac:dyDescent="0.25">
      <c r="A58" s="40" t="s">
        <v>200</v>
      </c>
      <c r="B58" s="41">
        <v>-34627304</v>
      </c>
      <c r="C58" s="41">
        <v>0</v>
      </c>
      <c r="D58" s="41">
        <v>0</v>
      </c>
      <c r="E58" s="41">
        <v>-4637187</v>
      </c>
      <c r="F58" s="41">
        <v>-39264492</v>
      </c>
      <c r="G58" s="41">
        <v>0</v>
      </c>
      <c r="H58" s="41">
        <v>0</v>
      </c>
      <c r="I58" s="41">
        <v>0</v>
      </c>
      <c r="K58" s="41">
        <v>0</v>
      </c>
      <c r="L58" s="41">
        <v>-12119557</v>
      </c>
      <c r="M58" s="41">
        <v>-13742572</v>
      </c>
      <c r="N58" s="41">
        <v>-12119557</v>
      </c>
      <c r="O58" s="41">
        <v>0</v>
      </c>
      <c r="P58" s="41">
        <v>-13742572</v>
      </c>
      <c r="Q58" s="41">
        <v>0</v>
      </c>
    </row>
    <row r="59" spans="1:17" x14ac:dyDescent="0.25">
      <c r="A59" s="40" t="s">
        <v>199</v>
      </c>
      <c r="B59" s="41">
        <v>-23317451</v>
      </c>
      <c r="C59" s="41">
        <v>0</v>
      </c>
      <c r="D59" s="41">
        <v>0</v>
      </c>
      <c r="E59" s="41">
        <v>-2332522</v>
      </c>
      <c r="F59" s="41">
        <v>-25649973</v>
      </c>
      <c r="G59" s="41">
        <v>0</v>
      </c>
      <c r="H59" s="41">
        <v>0</v>
      </c>
      <c r="I59" s="41">
        <v>0</v>
      </c>
      <c r="K59" s="41">
        <v>0</v>
      </c>
      <c r="L59" s="41">
        <v>-8161108</v>
      </c>
      <c r="M59" s="41">
        <v>-8977491</v>
      </c>
      <c r="N59" s="41">
        <v>-8161108</v>
      </c>
      <c r="O59" s="41">
        <v>0</v>
      </c>
      <c r="P59" s="41">
        <v>-8977491</v>
      </c>
      <c r="Q59" s="41">
        <v>0</v>
      </c>
    </row>
    <row r="60" spans="1:17" x14ac:dyDescent="0.25">
      <c r="A60" s="40" t="s">
        <v>198</v>
      </c>
      <c r="B60" s="41">
        <v>576827</v>
      </c>
      <c r="C60" s="41">
        <v>0</v>
      </c>
      <c r="D60" s="41">
        <v>-54314</v>
      </c>
      <c r="E60" s="41">
        <v>0</v>
      </c>
      <c r="F60" s="41">
        <v>522514</v>
      </c>
      <c r="G60" s="41">
        <v>201890</v>
      </c>
      <c r="H60" s="41">
        <v>0</v>
      </c>
      <c r="I60" s="41">
        <v>-19010</v>
      </c>
      <c r="K60" s="41">
        <v>182880</v>
      </c>
      <c r="L60" s="41">
        <v>121134</v>
      </c>
      <c r="M60" s="41">
        <v>109728</v>
      </c>
      <c r="N60" s="41">
        <v>0</v>
      </c>
      <c r="O60" s="41">
        <v>-80756</v>
      </c>
      <c r="P60" s="41">
        <v>0</v>
      </c>
      <c r="Q60" s="41">
        <v>-73152</v>
      </c>
    </row>
    <row r="61" spans="1:17" x14ac:dyDescent="0.25">
      <c r="A61" s="40" t="s">
        <v>197</v>
      </c>
      <c r="B61" s="41">
        <v>54499</v>
      </c>
      <c r="C61" s="41">
        <v>0</v>
      </c>
      <c r="D61" s="41">
        <v>-5910</v>
      </c>
      <c r="E61" s="41">
        <v>0</v>
      </c>
      <c r="F61" s="41">
        <v>48589</v>
      </c>
      <c r="G61" s="41">
        <v>19075</v>
      </c>
      <c r="H61" s="41">
        <v>0</v>
      </c>
      <c r="I61" s="41">
        <v>-2069</v>
      </c>
      <c r="K61" s="41">
        <v>17006</v>
      </c>
      <c r="L61" s="41">
        <v>11445</v>
      </c>
      <c r="M61" s="41">
        <v>10204</v>
      </c>
      <c r="N61" s="41">
        <v>0</v>
      </c>
      <c r="O61" s="41">
        <v>-7630</v>
      </c>
      <c r="P61" s="41">
        <v>0</v>
      </c>
      <c r="Q61" s="41">
        <v>-6802</v>
      </c>
    </row>
    <row r="62" spans="1:17" x14ac:dyDescent="0.25">
      <c r="A62" s="40" t="s">
        <v>196</v>
      </c>
      <c r="B62" s="41">
        <v>16045695</v>
      </c>
      <c r="C62" s="41">
        <v>0</v>
      </c>
      <c r="D62" s="41">
        <v>-540940</v>
      </c>
      <c r="E62" s="41">
        <v>0</v>
      </c>
      <c r="F62" s="41">
        <v>15504756</v>
      </c>
      <c r="G62" s="41">
        <v>5615993</v>
      </c>
      <c r="H62" s="41">
        <v>0</v>
      </c>
      <c r="I62" s="41">
        <v>-189329</v>
      </c>
      <c r="K62" s="41">
        <v>5426665</v>
      </c>
      <c r="L62" s="41">
        <v>3369596</v>
      </c>
      <c r="M62" s="41">
        <v>3255999</v>
      </c>
      <c r="N62" s="41">
        <v>0</v>
      </c>
      <c r="O62" s="41">
        <v>-2246397</v>
      </c>
      <c r="P62" s="41">
        <v>0</v>
      </c>
      <c r="Q62" s="41">
        <v>-2170666</v>
      </c>
    </row>
    <row r="63" spans="1:17" x14ac:dyDescent="0.25">
      <c r="A63" s="40" t="s">
        <v>195</v>
      </c>
      <c r="B63" s="41">
        <v>0</v>
      </c>
      <c r="C63" s="41">
        <v>14610</v>
      </c>
      <c r="D63" s="41">
        <v>0</v>
      </c>
      <c r="E63" s="41">
        <v>0</v>
      </c>
      <c r="F63" s="41">
        <v>14610</v>
      </c>
      <c r="G63" s="41">
        <v>0</v>
      </c>
      <c r="H63" s="41">
        <v>3138</v>
      </c>
      <c r="I63" s="41">
        <v>-70</v>
      </c>
      <c r="K63" s="41">
        <v>3068</v>
      </c>
      <c r="L63" s="41">
        <v>0</v>
      </c>
      <c r="M63" s="41">
        <v>3068</v>
      </c>
      <c r="N63" s="41">
        <v>0</v>
      </c>
      <c r="O63" s="41">
        <v>0</v>
      </c>
      <c r="P63" s="41">
        <v>0</v>
      </c>
      <c r="Q63" s="41">
        <v>0</v>
      </c>
    </row>
    <row r="64" spans="1:17" x14ac:dyDescent="0.25">
      <c r="A64" s="40" t="s">
        <v>194</v>
      </c>
      <c r="B64" s="41">
        <v>0</v>
      </c>
      <c r="C64" s="41">
        <v>22518</v>
      </c>
      <c r="D64" s="41">
        <v>0</v>
      </c>
      <c r="E64" s="41">
        <v>0</v>
      </c>
      <c r="F64" s="41">
        <v>22518</v>
      </c>
      <c r="G64" s="41">
        <v>0</v>
      </c>
      <c r="H64" s="41">
        <v>4837</v>
      </c>
      <c r="I64" s="41">
        <v>-108</v>
      </c>
      <c r="K64" s="41">
        <v>4729</v>
      </c>
      <c r="L64" s="41">
        <v>0</v>
      </c>
      <c r="M64" s="41">
        <v>4729</v>
      </c>
      <c r="N64" s="41">
        <v>0</v>
      </c>
      <c r="O64" s="41">
        <v>0</v>
      </c>
      <c r="P64" s="41">
        <v>0</v>
      </c>
      <c r="Q64" s="41">
        <v>0</v>
      </c>
    </row>
    <row r="65" spans="1:17" x14ac:dyDescent="0.25">
      <c r="A65" s="40" t="s">
        <v>193</v>
      </c>
      <c r="B65" s="41">
        <v>0</v>
      </c>
      <c r="C65" s="41">
        <v>0</v>
      </c>
      <c r="D65" s="41">
        <v>0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K65" s="41">
        <v>0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1">
        <v>0</v>
      </c>
    </row>
    <row r="66" spans="1:17" x14ac:dyDescent="0.25">
      <c r="A66" s="40" t="s">
        <v>192</v>
      </c>
      <c r="B66" s="41">
        <v>-220923</v>
      </c>
      <c r="C66" s="41">
        <v>0</v>
      </c>
      <c r="D66" s="41">
        <v>4911</v>
      </c>
      <c r="E66" s="41">
        <v>0</v>
      </c>
      <c r="F66" s="41">
        <v>-216012</v>
      </c>
      <c r="G66" s="41">
        <v>-77323</v>
      </c>
      <c r="H66" s="41">
        <v>0</v>
      </c>
      <c r="I66" s="41">
        <v>1719</v>
      </c>
      <c r="K66" s="41">
        <v>-75604</v>
      </c>
      <c r="L66" s="41">
        <v>-46394</v>
      </c>
      <c r="M66" s="41">
        <v>-45363</v>
      </c>
      <c r="N66" s="41">
        <v>0</v>
      </c>
      <c r="O66" s="41">
        <v>30929</v>
      </c>
      <c r="P66" s="41">
        <v>0</v>
      </c>
      <c r="Q66" s="41">
        <v>30242</v>
      </c>
    </row>
    <row r="67" spans="1:17" x14ac:dyDescent="0.25">
      <c r="A67" s="40" t="s">
        <v>191</v>
      </c>
      <c r="B67" s="41">
        <v>-16441</v>
      </c>
      <c r="C67" s="41">
        <v>0</v>
      </c>
      <c r="D67" s="41">
        <v>1761</v>
      </c>
      <c r="E67" s="41">
        <v>0</v>
      </c>
      <c r="F67" s="41">
        <v>-14680</v>
      </c>
      <c r="G67" s="41">
        <v>-5754</v>
      </c>
      <c r="H67" s="41">
        <v>0</v>
      </c>
      <c r="I67" s="41">
        <v>616</v>
      </c>
      <c r="K67" s="41">
        <v>-5138</v>
      </c>
      <c r="L67" s="41">
        <v>-3453</v>
      </c>
      <c r="M67" s="41">
        <v>-3083</v>
      </c>
      <c r="N67" s="41">
        <v>0</v>
      </c>
      <c r="O67" s="41">
        <v>2302</v>
      </c>
      <c r="P67" s="41">
        <v>0</v>
      </c>
      <c r="Q67" s="41">
        <v>2055</v>
      </c>
    </row>
    <row r="68" spans="1:17" x14ac:dyDescent="0.25">
      <c r="A68" s="40" t="s">
        <v>190</v>
      </c>
      <c r="B68" s="41">
        <v>-29001872</v>
      </c>
      <c r="C68" s="41">
        <v>-4402310</v>
      </c>
      <c r="D68" s="41">
        <v>957325</v>
      </c>
      <c r="E68" s="41">
        <v>8599</v>
      </c>
      <c r="F68" s="41">
        <v>-32438258</v>
      </c>
      <c r="G68" s="41">
        <v>-10035014</v>
      </c>
      <c r="H68" s="41">
        <v>-935186</v>
      </c>
      <c r="I68" s="41">
        <v>343218</v>
      </c>
      <c r="K68" s="41">
        <v>-10626982</v>
      </c>
      <c r="L68" s="41">
        <v>-6090393</v>
      </c>
      <c r="M68" s="41">
        <v>-6812034</v>
      </c>
      <c r="N68" s="41">
        <v>-69385</v>
      </c>
      <c r="O68" s="41">
        <v>4014006</v>
      </c>
      <c r="P68" s="41">
        <v>-66071</v>
      </c>
      <c r="Q68" s="41">
        <v>3881019</v>
      </c>
    </row>
    <row r="69" spans="1:17" x14ac:dyDescent="0.25">
      <c r="A69" s="40" t="s">
        <v>189</v>
      </c>
      <c r="B69" s="41">
        <v>-283467</v>
      </c>
      <c r="C69" s="41">
        <v>0</v>
      </c>
      <c r="D69" s="41">
        <v>5986</v>
      </c>
      <c r="E69" s="41">
        <v>0</v>
      </c>
      <c r="F69" s="41">
        <v>-277481</v>
      </c>
      <c r="G69" s="41">
        <v>-99214</v>
      </c>
      <c r="H69" s="41">
        <v>0</v>
      </c>
      <c r="I69" s="41">
        <v>2095</v>
      </c>
      <c r="K69" s="41">
        <v>-97118</v>
      </c>
      <c r="L69" s="41">
        <v>-59528</v>
      </c>
      <c r="M69" s="41">
        <v>-58271</v>
      </c>
      <c r="N69" s="41">
        <v>0</v>
      </c>
      <c r="O69" s="41">
        <v>39685</v>
      </c>
      <c r="P69" s="41">
        <v>0</v>
      </c>
      <c r="Q69" s="41">
        <v>38847</v>
      </c>
    </row>
    <row r="70" spans="1:17" x14ac:dyDescent="0.25">
      <c r="A70" s="40" t="s">
        <v>188</v>
      </c>
      <c r="B70" s="41">
        <v>-9287</v>
      </c>
      <c r="C70" s="41">
        <v>0</v>
      </c>
      <c r="D70" s="41">
        <v>507</v>
      </c>
      <c r="E70" s="41">
        <v>0</v>
      </c>
      <c r="F70" s="41">
        <v>-8780</v>
      </c>
      <c r="G70" s="41">
        <v>-3251</v>
      </c>
      <c r="H70" s="41">
        <v>0</v>
      </c>
      <c r="I70" s="41">
        <v>178</v>
      </c>
      <c r="K70" s="41">
        <v>-3073</v>
      </c>
      <c r="L70" s="41">
        <v>-1950</v>
      </c>
      <c r="M70" s="41">
        <v>-1844</v>
      </c>
      <c r="N70" s="41">
        <v>0</v>
      </c>
      <c r="O70" s="41">
        <v>1300</v>
      </c>
      <c r="P70" s="41">
        <v>0</v>
      </c>
      <c r="Q70" s="41">
        <v>1229</v>
      </c>
    </row>
    <row r="71" spans="1:17" x14ac:dyDescent="0.25">
      <c r="A71" s="40" t="s">
        <v>187</v>
      </c>
      <c r="B71" s="41">
        <v>4513374</v>
      </c>
      <c r="C71" s="41">
        <v>0</v>
      </c>
      <c r="D71" s="41">
        <v>-123918</v>
      </c>
      <c r="E71" s="41">
        <v>520</v>
      </c>
      <c r="F71" s="41">
        <v>4389975</v>
      </c>
      <c r="G71" s="41">
        <v>1579681</v>
      </c>
      <c r="H71" s="41">
        <v>0</v>
      </c>
      <c r="I71" s="41">
        <v>-43190</v>
      </c>
      <c r="K71" s="41">
        <v>1536491</v>
      </c>
      <c r="L71" s="41">
        <v>947808</v>
      </c>
      <c r="M71" s="41">
        <v>921895</v>
      </c>
      <c r="N71" s="41">
        <v>0</v>
      </c>
      <c r="O71" s="41">
        <v>-631872</v>
      </c>
      <c r="P71" s="41">
        <v>0</v>
      </c>
      <c r="Q71" s="41">
        <v>-614597</v>
      </c>
    </row>
    <row r="72" spans="1:17" x14ac:dyDescent="0.25">
      <c r="A72" s="40" t="s">
        <v>186</v>
      </c>
      <c r="B72" s="41">
        <v>0</v>
      </c>
      <c r="C72" s="41">
        <v>0</v>
      </c>
      <c r="D72" s="41">
        <v>0</v>
      </c>
      <c r="E72" s="41">
        <v>0</v>
      </c>
      <c r="F72" s="41">
        <v>0</v>
      </c>
      <c r="G72" s="41">
        <v>0</v>
      </c>
      <c r="H72" s="41">
        <v>0</v>
      </c>
      <c r="I72" s="41">
        <v>0</v>
      </c>
      <c r="K72" s="41">
        <v>0</v>
      </c>
      <c r="L72" s="41">
        <v>0</v>
      </c>
      <c r="M72" s="41">
        <v>0</v>
      </c>
      <c r="N72" s="41">
        <v>0</v>
      </c>
      <c r="O72" s="41">
        <v>0</v>
      </c>
      <c r="P72" s="41">
        <v>0</v>
      </c>
      <c r="Q72" s="41">
        <v>0</v>
      </c>
    </row>
    <row r="73" spans="1:17" x14ac:dyDescent="0.25">
      <c r="A73" s="40" t="s">
        <v>185</v>
      </c>
      <c r="B73" s="41">
        <v>-52061</v>
      </c>
      <c r="C73" s="41">
        <v>0</v>
      </c>
      <c r="D73" s="41">
        <v>5597</v>
      </c>
      <c r="E73" s="41">
        <v>0</v>
      </c>
      <c r="F73" s="41">
        <v>-46464</v>
      </c>
      <c r="G73" s="41">
        <v>-18221</v>
      </c>
      <c r="H73" s="41">
        <v>0</v>
      </c>
      <c r="I73" s="41">
        <v>1959</v>
      </c>
      <c r="K73" s="41">
        <v>-16263</v>
      </c>
      <c r="L73" s="41">
        <v>-10933</v>
      </c>
      <c r="M73" s="41">
        <v>-9758</v>
      </c>
      <c r="N73" s="41">
        <v>0</v>
      </c>
      <c r="O73" s="41">
        <v>7289</v>
      </c>
      <c r="P73" s="41">
        <v>0</v>
      </c>
      <c r="Q73" s="41">
        <v>6505</v>
      </c>
    </row>
    <row r="74" spans="1:17" x14ac:dyDescent="0.25">
      <c r="A74" s="40" t="s">
        <v>184</v>
      </c>
      <c r="B74" s="41">
        <v>-9304232</v>
      </c>
      <c r="C74" s="41">
        <v>0</v>
      </c>
      <c r="D74" s="41">
        <v>312844</v>
      </c>
      <c r="E74" s="41">
        <v>0</v>
      </c>
      <c r="F74" s="41">
        <v>-8991388</v>
      </c>
      <c r="G74" s="41">
        <v>-3256481</v>
      </c>
      <c r="H74" s="41">
        <v>0</v>
      </c>
      <c r="I74" s="41">
        <v>109495</v>
      </c>
      <c r="K74" s="41">
        <v>-3146986</v>
      </c>
      <c r="L74" s="41">
        <v>-1953889</v>
      </c>
      <c r="M74" s="41">
        <v>-1888192</v>
      </c>
      <c r="N74" s="41">
        <v>0</v>
      </c>
      <c r="O74" s="41">
        <v>1302592</v>
      </c>
      <c r="P74" s="41">
        <v>0</v>
      </c>
      <c r="Q74" s="41">
        <v>1258794</v>
      </c>
    </row>
    <row r="75" spans="1:17" x14ac:dyDescent="0.25">
      <c r="A75" s="40" t="s">
        <v>183</v>
      </c>
      <c r="B75" s="41">
        <v>95944107</v>
      </c>
      <c r="C75" s="41">
        <v>0</v>
      </c>
      <c r="D75" s="41">
        <v>-3102414</v>
      </c>
      <c r="E75" s="41">
        <v>58139</v>
      </c>
      <c r="F75" s="41">
        <v>92899832</v>
      </c>
      <c r="G75" s="41">
        <v>33580437</v>
      </c>
      <c r="H75" s="41">
        <v>0</v>
      </c>
      <c r="I75" s="41">
        <v>-1065496</v>
      </c>
      <c r="K75" s="41">
        <v>32514941</v>
      </c>
      <c r="L75" s="41">
        <v>20148262</v>
      </c>
      <c r="M75" s="41">
        <v>19508965</v>
      </c>
      <c r="N75" s="41">
        <v>0</v>
      </c>
      <c r="O75" s="41">
        <v>-13432175</v>
      </c>
      <c r="P75" s="41">
        <v>0</v>
      </c>
      <c r="Q75" s="41">
        <v>-13005976</v>
      </c>
    </row>
    <row r="76" spans="1:17" x14ac:dyDescent="0.25">
      <c r="A76" s="40" t="s">
        <v>182</v>
      </c>
      <c r="B76" s="41">
        <v>2962541</v>
      </c>
      <c r="C76" s="41">
        <v>0</v>
      </c>
      <c r="D76" s="41">
        <v>-96143</v>
      </c>
      <c r="E76" s="41">
        <v>1407</v>
      </c>
      <c r="F76" s="41">
        <v>2867806</v>
      </c>
      <c r="G76" s="41">
        <v>1036889</v>
      </c>
      <c r="H76" s="41">
        <v>0</v>
      </c>
      <c r="I76" s="41">
        <v>-33157</v>
      </c>
      <c r="K76" s="41">
        <v>1003732</v>
      </c>
      <c r="L76" s="41">
        <v>622134</v>
      </c>
      <c r="M76" s="41">
        <v>602239</v>
      </c>
      <c r="N76" s="41">
        <v>0</v>
      </c>
      <c r="O76" s="41">
        <v>-414756</v>
      </c>
      <c r="P76" s="41">
        <v>0</v>
      </c>
      <c r="Q76" s="41">
        <v>-401493</v>
      </c>
    </row>
    <row r="77" spans="1:17" x14ac:dyDescent="0.25">
      <c r="A77" s="40" t="s">
        <v>181</v>
      </c>
      <c r="B77" s="41">
        <v>-20784</v>
      </c>
      <c r="C77" s="41">
        <v>0</v>
      </c>
      <c r="D77" s="41">
        <v>2821</v>
      </c>
      <c r="E77" s="41">
        <v>0</v>
      </c>
      <c r="F77" s="41">
        <v>-17964</v>
      </c>
      <c r="G77" s="41">
        <v>-7275</v>
      </c>
      <c r="H77" s="41">
        <v>0</v>
      </c>
      <c r="I77" s="41">
        <v>987</v>
      </c>
      <c r="K77" s="41">
        <v>-6287</v>
      </c>
      <c r="L77" s="41">
        <v>-4365</v>
      </c>
      <c r="M77" s="41">
        <v>-3772</v>
      </c>
      <c r="N77" s="41">
        <v>0</v>
      </c>
      <c r="O77" s="41">
        <v>2910</v>
      </c>
      <c r="P77" s="41">
        <v>0</v>
      </c>
      <c r="Q77" s="41">
        <v>2515</v>
      </c>
    </row>
    <row r="78" spans="1:17" x14ac:dyDescent="0.25">
      <c r="A78" s="40" t="s">
        <v>180</v>
      </c>
      <c r="B78" s="41">
        <v>48537079</v>
      </c>
      <c r="C78" s="41">
        <v>0</v>
      </c>
      <c r="D78" s="41">
        <v>-2367028</v>
      </c>
      <c r="E78" s="41">
        <v>512002</v>
      </c>
      <c r="F78" s="41">
        <v>46682054</v>
      </c>
      <c r="G78" s="41">
        <v>16987978</v>
      </c>
      <c r="H78" s="41">
        <v>0</v>
      </c>
      <c r="I78" s="41">
        <v>-649259</v>
      </c>
      <c r="K78" s="41">
        <v>16338719</v>
      </c>
      <c r="L78" s="41">
        <v>10192787</v>
      </c>
      <c r="M78" s="41">
        <v>9803231</v>
      </c>
      <c r="N78" s="41">
        <v>0</v>
      </c>
      <c r="O78" s="41">
        <v>-6795191</v>
      </c>
      <c r="P78" s="41">
        <v>0</v>
      </c>
      <c r="Q78" s="41">
        <v>-6535488</v>
      </c>
    </row>
    <row r="79" spans="1:17" x14ac:dyDescent="0.25">
      <c r="A79" s="40" t="s">
        <v>179</v>
      </c>
      <c r="B79" s="41">
        <v>0</v>
      </c>
      <c r="C79" s="41">
        <v>0</v>
      </c>
      <c r="D79" s="41">
        <v>0</v>
      </c>
      <c r="E79" s="41">
        <v>0</v>
      </c>
      <c r="F79" s="41">
        <v>0</v>
      </c>
      <c r="G79" s="41">
        <v>0</v>
      </c>
      <c r="H79" s="41">
        <v>0</v>
      </c>
      <c r="I79" s="41">
        <v>0</v>
      </c>
      <c r="K79" s="41">
        <v>0</v>
      </c>
      <c r="L79" s="41">
        <v>0</v>
      </c>
      <c r="M79" s="41">
        <v>0</v>
      </c>
      <c r="N79" s="41">
        <v>0</v>
      </c>
      <c r="O79" s="41">
        <v>0</v>
      </c>
      <c r="P79" s="41">
        <v>0</v>
      </c>
      <c r="Q79" s="41">
        <v>0</v>
      </c>
    </row>
    <row r="80" spans="1:17" x14ac:dyDescent="0.25">
      <c r="A80" s="40" t="s">
        <v>178</v>
      </c>
      <c r="B80" s="41">
        <v>677090010</v>
      </c>
      <c r="C80" s="41">
        <v>79321573</v>
      </c>
      <c r="D80" s="41">
        <v>-22830148</v>
      </c>
      <c r="E80" s="41">
        <v>3183160</v>
      </c>
      <c r="F80" s="41">
        <v>736764594</v>
      </c>
      <c r="G80" s="41">
        <v>236925368</v>
      </c>
      <c r="H80" s="41">
        <v>16848125</v>
      </c>
      <c r="I80" s="41">
        <v>-7065264</v>
      </c>
      <c r="K80" s="41">
        <v>246708229</v>
      </c>
      <c r="L80" s="41">
        <v>142188902</v>
      </c>
      <c r="M80" s="41">
        <v>154720565</v>
      </c>
      <c r="N80" s="41">
        <v>33681</v>
      </c>
      <c r="O80" s="41">
        <v>-94770147</v>
      </c>
      <c r="P80" s="41">
        <v>32615</v>
      </c>
      <c r="Q80" s="41">
        <v>-92020279</v>
      </c>
    </row>
    <row r="81" spans="1:17" x14ac:dyDescent="0.25">
      <c r="A81" s="40" t="s">
        <v>177</v>
      </c>
      <c r="B81" s="41">
        <v>-3861431</v>
      </c>
      <c r="C81" s="41">
        <v>0</v>
      </c>
      <c r="D81" s="41">
        <v>121522</v>
      </c>
      <c r="E81" s="41">
        <v>0</v>
      </c>
      <c r="F81" s="41">
        <v>-3739909</v>
      </c>
      <c r="G81" s="41">
        <v>-1351501</v>
      </c>
      <c r="H81" s="41">
        <v>0</v>
      </c>
      <c r="I81" s="41">
        <v>42533</v>
      </c>
      <c r="K81" s="41">
        <v>-1308968</v>
      </c>
      <c r="L81" s="41">
        <v>-810901</v>
      </c>
      <c r="M81" s="41">
        <v>-785381</v>
      </c>
      <c r="N81" s="41">
        <v>0</v>
      </c>
      <c r="O81" s="41">
        <v>540600</v>
      </c>
      <c r="P81" s="41">
        <v>0</v>
      </c>
      <c r="Q81" s="41">
        <v>523587</v>
      </c>
    </row>
    <row r="82" spans="1:17" x14ac:dyDescent="0.25">
      <c r="A82" s="40" t="s">
        <v>176</v>
      </c>
      <c r="B82" s="41">
        <v>0</v>
      </c>
      <c r="C82" s="41">
        <v>0</v>
      </c>
      <c r="D82" s="41">
        <v>0</v>
      </c>
      <c r="E82" s="41">
        <v>0</v>
      </c>
      <c r="F82" s="41">
        <v>0</v>
      </c>
      <c r="G82" s="41">
        <v>0</v>
      </c>
      <c r="H82" s="41">
        <v>0</v>
      </c>
      <c r="I82" s="41">
        <v>0</v>
      </c>
      <c r="K82" s="41">
        <v>0</v>
      </c>
      <c r="L82" s="41">
        <v>0</v>
      </c>
      <c r="M82" s="41">
        <v>0</v>
      </c>
      <c r="N82" s="41">
        <v>0</v>
      </c>
      <c r="O82" s="41">
        <v>0</v>
      </c>
      <c r="P82" s="41">
        <v>0</v>
      </c>
      <c r="Q82" s="41">
        <v>0</v>
      </c>
    </row>
    <row r="83" spans="1:17" x14ac:dyDescent="0.25">
      <c r="A83" s="40" t="s">
        <v>175</v>
      </c>
      <c r="B83" s="41">
        <v>336512</v>
      </c>
      <c r="C83" s="41">
        <v>0</v>
      </c>
      <c r="D83" s="41">
        <v>-17969</v>
      </c>
      <c r="E83" s="41">
        <v>0</v>
      </c>
      <c r="F83" s="41">
        <v>318543</v>
      </c>
      <c r="G83" s="41">
        <v>117779</v>
      </c>
      <c r="H83" s="41">
        <v>0</v>
      </c>
      <c r="I83" s="41">
        <v>-6289</v>
      </c>
      <c r="K83" s="41">
        <v>111490</v>
      </c>
      <c r="L83" s="41">
        <v>70668</v>
      </c>
      <c r="M83" s="41">
        <v>66894</v>
      </c>
      <c r="N83" s="41">
        <v>0</v>
      </c>
      <c r="O83" s="41">
        <v>-47112</v>
      </c>
      <c r="P83" s="41">
        <v>0</v>
      </c>
      <c r="Q83" s="41">
        <v>-44596</v>
      </c>
    </row>
    <row r="84" spans="1:17" x14ac:dyDescent="0.25">
      <c r="A84" s="40" t="s">
        <v>143</v>
      </c>
      <c r="B84" s="41">
        <v>803290145</v>
      </c>
      <c r="C84" s="41">
        <v>74956391</v>
      </c>
      <c r="D84" s="41">
        <v>-27725510</v>
      </c>
      <c r="E84" s="41">
        <v>3763828</v>
      </c>
      <c r="F84" s="41">
        <v>854284854</v>
      </c>
      <c r="G84" s="41">
        <v>281211057</v>
      </c>
      <c r="H84" s="41">
        <v>15920914</v>
      </c>
      <c r="I84" s="41">
        <v>-8570440</v>
      </c>
      <c r="K84" s="41">
        <v>288561531</v>
      </c>
      <c r="L84" s="41">
        <v>168690931</v>
      </c>
      <c r="M84" s="41">
        <v>179399819</v>
      </c>
      <c r="N84" s="41">
        <v>-35703</v>
      </c>
      <c r="O84" s="41">
        <v>-112484423</v>
      </c>
      <c r="P84" s="41">
        <v>-33456</v>
      </c>
      <c r="Q84" s="41">
        <v>-109128255</v>
      </c>
    </row>
    <row r="85" spans="1:17" x14ac:dyDescent="0.25">
      <c r="A85" s="40" t="s">
        <v>174</v>
      </c>
      <c r="B85" s="41">
        <v>-843250</v>
      </c>
      <c r="C85" s="41">
        <v>0</v>
      </c>
      <c r="D85" s="41">
        <v>0</v>
      </c>
      <c r="E85" s="41">
        <v>44765</v>
      </c>
      <c r="F85" s="41">
        <v>-798485</v>
      </c>
      <c r="G85" s="41">
        <v>0</v>
      </c>
      <c r="H85" s="41">
        <v>0</v>
      </c>
      <c r="I85" s="41">
        <v>0</v>
      </c>
      <c r="K85" s="41">
        <v>0</v>
      </c>
      <c r="L85" s="41">
        <v>-295137</v>
      </c>
      <c r="M85" s="41">
        <v>-279470</v>
      </c>
      <c r="N85" s="41">
        <v>-295137</v>
      </c>
      <c r="O85" s="41">
        <v>0</v>
      </c>
      <c r="P85" s="41">
        <v>-279470</v>
      </c>
      <c r="Q85" s="41">
        <v>0</v>
      </c>
    </row>
    <row r="86" spans="1:17" x14ac:dyDescent="0.25">
      <c r="A86" s="40" t="s">
        <v>173</v>
      </c>
      <c r="B86" s="41">
        <v>47761</v>
      </c>
      <c r="C86" s="41">
        <v>0</v>
      </c>
      <c r="D86" s="41">
        <v>0</v>
      </c>
      <c r="E86" s="41">
        <v>-2434</v>
      </c>
      <c r="F86" s="41">
        <v>45327</v>
      </c>
      <c r="G86" s="41">
        <v>0</v>
      </c>
      <c r="H86" s="41">
        <v>0</v>
      </c>
      <c r="I86" s="41">
        <v>0</v>
      </c>
      <c r="K86" s="41">
        <v>0</v>
      </c>
      <c r="L86" s="41">
        <v>16716</v>
      </c>
      <c r="M86" s="41">
        <v>15865</v>
      </c>
      <c r="N86" s="41">
        <v>16716</v>
      </c>
      <c r="O86" s="41">
        <v>0</v>
      </c>
      <c r="P86" s="41">
        <v>15865</v>
      </c>
      <c r="Q86" s="41">
        <v>0</v>
      </c>
    </row>
    <row r="87" spans="1:17" x14ac:dyDescent="0.25">
      <c r="A87" s="40" t="s">
        <v>172</v>
      </c>
      <c r="B87" s="41">
        <v>0</v>
      </c>
      <c r="C87" s="41">
        <v>0</v>
      </c>
      <c r="D87" s="41">
        <v>0</v>
      </c>
      <c r="E87" s="41">
        <v>0</v>
      </c>
      <c r="F87" s="41">
        <v>0</v>
      </c>
      <c r="G87" s="41">
        <v>0</v>
      </c>
      <c r="H87" s="41">
        <v>0</v>
      </c>
      <c r="I87" s="41">
        <v>0</v>
      </c>
      <c r="K87" s="41">
        <v>0</v>
      </c>
      <c r="L87" s="41">
        <v>0</v>
      </c>
      <c r="M87" s="41">
        <v>0</v>
      </c>
      <c r="N87" s="41">
        <v>0</v>
      </c>
      <c r="O87" s="41">
        <v>0</v>
      </c>
      <c r="P87" s="41">
        <v>0</v>
      </c>
      <c r="Q87" s="41">
        <v>0</v>
      </c>
    </row>
    <row r="88" spans="1:17" x14ac:dyDescent="0.25">
      <c r="A88" s="40" t="s">
        <v>171</v>
      </c>
      <c r="B88" s="41">
        <v>48323672</v>
      </c>
      <c r="C88" s="41">
        <v>0</v>
      </c>
      <c r="D88" s="41">
        <v>0</v>
      </c>
      <c r="E88" s="41">
        <v>-2076104</v>
      </c>
      <c r="F88" s="41">
        <v>46247568</v>
      </c>
      <c r="G88" s="41">
        <v>0</v>
      </c>
      <c r="H88" s="41">
        <v>0</v>
      </c>
      <c r="I88" s="41">
        <v>0</v>
      </c>
      <c r="K88" s="41">
        <v>0</v>
      </c>
      <c r="L88" s="41">
        <v>16913285</v>
      </c>
      <c r="M88" s="41">
        <v>16186649</v>
      </c>
      <c r="N88" s="41">
        <v>16913285</v>
      </c>
      <c r="O88" s="41">
        <v>0</v>
      </c>
      <c r="P88" s="41">
        <v>16186649</v>
      </c>
      <c r="Q88" s="41">
        <v>0</v>
      </c>
    </row>
    <row r="89" spans="1:17" x14ac:dyDescent="0.25">
      <c r="A89" s="40" t="s">
        <v>170</v>
      </c>
      <c r="B89" s="41">
        <v>7819</v>
      </c>
      <c r="C89" s="41">
        <v>0</v>
      </c>
      <c r="D89" s="41">
        <v>0</v>
      </c>
      <c r="E89" s="41">
        <v>-401</v>
      </c>
      <c r="F89" s="41">
        <v>7419</v>
      </c>
      <c r="G89" s="41">
        <v>0</v>
      </c>
      <c r="H89" s="41">
        <v>0</v>
      </c>
      <c r="I89" s="41">
        <v>0</v>
      </c>
      <c r="K89" s="41">
        <v>0</v>
      </c>
      <c r="L89" s="41">
        <v>2737</v>
      </c>
      <c r="M89" s="41">
        <v>2596</v>
      </c>
      <c r="N89" s="41">
        <v>2737</v>
      </c>
      <c r="O89" s="41">
        <v>0</v>
      </c>
      <c r="P89" s="41">
        <v>2596</v>
      </c>
      <c r="Q89" s="41">
        <v>0</v>
      </c>
    </row>
    <row r="90" spans="1:17" x14ac:dyDescent="0.25">
      <c r="A90" s="40" t="s">
        <v>169</v>
      </c>
      <c r="B90" s="41">
        <v>0</v>
      </c>
      <c r="C90" s="41">
        <v>0</v>
      </c>
      <c r="D90" s="41">
        <v>0</v>
      </c>
      <c r="E90" s="41">
        <v>0</v>
      </c>
      <c r="F90" s="41">
        <v>0</v>
      </c>
      <c r="G90" s="41">
        <v>0</v>
      </c>
      <c r="H90" s="41">
        <v>0</v>
      </c>
      <c r="I90" s="41">
        <v>0</v>
      </c>
      <c r="K90" s="41">
        <v>0</v>
      </c>
      <c r="L90" s="41">
        <v>0</v>
      </c>
      <c r="M90" s="41">
        <v>0</v>
      </c>
      <c r="N90" s="41">
        <v>0</v>
      </c>
      <c r="O90" s="41">
        <v>0</v>
      </c>
      <c r="P90" s="41">
        <v>0</v>
      </c>
      <c r="Q90" s="41">
        <v>0</v>
      </c>
    </row>
    <row r="91" spans="1:17" x14ac:dyDescent="0.25">
      <c r="A91" s="40" t="s">
        <v>168</v>
      </c>
      <c r="B91" s="41">
        <v>0</v>
      </c>
      <c r="C91" s="41">
        <v>0</v>
      </c>
      <c r="D91" s="41">
        <v>0</v>
      </c>
      <c r="E91" s="41">
        <v>0</v>
      </c>
      <c r="F91" s="41">
        <v>0</v>
      </c>
      <c r="G91" s="41">
        <v>0</v>
      </c>
      <c r="H91" s="41">
        <v>0</v>
      </c>
      <c r="I91" s="41">
        <v>0</v>
      </c>
      <c r="K91" s="41">
        <v>0</v>
      </c>
      <c r="L91" s="41">
        <v>0</v>
      </c>
      <c r="M91" s="41">
        <v>0</v>
      </c>
      <c r="N91" s="41">
        <v>0</v>
      </c>
      <c r="O91" s="41">
        <v>0</v>
      </c>
      <c r="P91" s="41">
        <v>0</v>
      </c>
      <c r="Q91" s="41">
        <v>0</v>
      </c>
    </row>
    <row r="92" spans="1:17" x14ac:dyDescent="0.25">
      <c r="A92" s="40" t="s">
        <v>167</v>
      </c>
      <c r="B92" s="41">
        <v>529932</v>
      </c>
      <c r="C92" s="41">
        <v>0</v>
      </c>
      <c r="D92" s="41">
        <v>0</v>
      </c>
      <c r="E92" s="41">
        <v>-189476</v>
      </c>
      <c r="F92" s="41">
        <v>340456</v>
      </c>
      <c r="G92" s="41">
        <v>0</v>
      </c>
      <c r="H92" s="41">
        <v>0</v>
      </c>
      <c r="I92" s="41">
        <v>0</v>
      </c>
      <c r="K92" s="41">
        <v>0</v>
      </c>
      <c r="L92" s="41">
        <v>185476</v>
      </c>
      <c r="M92" s="41">
        <v>119160</v>
      </c>
      <c r="N92" s="41">
        <v>185476</v>
      </c>
      <c r="O92" s="41">
        <v>0</v>
      </c>
      <c r="P92" s="41">
        <v>119160</v>
      </c>
      <c r="Q92" s="41">
        <v>0</v>
      </c>
    </row>
    <row r="93" spans="1:17" x14ac:dyDescent="0.25">
      <c r="A93" s="40" t="s">
        <v>166</v>
      </c>
      <c r="B93" s="41">
        <v>-8522625</v>
      </c>
      <c r="C93" s="41">
        <v>0</v>
      </c>
      <c r="D93" s="41">
        <v>0</v>
      </c>
      <c r="E93" s="41">
        <v>375805</v>
      </c>
      <c r="F93" s="41">
        <v>-8146820</v>
      </c>
      <c r="G93" s="41">
        <v>0</v>
      </c>
      <c r="H93" s="41">
        <v>0</v>
      </c>
      <c r="I93" s="41">
        <v>0</v>
      </c>
      <c r="K93" s="41">
        <v>0</v>
      </c>
      <c r="L93" s="41">
        <v>-2982919</v>
      </c>
      <c r="M93" s="41">
        <v>-2851387</v>
      </c>
      <c r="N93" s="41">
        <v>-2982919</v>
      </c>
      <c r="O93" s="41">
        <v>0</v>
      </c>
      <c r="P93" s="41">
        <v>-2851387</v>
      </c>
      <c r="Q93" s="41">
        <v>0</v>
      </c>
    </row>
    <row r="94" spans="1:17" x14ac:dyDescent="0.25">
      <c r="A94" s="40" t="s">
        <v>165</v>
      </c>
      <c r="B94" s="41">
        <v>-2494229</v>
      </c>
      <c r="C94" s="41">
        <v>0</v>
      </c>
      <c r="D94" s="41">
        <v>94102</v>
      </c>
      <c r="E94" s="41">
        <v>0</v>
      </c>
      <c r="F94" s="41">
        <v>-2400127</v>
      </c>
      <c r="G94" s="41">
        <v>-872980</v>
      </c>
      <c r="H94" s="41">
        <v>0</v>
      </c>
      <c r="I94" s="41">
        <v>32936</v>
      </c>
      <c r="K94" s="41">
        <v>-840044</v>
      </c>
      <c r="L94" s="41">
        <v>-872980</v>
      </c>
      <c r="M94" s="41">
        <v>-840044</v>
      </c>
      <c r="N94" s="41">
        <v>0</v>
      </c>
      <c r="O94" s="41">
        <v>0</v>
      </c>
      <c r="P94" s="41">
        <v>0</v>
      </c>
      <c r="Q94" s="41">
        <v>0</v>
      </c>
    </row>
    <row r="95" spans="1:17" x14ac:dyDescent="0.25">
      <c r="A95" s="40" t="s">
        <v>164</v>
      </c>
      <c r="B95" s="41">
        <v>-14967</v>
      </c>
      <c r="C95" s="41">
        <v>0</v>
      </c>
      <c r="D95" s="41">
        <v>0</v>
      </c>
      <c r="E95" s="41">
        <v>748</v>
      </c>
      <c r="F95" s="41">
        <v>-14219</v>
      </c>
      <c r="G95" s="41">
        <v>0</v>
      </c>
      <c r="H95" s="41">
        <v>0</v>
      </c>
      <c r="I95" s="41">
        <v>0</v>
      </c>
      <c r="K95" s="41">
        <v>0</v>
      </c>
      <c r="L95" s="41">
        <v>-5239</v>
      </c>
      <c r="M95" s="41">
        <v>-4977</v>
      </c>
      <c r="N95" s="41">
        <v>-5239</v>
      </c>
      <c r="O95" s="41">
        <v>0</v>
      </c>
      <c r="P95" s="41">
        <v>-4977</v>
      </c>
      <c r="Q95" s="41">
        <v>0</v>
      </c>
    </row>
    <row r="96" spans="1:17" x14ac:dyDescent="0.25">
      <c r="A96" s="40" t="s">
        <v>163</v>
      </c>
      <c r="B96" s="41">
        <v>-2373</v>
      </c>
      <c r="C96" s="41">
        <v>0</v>
      </c>
      <c r="D96" s="41">
        <v>0</v>
      </c>
      <c r="E96" s="41">
        <v>119</v>
      </c>
      <c r="F96" s="41">
        <v>-2254</v>
      </c>
      <c r="G96" s="41">
        <v>0</v>
      </c>
      <c r="H96" s="41">
        <v>0</v>
      </c>
      <c r="I96" s="41">
        <v>0</v>
      </c>
      <c r="K96" s="41">
        <v>0</v>
      </c>
      <c r="L96" s="41">
        <v>-831</v>
      </c>
      <c r="M96" s="41">
        <v>-789</v>
      </c>
      <c r="N96" s="41">
        <v>-831</v>
      </c>
      <c r="O96" s="41">
        <v>0</v>
      </c>
      <c r="P96" s="41">
        <v>-789</v>
      </c>
      <c r="Q96" s="41">
        <v>0</v>
      </c>
    </row>
    <row r="97" spans="1:17" x14ac:dyDescent="0.25">
      <c r="A97" s="40" t="s">
        <v>162</v>
      </c>
      <c r="B97" s="41">
        <v>4881</v>
      </c>
      <c r="C97" s="41">
        <v>0</v>
      </c>
      <c r="D97" s="41">
        <v>0</v>
      </c>
      <c r="E97" s="41">
        <v>-250</v>
      </c>
      <c r="F97" s="41">
        <v>4630</v>
      </c>
      <c r="G97" s="41">
        <v>0</v>
      </c>
      <c r="H97" s="41">
        <v>0</v>
      </c>
      <c r="I97" s="41">
        <v>0</v>
      </c>
      <c r="K97" s="41">
        <v>0</v>
      </c>
      <c r="L97" s="41">
        <v>1708</v>
      </c>
      <c r="M97" s="41">
        <v>1621</v>
      </c>
      <c r="N97" s="41">
        <v>1708</v>
      </c>
      <c r="O97" s="41">
        <v>0</v>
      </c>
      <c r="P97" s="41">
        <v>1621</v>
      </c>
      <c r="Q97" s="41">
        <v>0</v>
      </c>
    </row>
    <row r="98" spans="1:17" x14ac:dyDescent="0.25">
      <c r="A98" s="40" t="s">
        <v>161</v>
      </c>
      <c r="B98" s="41">
        <v>655041</v>
      </c>
      <c r="C98" s="41">
        <v>0</v>
      </c>
      <c r="D98" s="41">
        <v>0</v>
      </c>
      <c r="E98" s="41">
        <v>-33525</v>
      </c>
      <c r="F98" s="41">
        <v>621516</v>
      </c>
      <c r="G98" s="41">
        <v>0</v>
      </c>
      <c r="H98" s="41">
        <v>0</v>
      </c>
      <c r="I98" s="41">
        <v>0</v>
      </c>
      <c r="K98" s="41">
        <v>0</v>
      </c>
      <c r="L98" s="41">
        <v>229264</v>
      </c>
      <c r="M98" s="41">
        <v>217531</v>
      </c>
      <c r="N98" s="41">
        <v>229264</v>
      </c>
      <c r="O98" s="41">
        <v>0</v>
      </c>
      <c r="P98" s="41">
        <v>217531</v>
      </c>
      <c r="Q98" s="41">
        <v>0</v>
      </c>
    </row>
    <row r="99" spans="1:17" x14ac:dyDescent="0.25">
      <c r="A99" s="40" t="s">
        <v>160</v>
      </c>
      <c r="B99" s="41">
        <v>3519</v>
      </c>
      <c r="C99" s="41">
        <v>0</v>
      </c>
      <c r="D99" s="41">
        <v>0</v>
      </c>
      <c r="E99" s="41">
        <v>-181</v>
      </c>
      <c r="F99" s="41">
        <v>3339</v>
      </c>
      <c r="G99" s="41">
        <v>0</v>
      </c>
      <c r="H99" s="41">
        <v>0</v>
      </c>
      <c r="I99" s="41">
        <v>0</v>
      </c>
      <c r="K99" s="41">
        <v>0</v>
      </c>
      <c r="L99" s="41">
        <v>1232</v>
      </c>
      <c r="M99" s="41">
        <v>1169</v>
      </c>
      <c r="N99" s="41">
        <v>1232</v>
      </c>
      <c r="O99" s="41">
        <v>0</v>
      </c>
      <c r="P99" s="41">
        <v>1169</v>
      </c>
      <c r="Q99" s="41">
        <v>0</v>
      </c>
    </row>
    <row r="100" spans="1:17" x14ac:dyDescent="0.25">
      <c r="A100" s="40" t="s">
        <v>159</v>
      </c>
      <c r="B100" s="41">
        <v>0</v>
      </c>
      <c r="C100" s="41">
        <v>0</v>
      </c>
      <c r="D100" s="41">
        <v>0</v>
      </c>
      <c r="E100" s="41">
        <v>0</v>
      </c>
      <c r="F100" s="41">
        <v>0</v>
      </c>
      <c r="G100" s="41">
        <v>0</v>
      </c>
      <c r="H100" s="41">
        <v>0</v>
      </c>
      <c r="I100" s="41">
        <v>0</v>
      </c>
      <c r="K100" s="41">
        <v>0</v>
      </c>
      <c r="L100" s="41">
        <v>0</v>
      </c>
      <c r="M100" s="41">
        <v>0</v>
      </c>
      <c r="N100" s="41">
        <v>0</v>
      </c>
      <c r="O100" s="41">
        <v>0</v>
      </c>
      <c r="P100" s="41">
        <v>0</v>
      </c>
      <c r="Q100" s="41">
        <v>0</v>
      </c>
    </row>
    <row r="101" spans="1:17" x14ac:dyDescent="0.25">
      <c r="A101" s="40" t="s">
        <v>158</v>
      </c>
      <c r="B101" s="41">
        <v>333306</v>
      </c>
      <c r="C101" s="41">
        <v>0</v>
      </c>
      <c r="D101" s="41">
        <v>-18211</v>
      </c>
      <c r="E101" s="41">
        <v>0</v>
      </c>
      <c r="F101" s="41">
        <v>315094</v>
      </c>
      <c r="G101" s="41">
        <v>116657</v>
      </c>
      <c r="H101" s="41">
        <v>0</v>
      </c>
      <c r="I101" s="41">
        <v>-6374</v>
      </c>
      <c r="K101" s="41">
        <v>110283</v>
      </c>
      <c r="L101" s="41">
        <v>116657</v>
      </c>
      <c r="M101" s="41">
        <v>110283</v>
      </c>
      <c r="N101" s="41">
        <v>0</v>
      </c>
      <c r="O101" s="41">
        <v>0</v>
      </c>
      <c r="P101" s="41">
        <v>0</v>
      </c>
      <c r="Q101" s="41">
        <v>0</v>
      </c>
    </row>
    <row r="102" spans="1:17" x14ac:dyDescent="0.25">
      <c r="A102" s="40" t="s">
        <v>157</v>
      </c>
      <c r="B102" s="41">
        <v>-38998088</v>
      </c>
      <c r="C102" s="41">
        <v>0</v>
      </c>
      <c r="D102" s="41">
        <v>0</v>
      </c>
      <c r="E102" s="41">
        <v>1866009</v>
      </c>
      <c r="F102" s="41">
        <v>-37132079</v>
      </c>
      <c r="G102" s="41">
        <v>0</v>
      </c>
      <c r="H102" s="41">
        <v>0</v>
      </c>
      <c r="I102" s="41">
        <v>0</v>
      </c>
      <c r="K102" s="41">
        <v>0</v>
      </c>
      <c r="L102" s="41">
        <v>-13649331</v>
      </c>
      <c r="M102" s="41">
        <v>-12996228</v>
      </c>
      <c r="N102" s="41">
        <v>-13649331</v>
      </c>
      <c r="O102" s="41">
        <v>0</v>
      </c>
      <c r="P102" s="41">
        <v>-12996228</v>
      </c>
      <c r="Q102" s="41">
        <v>0</v>
      </c>
    </row>
    <row r="103" spans="1:17" x14ac:dyDescent="0.25">
      <c r="A103" s="40" t="s">
        <v>156</v>
      </c>
      <c r="B103" s="41">
        <v>0</v>
      </c>
      <c r="C103" s="41">
        <v>0</v>
      </c>
      <c r="D103" s="41">
        <v>0</v>
      </c>
      <c r="E103" s="41">
        <v>0</v>
      </c>
      <c r="F103" s="41">
        <v>0</v>
      </c>
      <c r="G103" s="41">
        <v>0</v>
      </c>
      <c r="H103" s="41">
        <v>0</v>
      </c>
      <c r="I103" s="41">
        <v>0</v>
      </c>
      <c r="K103" s="41">
        <v>0</v>
      </c>
      <c r="L103" s="41">
        <v>0</v>
      </c>
      <c r="M103" s="41">
        <v>0</v>
      </c>
      <c r="N103" s="41">
        <v>0</v>
      </c>
      <c r="O103" s="41">
        <v>0</v>
      </c>
      <c r="P103" s="41">
        <v>0</v>
      </c>
      <c r="Q103" s="41">
        <v>0</v>
      </c>
    </row>
    <row r="104" spans="1:17" x14ac:dyDescent="0.25">
      <c r="A104" s="40" t="s">
        <v>155</v>
      </c>
      <c r="B104" s="41">
        <v>0</v>
      </c>
      <c r="C104" s="41">
        <v>0</v>
      </c>
      <c r="D104" s="41">
        <v>0</v>
      </c>
      <c r="E104" s="41">
        <v>0</v>
      </c>
      <c r="F104" s="41">
        <v>0</v>
      </c>
      <c r="G104" s="41">
        <v>0</v>
      </c>
      <c r="H104" s="41">
        <v>0</v>
      </c>
      <c r="I104" s="41">
        <v>0</v>
      </c>
      <c r="K104" s="41">
        <v>0</v>
      </c>
      <c r="L104" s="41">
        <v>0</v>
      </c>
      <c r="M104" s="41">
        <v>0</v>
      </c>
      <c r="N104" s="41">
        <v>0</v>
      </c>
      <c r="O104" s="41">
        <v>0</v>
      </c>
      <c r="P104" s="41">
        <v>0</v>
      </c>
      <c r="Q104" s="41">
        <v>0</v>
      </c>
    </row>
    <row r="105" spans="1:17" x14ac:dyDescent="0.25">
      <c r="A105" s="40" t="s">
        <v>154</v>
      </c>
      <c r="B105" s="41">
        <v>8206959</v>
      </c>
      <c r="C105" s="41">
        <v>0</v>
      </c>
      <c r="D105" s="41">
        <v>0</v>
      </c>
      <c r="E105" s="41">
        <v>-2023379</v>
      </c>
      <c r="F105" s="41">
        <v>6183580</v>
      </c>
      <c r="G105" s="41">
        <v>0</v>
      </c>
      <c r="H105" s="41">
        <v>0</v>
      </c>
      <c r="I105" s="41">
        <v>0</v>
      </c>
      <c r="K105" s="41">
        <v>0</v>
      </c>
      <c r="L105" s="41">
        <v>2872436</v>
      </c>
      <c r="M105" s="41">
        <v>2164253</v>
      </c>
      <c r="N105" s="41">
        <v>2872436</v>
      </c>
      <c r="O105" s="41">
        <v>0</v>
      </c>
      <c r="P105" s="41">
        <v>2164253</v>
      </c>
      <c r="Q105" s="41">
        <v>0</v>
      </c>
    </row>
    <row r="106" spans="1:17" x14ac:dyDescent="0.25">
      <c r="A106" s="40" t="s">
        <v>153</v>
      </c>
      <c r="B106" s="41">
        <v>48823</v>
      </c>
      <c r="C106" s="41">
        <v>0</v>
      </c>
      <c r="D106" s="41">
        <v>0</v>
      </c>
      <c r="E106" s="41">
        <v>-2478</v>
      </c>
      <c r="F106" s="41">
        <v>46345</v>
      </c>
      <c r="G106" s="41">
        <v>0</v>
      </c>
      <c r="H106" s="41">
        <v>0</v>
      </c>
      <c r="I106" s="41">
        <v>0</v>
      </c>
      <c r="K106" s="41">
        <v>0</v>
      </c>
      <c r="L106" s="41">
        <v>17088</v>
      </c>
      <c r="M106" s="41">
        <v>16221</v>
      </c>
      <c r="N106" s="41">
        <v>17088</v>
      </c>
      <c r="O106" s="41">
        <v>0</v>
      </c>
      <c r="P106" s="41">
        <v>16221</v>
      </c>
      <c r="Q106" s="41">
        <v>0</v>
      </c>
    </row>
    <row r="107" spans="1:17" x14ac:dyDescent="0.25">
      <c r="A107" s="40" t="s">
        <v>152</v>
      </c>
      <c r="B107" s="41">
        <v>25201</v>
      </c>
      <c r="C107" s="41">
        <v>0</v>
      </c>
      <c r="D107" s="41">
        <v>0</v>
      </c>
      <c r="E107" s="41">
        <v>-1275</v>
      </c>
      <c r="F107" s="41">
        <v>23926</v>
      </c>
      <c r="G107" s="41">
        <v>0</v>
      </c>
      <c r="H107" s="41">
        <v>0</v>
      </c>
      <c r="I107" s="41">
        <v>0</v>
      </c>
      <c r="K107" s="41">
        <v>0</v>
      </c>
      <c r="L107" s="41">
        <v>8820</v>
      </c>
      <c r="M107" s="41">
        <v>8374</v>
      </c>
      <c r="N107" s="41">
        <v>8820</v>
      </c>
      <c r="O107" s="41">
        <v>0</v>
      </c>
      <c r="P107" s="41">
        <v>8374</v>
      </c>
      <c r="Q107" s="41">
        <v>0</v>
      </c>
    </row>
    <row r="108" spans="1:17" x14ac:dyDescent="0.25">
      <c r="A108" s="40" t="s">
        <v>151</v>
      </c>
      <c r="B108" s="41">
        <v>251012</v>
      </c>
      <c r="C108" s="41">
        <v>0</v>
      </c>
      <c r="D108" s="41">
        <v>0</v>
      </c>
      <c r="E108" s="41">
        <v>-12847</v>
      </c>
      <c r="F108" s="41">
        <v>238165</v>
      </c>
      <c r="G108" s="41">
        <v>0</v>
      </c>
      <c r="H108" s="41">
        <v>0</v>
      </c>
      <c r="I108" s="41">
        <v>0</v>
      </c>
      <c r="K108" s="41">
        <v>0</v>
      </c>
      <c r="L108" s="41">
        <v>87854</v>
      </c>
      <c r="M108" s="41">
        <v>83358</v>
      </c>
      <c r="N108" s="41">
        <v>87854</v>
      </c>
      <c r="O108" s="41">
        <v>0</v>
      </c>
      <c r="P108" s="41">
        <v>83358</v>
      </c>
      <c r="Q108" s="41">
        <v>0</v>
      </c>
    </row>
    <row r="109" spans="1:17" x14ac:dyDescent="0.25">
      <c r="A109" s="40" t="s">
        <v>150</v>
      </c>
      <c r="B109" s="41">
        <v>7070</v>
      </c>
      <c r="C109" s="41">
        <v>0</v>
      </c>
      <c r="D109" s="41">
        <v>0</v>
      </c>
      <c r="E109" s="41">
        <v>-363</v>
      </c>
      <c r="F109" s="41">
        <v>6707</v>
      </c>
      <c r="G109" s="41">
        <v>0</v>
      </c>
      <c r="H109" s="41">
        <v>0</v>
      </c>
      <c r="I109" s="41">
        <v>0</v>
      </c>
      <c r="K109" s="41">
        <v>0</v>
      </c>
      <c r="L109" s="41">
        <v>2474</v>
      </c>
      <c r="M109" s="41">
        <v>2348</v>
      </c>
      <c r="N109" s="41">
        <v>2474</v>
      </c>
      <c r="O109" s="41">
        <v>0</v>
      </c>
      <c r="P109" s="41">
        <v>2348</v>
      </c>
      <c r="Q109" s="41">
        <v>0</v>
      </c>
    </row>
    <row r="110" spans="1:17" x14ac:dyDescent="0.25">
      <c r="A110" s="40" t="s">
        <v>149</v>
      </c>
      <c r="B110" s="41">
        <v>0</v>
      </c>
      <c r="C110" s="41">
        <v>0</v>
      </c>
      <c r="D110" s="41">
        <v>0</v>
      </c>
      <c r="E110" s="41">
        <v>0</v>
      </c>
      <c r="F110" s="41">
        <v>0</v>
      </c>
      <c r="G110" s="41">
        <v>0</v>
      </c>
      <c r="H110" s="41">
        <v>0</v>
      </c>
      <c r="I110" s="41">
        <v>0</v>
      </c>
      <c r="K110" s="41">
        <v>0</v>
      </c>
      <c r="L110" s="41">
        <v>0</v>
      </c>
      <c r="M110" s="41">
        <v>0</v>
      </c>
      <c r="N110" s="41">
        <v>0</v>
      </c>
      <c r="O110" s="41">
        <v>0</v>
      </c>
      <c r="P110" s="41">
        <v>0</v>
      </c>
      <c r="Q110" s="41">
        <v>0</v>
      </c>
    </row>
    <row r="111" spans="1:17" x14ac:dyDescent="0.25">
      <c r="A111" s="40" t="s">
        <v>148</v>
      </c>
      <c r="B111" s="41">
        <v>128131776</v>
      </c>
      <c r="C111" s="41">
        <v>0</v>
      </c>
      <c r="D111" s="41">
        <v>0</v>
      </c>
      <c r="E111" s="41">
        <v>-6588583</v>
      </c>
      <c r="F111" s="41">
        <v>121543194</v>
      </c>
      <c r="G111" s="41">
        <v>0</v>
      </c>
      <c r="H111" s="41">
        <v>0</v>
      </c>
      <c r="I111" s="41">
        <v>0</v>
      </c>
      <c r="K111" s="41">
        <v>0</v>
      </c>
      <c r="L111" s="41">
        <v>44846122</v>
      </c>
      <c r="M111" s="41">
        <v>42540118</v>
      </c>
      <c r="N111" s="41">
        <v>44846122</v>
      </c>
      <c r="O111" s="41">
        <v>0</v>
      </c>
      <c r="P111" s="41">
        <v>42540118</v>
      </c>
      <c r="Q111" s="41">
        <v>0</v>
      </c>
    </row>
    <row r="112" spans="1:17" x14ac:dyDescent="0.25">
      <c r="A112" s="40" t="s">
        <v>147</v>
      </c>
      <c r="B112" s="41">
        <v>111919</v>
      </c>
      <c r="C112" s="41">
        <v>0</v>
      </c>
      <c r="D112" s="41">
        <v>0</v>
      </c>
      <c r="E112" s="41">
        <v>-5595</v>
      </c>
      <c r="F112" s="41">
        <v>106325</v>
      </c>
      <c r="G112" s="41">
        <v>0</v>
      </c>
      <c r="H112" s="41">
        <v>0</v>
      </c>
      <c r="I112" s="41">
        <v>0</v>
      </c>
      <c r="K112" s="41">
        <v>0</v>
      </c>
      <c r="L112" s="41">
        <v>39172</v>
      </c>
      <c r="M112" s="41">
        <v>37214</v>
      </c>
      <c r="N112" s="41">
        <v>39172</v>
      </c>
      <c r="O112" s="41">
        <v>0</v>
      </c>
      <c r="P112" s="41">
        <v>37214</v>
      </c>
      <c r="Q112" s="41">
        <v>0</v>
      </c>
    </row>
    <row r="113" spans="1:17" x14ac:dyDescent="0.25">
      <c r="A113" s="40" t="s">
        <v>146</v>
      </c>
      <c r="B113" s="41">
        <v>81540558</v>
      </c>
      <c r="C113" s="41">
        <v>0</v>
      </c>
      <c r="D113" s="41">
        <v>0</v>
      </c>
      <c r="E113" s="41">
        <v>3400921</v>
      </c>
      <c r="F113" s="41">
        <v>84941479</v>
      </c>
      <c r="G113" s="41">
        <v>0</v>
      </c>
      <c r="H113" s="41">
        <v>0</v>
      </c>
      <c r="I113" s="41">
        <v>0</v>
      </c>
      <c r="K113" s="41">
        <v>0</v>
      </c>
      <c r="L113" s="41">
        <v>28539195</v>
      </c>
      <c r="M113" s="41">
        <v>29729518</v>
      </c>
      <c r="N113" s="41">
        <v>28539195</v>
      </c>
      <c r="O113" s="41">
        <v>0</v>
      </c>
      <c r="P113" s="41">
        <v>29729518</v>
      </c>
      <c r="Q113" s="41">
        <v>0</v>
      </c>
    </row>
    <row r="114" spans="1:17" x14ac:dyDescent="0.25">
      <c r="A114" s="40" t="s">
        <v>145</v>
      </c>
      <c r="B114" s="41">
        <v>86086366</v>
      </c>
      <c r="C114" s="41">
        <v>0</v>
      </c>
      <c r="D114" s="41">
        <v>0</v>
      </c>
      <c r="E114" s="41">
        <v>5078943</v>
      </c>
      <c r="F114" s="41">
        <v>91165310</v>
      </c>
      <c r="G114" s="41">
        <v>0</v>
      </c>
      <c r="H114" s="41">
        <v>0</v>
      </c>
      <c r="I114" s="41">
        <v>0</v>
      </c>
      <c r="K114" s="41">
        <v>0</v>
      </c>
      <c r="L114" s="41">
        <v>30130228</v>
      </c>
      <c r="M114" s="41">
        <v>31907858</v>
      </c>
      <c r="N114" s="41">
        <v>30130228</v>
      </c>
      <c r="O114" s="41">
        <v>0</v>
      </c>
      <c r="P114" s="41">
        <v>31907858</v>
      </c>
      <c r="Q114" s="41">
        <v>0</v>
      </c>
    </row>
    <row r="115" spans="1:17" x14ac:dyDescent="0.25">
      <c r="A115" s="40" t="s">
        <v>144</v>
      </c>
      <c r="B115" s="41">
        <v>-126281423</v>
      </c>
      <c r="C115" s="41">
        <v>0</v>
      </c>
      <c r="D115" s="41">
        <v>0</v>
      </c>
      <c r="E115" s="41">
        <v>-1687433</v>
      </c>
      <c r="F115" s="41">
        <v>-127968856</v>
      </c>
      <c r="G115" s="41">
        <v>0</v>
      </c>
      <c r="H115" s="41">
        <v>0</v>
      </c>
      <c r="I115" s="41">
        <v>0</v>
      </c>
      <c r="K115" s="41">
        <v>0</v>
      </c>
      <c r="L115" s="41">
        <v>-44198498</v>
      </c>
      <c r="M115" s="41">
        <v>-44789100</v>
      </c>
      <c r="N115" s="41">
        <v>-44198498</v>
      </c>
      <c r="O115" s="41">
        <v>0</v>
      </c>
      <c r="P115" s="41">
        <v>-44789100</v>
      </c>
      <c r="Q115" s="41">
        <v>0</v>
      </c>
    </row>
    <row r="116" spans="1:17" x14ac:dyDescent="0.25">
      <c r="A116" s="40" t="s">
        <v>143</v>
      </c>
      <c r="B116" s="41">
        <v>177158660</v>
      </c>
      <c r="C116" s="41">
        <v>0</v>
      </c>
      <c r="D116" s="41">
        <v>75891</v>
      </c>
      <c r="E116" s="41">
        <v>-1857013</v>
      </c>
      <c r="F116" s="41">
        <v>175377538</v>
      </c>
      <c r="G116" s="41">
        <v>-756323</v>
      </c>
      <c r="H116" s="41">
        <v>0</v>
      </c>
      <c r="I116" s="41">
        <v>26562</v>
      </c>
      <c r="K116" s="41">
        <v>-729761</v>
      </c>
      <c r="L116" s="41">
        <v>62005531</v>
      </c>
      <c r="M116" s="41">
        <v>61382138</v>
      </c>
      <c r="N116" s="41">
        <v>62761854</v>
      </c>
      <c r="O116" s="41">
        <v>0</v>
      </c>
      <c r="P116" s="41">
        <v>62111900</v>
      </c>
      <c r="Q116" s="41">
        <v>0</v>
      </c>
    </row>
    <row r="117" spans="1:17" x14ac:dyDescent="0.25">
      <c r="A117" s="40" t="s">
        <v>142</v>
      </c>
      <c r="B117" s="41">
        <v>36582125</v>
      </c>
      <c r="C117" s="41">
        <v>0</v>
      </c>
      <c r="D117" s="41">
        <v>-8541689</v>
      </c>
      <c r="E117" s="41">
        <v>0</v>
      </c>
      <c r="F117" s="41">
        <v>28040436</v>
      </c>
      <c r="G117" s="41">
        <v>12803744</v>
      </c>
      <c r="H117" s="41">
        <v>0</v>
      </c>
      <c r="I117" s="41">
        <v>-2989591</v>
      </c>
      <c r="K117" s="41">
        <v>9814153</v>
      </c>
      <c r="L117" s="41">
        <v>7682246</v>
      </c>
      <c r="M117" s="41">
        <v>5888492</v>
      </c>
      <c r="N117" s="41">
        <v>0</v>
      </c>
      <c r="O117" s="41">
        <v>-5121497</v>
      </c>
      <c r="P117" s="41">
        <v>0</v>
      </c>
      <c r="Q117" s="41">
        <v>-3925661</v>
      </c>
    </row>
    <row r="118" spans="1:17" x14ac:dyDescent="0.25">
      <c r="A118" s="40" t="s">
        <v>141</v>
      </c>
      <c r="B118" s="41">
        <v>-55214031</v>
      </c>
      <c r="C118" s="41">
        <v>0</v>
      </c>
      <c r="D118" s="41">
        <v>7966144</v>
      </c>
      <c r="E118" s="41">
        <v>0</v>
      </c>
      <c r="F118" s="41">
        <v>-47247886</v>
      </c>
      <c r="G118" s="41">
        <v>-19324911</v>
      </c>
      <c r="H118" s="41">
        <v>0</v>
      </c>
      <c r="I118" s="41">
        <v>2788150</v>
      </c>
      <c r="K118" s="41">
        <v>-16536760</v>
      </c>
      <c r="L118" s="41">
        <v>-11594946</v>
      </c>
      <c r="M118" s="41">
        <v>-9922056</v>
      </c>
      <c r="N118" s="41">
        <v>0</v>
      </c>
      <c r="O118" s="41">
        <v>7729964</v>
      </c>
      <c r="P118" s="41">
        <v>0</v>
      </c>
      <c r="Q118" s="41">
        <v>6614704</v>
      </c>
    </row>
    <row r="119" spans="1:17" x14ac:dyDescent="0.25">
      <c r="A119" s="40" t="s">
        <v>140</v>
      </c>
      <c r="B119" s="41">
        <v>-2553552</v>
      </c>
      <c r="C119" s="41">
        <v>0</v>
      </c>
      <c r="D119" s="41">
        <v>386322</v>
      </c>
      <c r="E119" s="41">
        <v>0</v>
      </c>
      <c r="F119" s="41">
        <v>-2167230</v>
      </c>
      <c r="G119" s="41">
        <v>-893743</v>
      </c>
      <c r="H119" s="41">
        <v>0</v>
      </c>
      <c r="I119" s="41">
        <v>135213</v>
      </c>
      <c r="K119" s="41">
        <v>-758531</v>
      </c>
      <c r="L119" s="41">
        <v>-536246</v>
      </c>
      <c r="M119" s="41">
        <v>-455118</v>
      </c>
      <c r="N119" s="41">
        <v>0</v>
      </c>
      <c r="O119" s="41">
        <v>357497</v>
      </c>
      <c r="P119" s="41">
        <v>0</v>
      </c>
      <c r="Q119" s="41">
        <v>303412</v>
      </c>
    </row>
    <row r="120" spans="1:17" x14ac:dyDescent="0.25">
      <c r="A120" s="40" t="s">
        <v>139</v>
      </c>
      <c r="B120" s="41">
        <v>85048056</v>
      </c>
      <c r="C120" s="41">
        <v>0</v>
      </c>
      <c r="D120" s="41">
        <v>-11972149</v>
      </c>
      <c r="E120" s="41">
        <v>0</v>
      </c>
      <c r="F120" s="41">
        <v>73075907</v>
      </c>
      <c r="G120" s="41">
        <v>29766820</v>
      </c>
      <c r="H120" s="41">
        <v>0</v>
      </c>
      <c r="I120" s="41">
        <v>-4190252</v>
      </c>
      <c r="K120" s="41">
        <v>25576567</v>
      </c>
      <c r="L120" s="41">
        <v>17860092</v>
      </c>
      <c r="M120" s="41">
        <v>15345940</v>
      </c>
      <c r="N120" s="41">
        <v>0</v>
      </c>
      <c r="O120" s="41">
        <v>-11906728</v>
      </c>
      <c r="P120" s="41">
        <v>0</v>
      </c>
      <c r="Q120" s="41">
        <v>-10230627</v>
      </c>
    </row>
    <row r="121" spans="1:17" x14ac:dyDescent="0.25">
      <c r="A121" s="40" t="s">
        <v>138</v>
      </c>
      <c r="B121" s="41">
        <v>-4747189</v>
      </c>
      <c r="C121" s="41">
        <v>0</v>
      </c>
      <c r="D121" s="41">
        <v>585820</v>
      </c>
      <c r="E121" s="41">
        <v>0</v>
      </c>
      <c r="F121" s="41">
        <v>-4161369</v>
      </c>
      <c r="G121" s="41">
        <v>-1661516</v>
      </c>
      <c r="H121" s="41">
        <v>0</v>
      </c>
      <c r="I121" s="41">
        <v>205037</v>
      </c>
      <c r="K121" s="41">
        <v>-1456479</v>
      </c>
      <c r="L121" s="41">
        <v>-996910</v>
      </c>
      <c r="M121" s="41">
        <v>-873887</v>
      </c>
      <c r="N121" s="41">
        <v>0</v>
      </c>
      <c r="O121" s="41">
        <v>664606</v>
      </c>
      <c r="P121" s="41">
        <v>0</v>
      </c>
      <c r="Q121" s="41">
        <v>582592</v>
      </c>
    </row>
    <row r="122" spans="1:17" x14ac:dyDescent="0.25">
      <c r="A122" s="40" t="s">
        <v>137</v>
      </c>
      <c r="B122" s="41">
        <v>-264330125</v>
      </c>
      <c r="C122" s="41">
        <v>-35576469</v>
      </c>
      <c r="D122" s="41">
        <v>26531977</v>
      </c>
      <c r="E122" s="41">
        <v>0</v>
      </c>
      <c r="F122" s="41">
        <v>-273374617</v>
      </c>
      <c r="G122" s="41">
        <v>-92497752</v>
      </c>
      <c r="H122" s="41">
        <v>-7762139</v>
      </c>
      <c r="I122" s="41">
        <v>9574530</v>
      </c>
      <c r="K122" s="41">
        <v>-90685361</v>
      </c>
      <c r="L122" s="41">
        <v>-55509326</v>
      </c>
      <c r="M122" s="41">
        <v>-57408669</v>
      </c>
      <c r="N122" s="41">
        <v>0</v>
      </c>
      <c r="O122" s="41">
        <v>36988426</v>
      </c>
      <c r="P122" s="41">
        <v>0</v>
      </c>
      <c r="Q122" s="41">
        <v>33276691</v>
      </c>
    </row>
    <row r="123" spans="1:17" x14ac:dyDescent="0.25">
      <c r="A123" s="40" t="s">
        <v>136</v>
      </c>
      <c r="B123" s="41">
        <v>25009592</v>
      </c>
      <c r="C123" s="41">
        <v>4001903</v>
      </c>
      <c r="D123" s="41">
        <v>-2255613</v>
      </c>
      <c r="E123" s="41">
        <v>0</v>
      </c>
      <c r="F123" s="41">
        <v>26755882</v>
      </c>
      <c r="G123" s="41">
        <v>8753357</v>
      </c>
      <c r="H123" s="41">
        <v>884631</v>
      </c>
      <c r="I123" s="41">
        <v>-833696</v>
      </c>
      <c r="K123" s="41">
        <v>8804292</v>
      </c>
      <c r="L123" s="41">
        <v>5252014</v>
      </c>
      <c r="M123" s="41">
        <v>5618735</v>
      </c>
      <c r="N123" s="41">
        <v>0</v>
      </c>
      <c r="O123" s="41">
        <v>-3501343</v>
      </c>
      <c r="P123" s="41">
        <v>0</v>
      </c>
      <c r="Q123" s="41">
        <v>-3185557</v>
      </c>
    </row>
    <row r="124" spans="1:17" x14ac:dyDescent="0.25">
      <c r="A124" s="40" t="s">
        <v>135</v>
      </c>
      <c r="B124" s="41">
        <v>3366717</v>
      </c>
      <c r="C124" s="41">
        <v>0</v>
      </c>
      <c r="D124" s="41">
        <v>-416608</v>
      </c>
      <c r="E124" s="41">
        <v>0</v>
      </c>
      <c r="F124" s="41">
        <v>2950110</v>
      </c>
      <c r="G124" s="41">
        <v>1178351</v>
      </c>
      <c r="H124" s="41">
        <v>0</v>
      </c>
      <c r="I124" s="41">
        <v>-145813</v>
      </c>
      <c r="K124" s="41">
        <v>1032538</v>
      </c>
      <c r="L124" s="41">
        <v>707011</v>
      </c>
      <c r="M124" s="41">
        <v>619523</v>
      </c>
      <c r="N124" s="41">
        <v>0</v>
      </c>
      <c r="O124" s="41">
        <v>-471340</v>
      </c>
      <c r="P124" s="41">
        <v>0</v>
      </c>
      <c r="Q124" s="41">
        <v>-413015</v>
      </c>
    </row>
    <row r="125" spans="1:17" x14ac:dyDescent="0.25">
      <c r="A125" s="40" t="s">
        <v>133</v>
      </c>
      <c r="B125" s="41">
        <v>-176838407</v>
      </c>
      <c r="C125" s="41">
        <v>-31574566</v>
      </c>
      <c r="D125" s="41">
        <v>12284206</v>
      </c>
      <c r="E125" s="41">
        <v>0</v>
      </c>
      <c r="F125" s="41">
        <v>-196128767</v>
      </c>
      <c r="G125" s="41">
        <v>-61875650</v>
      </c>
      <c r="H125" s="41">
        <v>-6877508</v>
      </c>
      <c r="I125" s="41">
        <v>4543578</v>
      </c>
      <c r="K125" s="41">
        <v>-64209580</v>
      </c>
      <c r="L125" s="41">
        <v>-37136065</v>
      </c>
      <c r="M125" s="41">
        <v>-41187041</v>
      </c>
      <c r="N125" s="41">
        <v>0</v>
      </c>
      <c r="O125" s="41">
        <v>24739585</v>
      </c>
      <c r="P125" s="41">
        <v>0</v>
      </c>
      <c r="Q125" s="41">
        <v>23022539</v>
      </c>
    </row>
    <row r="126" spans="1:17" x14ac:dyDescent="0.25">
      <c r="A126" s="40" t="s">
        <v>134</v>
      </c>
      <c r="B126" s="41">
        <v>0</v>
      </c>
      <c r="C126" s="41">
        <v>0</v>
      </c>
      <c r="D126" s="41">
        <v>0</v>
      </c>
      <c r="E126" s="41">
        <v>0</v>
      </c>
      <c r="F126" s="41">
        <v>0</v>
      </c>
      <c r="G126" s="41">
        <v>0</v>
      </c>
      <c r="H126" s="41">
        <v>0</v>
      </c>
      <c r="I126" s="41">
        <v>0</v>
      </c>
      <c r="K126" s="41">
        <v>0</v>
      </c>
      <c r="L126" s="41">
        <v>0</v>
      </c>
      <c r="M126" s="41">
        <v>0</v>
      </c>
      <c r="N126" s="41">
        <v>0</v>
      </c>
      <c r="O126" s="41">
        <v>0</v>
      </c>
      <c r="P126" s="41">
        <v>0</v>
      </c>
      <c r="Q126" s="41">
        <v>0</v>
      </c>
    </row>
    <row r="127" spans="1:17" x14ac:dyDescent="0.25">
      <c r="A127" s="40" t="s">
        <v>133</v>
      </c>
      <c r="B127" s="41">
        <v>0</v>
      </c>
      <c r="C127" s="41">
        <v>0</v>
      </c>
      <c r="D127" s="41">
        <v>0</v>
      </c>
      <c r="E127" s="41">
        <v>0</v>
      </c>
      <c r="F127" s="41">
        <v>0</v>
      </c>
      <c r="G127" s="41">
        <v>0</v>
      </c>
      <c r="H127" s="41">
        <v>0</v>
      </c>
      <c r="I127" s="41">
        <v>0</v>
      </c>
      <c r="K127" s="41">
        <v>0</v>
      </c>
      <c r="L127" s="41">
        <v>0</v>
      </c>
      <c r="M127" s="41">
        <v>0</v>
      </c>
      <c r="N127" s="41">
        <v>0</v>
      </c>
      <c r="O127" s="41">
        <v>0</v>
      </c>
      <c r="P127" s="41">
        <v>0</v>
      </c>
      <c r="Q127" s="41">
        <v>0</v>
      </c>
    </row>
    <row r="128" spans="1:17" x14ac:dyDescent="0.25">
      <c r="A128" s="40" t="s">
        <v>132</v>
      </c>
      <c r="B128" s="41">
        <v>5701573715</v>
      </c>
      <c r="C128" s="41">
        <v>209005496</v>
      </c>
      <c r="D128" s="41">
        <v>-238416035</v>
      </c>
      <c r="E128" s="41">
        <v>11127766</v>
      </c>
      <c r="F128" s="41">
        <v>5683290941</v>
      </c>
      <c r="G128" s="41">
        <v>1943008009</v>
      </c>
      <c r="H128" s="41">
        <v>40928960</v>
      </c>
      <c r="I128" s="41">
        <v>-72478878</v>
      </c>
      <c r="K128" s="41">
        <v>1910365884</v>
      </c>
      <c r="L128" s="41">
        <v>1218868249</v>
      </c>
      <c r="M128" s="41">
        <v>1214452957</v>
      </c>
      <c r="N128" s="41">
        <v>54565047</v>
      </c>
      <c r="O128" s="41">
        <v>-778704807</v>
      </c>
      <c r="P128" s="41">
        <v>53100957</v>
      </c>
      <c r="Q128" s="41">
        <v>-749013884</v>
      </c>
    </row>
    <row r="129" spans="1:17" x14ac:dyDescent="0.25">
      <c r="A129" s="40" t="s">
        <v>131</v>
      </c>
      <c r="B129" s="41">
        <v>5967813388</v>
      </c>
      <c r="C129" s="41">
        <v>227563221</v>
      </c>
      <c r="D129" s="41">
        <v>-270104927</v>
      </c>
      <c r="E129" s="41">
        <v>10370150</v>
      </c>
      <c r="F129" s="41">
        <v>5935641831</v>
      </c>
      <c r="G129" s="41">
        <v>2033892614</v>
      </c>
      <c r="H129" s="41">
        <v>44825799</v>
      </c>
      <c r="I129" s="41">
        <v>-83974163</v>
      </c>
      <c r="K129" s="41">
        <v>2033892614</v>
      </c>
      <c r="L129" s="41">
        <v>1268615857</v>
      </c>
      <c r="M129" s="41">
        <v>1268615857</v>
      </c>
      <c r="N129" s="41">
        <v>58744414</v>
      </c>
      <c r="O129" s="41">
        <v>-816184969</v>
      </c>
      <c r="P129" s="41">
        <v>56020000</v>
      </c>
      <c r="Q129" s="41">
        <v>-782148393</v>
      </c>
    </row>
    <row r="130" spans="1:17" x14ac:dyDescent="0.25">
      <c r="A130" s="40" t="s">
        <v>130</v>
      </c>
      <c r="B130" s="41">
        <v>5967813388</v>
      </c>
      <c r="C130" s="41">
        <v>227563221</v>
      </c>
      <c r="D130" s="41">
        <v>-270104927</v>
      </c>
      <c r="E130" s="41">
        <v>10370150</v>
      </c>
      <c r="F130" s="41">
        <v>5935641831</v>
      </c>
      <c r="G130" s="41">
        <v>2033892614</v>
      </c>
      <c r="H130" s="41">
        <v>44825799</v>
      </c>
      <c r="I130" s="41">
        <v>-83974163</v>
      </c>
      <c r="K130" s="41">
        <v>2033892614</v>
      </c>
      <c r="L130" s="41">
        <v>1268615857</v>
      </c>
      <c r="M130" s="41">
        <v>1268615857</v>
      </c>
      <c r="N130" s="41">
        <v>58744414</v>
      </c>
      <c r="O130" s="41">
        <v>-816184969</v>
      </c>
      <c r="P130" s="41">
        <v>56020000</v>
      </c>
      <c r="Q130" s="41">
        <v>-782148393</v>
      </c>
    </row>
    <row r="131" spans="1:17" x14ac:dyDescent="0.25">
      <c r="A131" s="40" t="s">
        <v>129</v>
      </c>
      <c r="B131" s="41" t="s">
        <v>128</v>
      </c>
    </row>
  </sheetData>
  <pageMargins left="0.2" right="0.2" top="0.75" bottom="0.75" header="0.3" footer="0.3"/>
  <pageSetup scale="44" fitToWidth="0" fitToHeight="0" orientation="landscape" r:id="rId1"/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2021-06-17T07:00:00+00:00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061E5CF-5321-4D76-AC84-B2A336DA0580}"/>
</file>

<file path=customXml/itemProps2.xml><?xml version="1.0" encoding="utf-8"?>
<ds:datastoreItem xmlns:ds="http://schemas.openxmlformats.org/officeDocument/2006/customXml" ds:itemID="{D92575D7-13E4-453E-AA28-423173913223}"/>
</file>

<file path=customXml/itemProps3.xml><?xml version="1.0" encoding="utf-8"?>
<ds:datastoreItem xmlns:ds="http://schemas.openxmlformats.org/officeDocument/2006/customXml" ds:itemID="{ABCE463E-DA5E-4D93-BC53-F72F13954D5D}"/>
</file>

<file path=customXml/itemProps4.xml><?xml version="1.0" encoding="utf-8"?>
<ds:datastoreItem xmlns:ds="http://schemas.openxmlformats.org/officeDocument/2006/customXml" ds:itemID="{F93E66B8-C406-4282-B7BE-182E86EA18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Lead Electric</vt:lpstr>
      <vt:lpstr>Depr Exp 2020 PCORC Annual</vt:lpstr>
      <vt:lpstr>Colstrip Depn Update</vt:lpstr>
      <vt:lpstr>ARAM Colstrip</vt:lpstr>
      <vt:lpstr>PT RPT 257A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npeder</dc:creator>
  <cp:lastModifiedBy>Free, Susan</cp:lastModifiedBy>
  <cp:lastPrinted>2019-05-31T19:43:33Z</cp:lastPrinted>
  <dcterms:created xsi:type="dcterms:W3CDTF">2019-04-15T20:24:45Z</dcterms:created>
  <dcterms:modified xsi:type="dcterms:W3CDTF">2021-01-30T04:11:27Z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NEW-PSE-WP-SEF-7.07E-Colstrip2025Treatment-19GRC-05-2019.xlsx</vt:lpwstr>
  </property>
  <property fmtid="{D5CDD505-2E9C-101B-9397-08002B2CF9AE}" pid="3" name="ContentTypeId">
    <vt:lpwstr>0x0101006E56B4D1795A2E4DB2F0B01679ED314A009CCEC670A07C8741A0A1EFA2BDED223F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