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WA Provisional Plant Report/"/>
    </mc:Choice>
  </mc:AlternateContent>
  <xr:revisionPtr revIDLastSave="347" documentId="8_{7F3343D1-8A0B-4B08-8C78-422740BF9893}" xr6:coauthVersionLast="47" xr6:coauthVersionMax="47" xr10:uidLastSave="{F9013B65-1CA9-4282-9F70-5694C6C6031C}"/>
  <bookViews>
    <workbookView xWindow="28680" yWindow="-2340" windowWidth="29040" windowHeight="15720" xr2:uid="{40B1DA03-D1C4-451F-85F2-3BDD42686A94}"/>
  </bookViews>
  <sheets>
    <sheet name="2024 Provisional Plant" sheetId="2" r:id="rId1"/>
    <sheet name="Provisional Plant Additions-1" sheetId="3" r:id="rId2"/>
    <sheet name="Provisional Plant Additions-2" sheetId="4" r:id="rId3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E" localSheetId="1" hidden="1">#REF!</definedName>
    <definedName name="__123Graph_E" hidden="1">#REF!</definedName>
    <definedName name="__123Graph_F" localSheetId="1" hidden="1">#REF!</definedName>
    <definedName name="__123Graph_F" hidden="1">#REF!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localSheetId="0" hidden="1">{"annual",#N/A,FALSE,"Pro Forma";#N/A,#N/A,FALSE,"Golf Operations"}</definedName>
    <definedName name="_cd1" localSheetId="1" hidden="1">{"annual",#N/A,FALSE,"Pro Forma";#N/A,#N/A,FALSE,"Golf Operations"}</definedName>
    <definedName name="_cd1" hidden="1">{"annual",#N/A,FALSE,"Pro Forma";#N/A,#N/A,FALSE,"Golf Operations"}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'2024 Provisional Plant'!$A$6:$Q$304</definedName>
    <definedName name="_xlnm._FilterDatabase" localSheetId="1" hidden="1">#REF!</definedName>
    <definedName name="_xlnm._FilterDatabase" hidden="1">#REF!</definedName>
    <definedName name="_gr1" localSheetId="0" hidden="1">{"three",#N/A,FALSE,"Capital";"four",#N/A,FALSE,"Capital"}</definedName>
    <definedName name="_gr1" localSheetId="1" hidden="1">{"three",#N/A,FALSE,"Capital";"four",#N/A,FALSE,"Capital"}</definedName>
    <definedName name="_gr1" hidden="1">{"three",#N/A,FALSE,"Capital";"four",#N/A,FALSE,"Capital"}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1" hidden="1">#REF!</definedName>
    <definedName name="_Sort" hidden="1">#REF!</definedName>
    <definedName name="_Table2_Out" localSheetId="1" hidden="1">#REF!</definedName>
    <definedName name="_Table2_Out" hidden="1">#REF!</definedName>
    <definedName name="_wr1" localSheetId="0" hidden="1">{"Output-3Column",#N/A,FALSE,"Output"}</definedName>
    <definedName name="_wr1" localSheetId="1" hidden="1">{"Output-3Column",#N/A,FALSE,"Output"}</definedName>
    <definedName name="_wr1" hidden="1">{"Output-3Column",#N/A,FALSE,"Output"}</definedName>
    <definedName name="_wrn1" localSheetId="0" hidden="1">{"Inflation-BaseYear",#N/A,FALSE,"Inputs"}</definedName>
    <definedName name="_wrn1" localSheetId="1" hidden="1">{"Inflation-BaseYear",#N/A,FALSE,"Inputs"}</definedName>
    <definedName name="_wrn1" hidden="1">{"Inflation-BaseYear",#N/A,FALSE,"Inputs"}</definedName>
    <definedName name="a" localSheetId="0" hidden="1">{"Print_Detail",#N/A,FALSE,"Redemption_Maturity Extract"}</definedName>
    <definedName name="a" localSheetId="1" hidden="1">{"Print_Detail",#N/A,FALSE,"Redemption_Maturity Extract"}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localSheetId="0" hidden="1">#REF!</definedName>
    <definedName name="ACwvu.allocations." localSheetId="1" hidden="1">#REF!</definedName>
    <definedName name="ACwvu.allocations." hidden="1">#REF!</definedName>
    <definedName name="ACwvu.annual._.hotel." localSheetId="0" hidden="1">#REF!</definedName>
    <definedName name="ACwvu.annual._.hotel." localSheetId="1" hidden="1">#REF!</definedName>
    <definedName name="ACwvu.annual._.hotel." hidden="1">#REF!</definedName>
    <definedName name="ACwvu.bottom._.line." localSheetId="0" hidden="1">#REF!</definedName>
    <definedName name="ACwvu.bottom._.line." localSheetId="1" hidden="1">#REF!</definedName>
    <definedName name="ACwvu.bottom._.line." hidden="1">#REF!</definedName>
    <definedName name="ACwvu.cash._.flow." localSheetId="1" hidden="1">#REF!</definedName>
    <definedName name="ACwvu.cash._.flow." hidden="1">#REF!</definedName>
    <definedName name="ACwvu.combo." localSheetId="1" hidden="1">#REF!</definedName>
    <definedName name="ACwvu.combo." hidden="1">#REF!</definedName>
    <definedName name="ACwvu.full." localSheetId="1" hidden="1">#REF!</definedName>
    <definedName name="ACwvu.full." hidden="1">#REF!</definedName>
    <definedName name="ACwvu.offsite." localSheetId="1" hidden="1">#REF!</definedName>
    <definedName name="ACwvu.offsite." hidden="1">#REF!</definedName>
    <definedName name="ACwvu.onsite." localSheetId="1" hidden="1">#REF!</definedName>
    <definedName name="ACwvu.onsite." hidden="1">#REF!</definedName>
    <definedName name="anscount" hidden="1">2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localSheetId="0" hidden="1">{"One",#N/A,FALSE,"CClub";"Two",#N/A,FALSE,"CClub";"Three",#N/A,FALSE,"CClub";"Four",#N/A,FALSE,"CClub";"Five",#N/A,FALSE,"CClub"}</definedName>
    <definedName name="b" localSheetId="1" hidden="1">{"One",#N/A,FALSE,"CClub";"Two",#N/A,FALSE,"CClub";"Three",#N/A,FALSE,"CClub";"Four",#N/A,FALSE,"CClub";"Five",#N/A,FALSE,"CClub"}</definedName>
    <definedName name="b" hidden="1">{"One",#N/A,FALSE,"CClub";"Two",#N/A,FALSE,"CClub";"Three",#N/A,FALSE,"CClub";"Four",#N/A,FALSE,"CClub";"Five",#N/A,FALSE,"CClub"}</definedName>
    <definedName name="bi" localSheetId="0" hidden="1">{#N/A,#N/A,FALSE,"BidCo Assumptions";#N/A,#N/A,FALSE,"Credit Stats";#N/A,#N/A,FALSE,"Bidco Summary";#N/A,#N/A,FALSE,"BIDCO Consolidated"}</definedName>
    <definedName name="bi" localSheetId="1" hidden="1">{#N/A,#N/A,FALSE,"BidCo Assumptions";#N/A,#N/A,FALSE,"Credit Stats";#N/A,#N/A,FALSE,"Bidco Summary";#N/A,#N/A,FALSE,"BIDCO Consolidated"}</definedName>
    <definedName name="bi" hidden="1">{#N/A,#N/A,FALSE,"BidCo Assumptions";#N/A,#N/A,FALSE,"Credit Stats";#N/A,#N/A,FALSE,"Bidco Summary";#N/A,#N/A,FALSE,"BIDCO Consolidated"}</definedName>
    <definedName name="BNE_MESSAGES_HIDDEN" localSheetId="0" hidden="1">#REF!</definedName>
    <definedName name="BNE_MESSAGES_HIDDEN" localSheetId="1" hidden="1">#REF!</definedName>
    <definedName name="BNE_MESSAGES_HIDDEN" hidden="1">#REF!</definedName>
    <definedName name="cd" localSheetId="0" hidden="1">{"annual",#N/A,FALSE,"Pro Forma";#N/A,#N/A,FALSE,"Golf Operations"}</definedName>
    <definedName name="cd" localSheetId="1" hidden="1">{"annual",#N/A,FALSE,"Pro Forma";#N/A,#N/A,FALSE,"Golf Operations"}</definedName>
    <definedName name="cd" hidden="1">{"annual",#N/A,FALSE,"Pro Forma";#N/A,#N/A,FALSE,"Golf Operations"}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any" localSheetId="0">#REF!</definedName>
    <definedName name="Company" localSheetId="1">#REF!</definedName>
    <definedName name="Company">#REF!</definedName>
    <definedName name="Cwvu.annual." localSheetId="0" hidden="1">#REF!,#REF!,#REF!,#REF!,#REF!,#REF!,#REF!,#REF!,#REF!,#REF!,#REF!,#REF!,#REF!,#REF!,#REF!,#REF!,#REF!,#REF!,#REF!,#REF!,#REF!,#REF!,#REF!,#REF!</definedName>
    <definedName name="Cwvu.annual." localSheetId="1" hidden="1">#REF!,#REF!,#REF!,#REF!,#REF!,#REF!,#REF!,#REF!,#REF!,#REF!,#REF!,#REF!,#REF!,#REF!,#REF!,#REF!,#REF!,#REF!,#REF!,#REF!,#REF!,#REF!,#REF!,#REF!</definedName>
    <definedName name="Cwvu.annual." hidden="1">#REF!,#REF!,#REF!,#REF!,#REF!,#REF!,#REF!,#REF!,#REF!,#REF!,#REF!,#REF!,#REF!,#REF!,#REF!,#REF!,#REF!,#REF!,#REF!,#REF!,#REF!,#REF!,#REF!,#REF!</definedName>
    <definedName name="Cwvu.annual._.hotel." localSheetId="0" hidden="1">#REF!,#REF!,#REF!,#REF!,#REF!,#REF!,#REF!,#REF!,#REF!,#REF!,#REF!,#REF!,#REF!,#REF!,#REF!,#REF!,#REF!,#REF!,#REF!</definedName>
    <definedName name="Cwvu.annual._.hotel." localSheetId="1" hidden="1">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localSheetId="0" hidden="1">#REF!,#REF!,#REF!,#REF!,#REF!,#REF!,#REF!,#REF!,#REF!,#REF!,#REF!,#REF!,#REF!,#REF!,#REF!,#REF!,#REF!,#REF!,#REF!,#REF!,#REF!,#REF!</definedName>
    <definedName name="Cwvu.bottom._.line." localSheetId="1" hidden="1">#REF!,#REF!,#REF!,#REF!,#REF!,#REF!,#REF!,#REF!,#REF!,#REF!,#REF!,#REF!,#REF!,#REF!,#REF!,#REF!,#REF!,#REF!,#REF!,#REF!,#REF!,#REF!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localSheetId="0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ash._.flow." localSheetId="1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localSheetId="0" hidden="1">#REF!,#REF!,#REF!,#REF!,#REF!,#REF!,#REF!,#REF!,#REF!,#REF!,#REF!,#REF!,#REF!,#REF!,#REF!,#REF!,#REF!,#REF!,#REF!,#REF!,#REF!,#REF!</definedName>
    <definedName name="Cwvu.combo." localSheetId="1" hidden="1">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localSheetId="0" hidden="1">#REF!</definedName>
    <definedName name="Cwvu.GREY_ALL." localSheetId="1" hidden="1">#REF!</definedName>
    <definedName name="Cwvu.GREY_ALL." hidden="1">#REF!</definedName>
    <definedName name="dd" localSheetId="0" hidden="1">{"Print_Detail",#N/A,FALSE,"Redemption_Maturity Extract"}</definedName>
    <definedName name="dd" localSheetId="1" hidden="1">{"Print_Detail",#N/A,FALSE,"Redemption_Maturity Extract"}</definedName>
    <definedName name="dd" hidden="1">{"Print_Detail",#N/A,FALSE,"Redemption_Maturity Extract"}</definedName>
    <definedName name="ddd" localSheetId="0" hidden="1">{"Full",#N/A,FALSE,"Sec MTN B Summary"}</definedName>
    <definedName name="ddd" localSheetId="1" hidden="1">{"Full",#N/A,FALSE,"Sec MTN B Summary"}</definedName>
    <definedName name="ddd" hidden="1">{"Full",#N/A,FALSE,"Sec MTN B Summary"}</definedName>
    <definedName name="dddd" localSheetId="0" hidden="1">{"RedPrem_InitRed View",#N/A,FALSE,"Sec MTN B Summary"}</definedName>
    <definedName name="dddd" localSheetId="1" hidden="1">{"RedPrem_InitRed View",#N/A,FALSE,"Sec MTN B Summary"}</definedName>
    <definedName name="dddd" hidden="1">{"RedPrem_InitRed View",#N/A,FALSE,"Sec MTN B Summary"}</definedName>
    <definedName name="dddddd" localSheetId="0" hidden="1">{"Pivot1",#N/A,FALSE,"Redemption_Maturity Extract"}</definedName>
    <definedName name="dddddd" localSheetId="1" hidden="1">{"Pivot1",#N/A,FALSE,"Redemption_Maturity Extract"}</definedName>
    <definedName name="dddddd" hidden="1">{"Pivot1",#N/A,FALSE,"Redemption_Maturity Extract"}</definedName>
    <definedName name="dddddddd" localSheetId="0" hidden="1">{"Pivot2",#N/A,FALSE,"Redemption_Maturity Extract"}</definedName>
    <definedName name="dddddddd" localSheetId="1" hidden="1">{"Pivot2",#N/A,FALSE,"Redemption_Maturity Extract"}</definedName>
    <definedName name="dddddddd" hidden="1">{"Pivot2",#N/A,FALSE,"Redemption_Maturity Extract"}</definedName>
    <definedName name="DUDE" localSheetId="0" hidden="1">#REF!</definedName>
    <definedName name="DUDE" localSheetId="1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localSheetId="0" hidden="1">{"ALL",#N/A,FALSE,"A"}</definedName>
    <definedName name="fffff" localSheetId="1" hidden="1">{"ALL",#N/A,FALSE,"A"}</definedName>
    <definedName name="fffff" hidden="1">{"ALL",#N/A,FALSE,"A"}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localSheetId="0" hidden="1">{"ALL",#N/A,FALSE,"A"}</definedName>
    <definedName name="fsdfsad" localSheetId="1" hidden="1">{"ALL",#N/A,FALSE,"A"}</definedName>
    <definedName name="fsdfsad" hidden="1">{"ALL",#N/A,FALSE,"A"}</definedName>
    <definedName name="gr" localSheetId="0" hidden="1">{"three",#N/A,FALSE,"Capital";"four",#N/A,FALSE,"Capital"}</definedName>
    <definedName name="gr" localSheetId="1" hidden="1">{"three",#N/A,FALSE,"Capital";"four",#N/A,FALSE,"Capital"}</definedName>
    <definedName name="gr" hidden="1">{"three",#N/A,FALSE,"Capital";"four",#N/A,FALSE,"Capital"}</definedName>
    <definedName name="help" localSheetId="0" hidden="1">{"ALL",#N/A,FALSE,"A"}</definedName>
    <definedName name="help" localSheetId="1" hidden="1">{"ALL",#N/A,FALSE,"A"}</definedName>
    <definedName name="help" hidden="1">{"ALL",#N/A,FALSE,"A"}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localSheetId="0" hidden="1">{#N/A,#N/A,FALSE,"Sheet5"}</definedName>
    <definedName name="JIM" localSheetId="1" hidden="1">{#N/A,#N/A,FALSE,"Sheet5"}</definedName>
    <definedName name="JIM" hidden="1">{#N/A,#N/A,FALSE,"Sheet5"}</definedName>
    <definedName name="June" localSheetId="0" hidden="1">{"three",#N/A,FALSE,"Capital";"four",#N/A,FALSE,"Capital"}</definedName>
    <definedName name="June" localSheetId="1" hidden="1">{"three",#N/A,FALSE,"Capital";"four",#N/A,FALSE,"Capital"}</definedName>
    <definedName name="June" hidden="1">{"three",#N/A,FALSE,"Capital";"four",#N/A,FALSE,"Capital"}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localSheetId="0" hidden="1">{#N/A,#N/A,FALSE,"Sheet5"}</definedName>
    <definedName name="PPPPPPPPPPPPPPPP" localSheetId="1" hidden="1">{#N/A,#N/A,FALSE,"Sheet5"}</definedName>
    <definedName name="PPPPPPPPPPPPPPPP" hidden="1">{#N/A,#N/A,FALSE,"Sheet5"}</definedName>
    <definedName name="PricingInfo" localSheetId="0" hidden="1">#REF!</definedName>
    <definedName name="PricingInfo" localSheetId="1" hidden="1">#REF!</definedName>
    <definedName name="PricingInfo" hidden="1">#REF!</definedName>
    <definedName name="_xlnm.Print_Area" localSheetId="1">'Provisional Plant Additions-1'!$A$1:$G$41</definedName>
    <definedName name="_xlnm.Print_Area" localSheetId="2">'Provisional Plant Additions-2'!$A$43:$N$95</definedName>
    <definedName name="_xlnm.Print_Titles" localSheetId="0">'2024 Provisional Plant'!$1:$6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localSheetId="0" hidden="1">#REF!</definedName>
    <definedName name="Rwvu.allocations." localSheetId="1" hidden="1">#REF!</definedName>
    <definedName name="Rwvu.allocations." hidden="1">#REF!</definedName>
    <definedName name="Rwvu.annual._.hotel." localSheetId="0" hidden="1">#REF!</definedName>
    <definedName name="Rwvu.annual._.hotel." localSheetId="1" hidden="1">#REF!</definedName>
    <definedName name="Rwvu.annual._.hotel." hidden="1">#REF!</definedName>
    <definedName name="Rwvu.bottom._.line." localSheetId="0" hidden="1">#REF!</definedName>
    <definedName name="Rwvu.bottom._.line." localSheetId="1" hidden="1">#REF!</definedName>
    <definedName name="Rwvu.bottom._.line." hidden="1">#REF!</definedName>
    <definedName name="Rwvu.cash._.flow." localSheetId="1" hidden="1">#REF!</definedName>
    <definedName name="Rwvu.cash._.flow." hidden="1">#REF!</definedName>
    <definedName name="Rwvu.combo." localSheetId="1" hidden="1">#REF!</definedName>
    <definedName name="Rwvu.combo." hidden="1">#REF!</definedName>
    <definedName name="Rwvu.offsite." localSheetId="1" hidden="1">#REF!</definedName>
    <definedName name="Rwvu.offsite." hidden="1">#REF!</definedName>
    <definedName name="Rwvu.onsite." localSheetId="1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eadsheetBuilder_2" localSheetId="0" hidden="1">#REF!</definedName>
    <definedName name="SpreadsheetBuilder_2" localSheetId="1" hidden="1">#REF!</definedName>
    <definedName name="SpreadsheetBuilder_2" hidden="1">#REF!</definedName>
    <definedName name="SpreadsheetBuilder_3" localSheetId="0" hidden="1">#REF!</definedName>
    <definedName name="SpreadsheetBuilder_3" localSheetId="1" hidden="1">#REF!</definedName>
    <definedName name="SpreadsheetBuilder_3" hidden="1">#REF!</definedName>
    <definedName name="standard1" localSheetId="0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Swvu.allocations." localSheetId="0" hidden="1">#REF!</definedName>
    <definedName name="Swvu.allocations." localSheetId="1" hidden="1">#REF!</definedName>
    <definedName name="Swvu.allocations." hidden="1">#REF!</definedName>
    <definedName name="Swvu.annual._.hotel." localSheetId="0" hidden="1">#REF!</definedName>
    <definedName name="Swvu.annual._.hotel." localSheetId="1" hidden="1">#REF!</definedName>
    <definedName name="Swvu.annual._.hotel." hidden="1">#REF!</definedName>
    <definedName name="Swvu.bottom._.line." localSheetId="0" hidden="1">#REF!</definedName>
    <definedName name="Swvu.bottom._.line." localSheetId="1" hidden="1">#REF!</definedName>
    <definedName name="Swvu.bottom._.line." hidden="1">#REF!</definedName>
    <definedName name="Swvu.cash._.flow." localSheetId="1" hidden="1">#REF!</definedName>
    <definedName name="Swvu.cash._.flow." hidden="1">#REF!</definedName>
    <definedName name="Swvu.combo." localSheetId="1" hidden="1">#REF!</definedName>
    <definedName name="Swvu.combo." hidden="1">#REF!</definedName>
    <definedName name="Swvu.full." localSheetId="1" hidden="1">#REF!</definedName>
    <definedName name="Swvu.full." hidden="1">#REF!</definedName>
    <definedName name="Swvu.offsite." localSheetId="1" hidden="1">#REF!</definedName>
    <definedName name="Swvu.offsite." hidden="1">#REF!</definedName>
    <definedName name="Swvu.onsite." localSheetId="1" hidden="1">#REF!</definedName>
    <definedName name="Swvu.onsite." hidden="1">#REF!</definedName>
    <definedName name="Title1" localSheetId="1">#REF!</definedName>
    <definedName name="Title1">#REF!</definedName>
    <definedName name="Title2" localSheetId="1">#REF!</definedName>
    <definedName name="Title2">#REF!</definedName>
    <definedName name="Title3" localSheetId="1">#REF!</definedName>
    <definedName name="Title3">#REF!</definedName>
    <definedName name="Title4" localSheetId="1">#REF!</definedName>
    <definedName name="Title4">#REF!</definedName>
    <definedName name="Title5" localSheetId="1">#REF!</definedName>
    <definedName name="Title5">#REF!</definedName>
    <definedName name="Title6" localSheetId="1">#REF!</definedName>
    <definedName name="Title6">#REF!</definedName>
    <definedName name="Title7" localSheetId="1">#REF!</definedName>
    <definedName name="Title7">#REF!</definedName>
    <definedName name="Title8" localSheetId="1">#REF!</definedName>
    <definedName name="Title8">#REF!</definedName>
    <definedName name="TP_Footer_User" hidden="1">"Dylan Moser"</definedName>
    <definedName name="TP_Footer_Version" hidden="1">"v4.00"</definedName>
    <definedName name="trth" localSheetId="0" hidden="1">{"ALL",#N/A,FALSE,"A"}</definedName>
    <definedName name="trth" localSheetId="1" hidden="1">{"ALL",#N/A,FALSE,"A"}</definedName>
    <definedName name="trth" hidden="1">{"ALL",#N/A,FALSE,"A"}</definedName>
    <definedName name="vcdv" localSheetId="0" hidden="1">#REF!</definedName>
    <definedName name="vcdv" localSheetId="1" hidden="1">#REF!</definedName>
    <definedName name="vcdv" hidden="1">#REF!</definedName>
    <definedName name="w" localSheetId="0" hidden="1">#REF!</definedName>
    <definedName name="w" localSheetId="1" hidden="1">#REF!</definedName>
    <definedName name="w" hidden="1">#REF!</definedName>
    <definedName name="wr" localSheetId="0" hidden="1">{"Output-3Column",#N/A,FALSE,"Output"}</definedName>
    <definedName name="wr" localSheetId="1" hidden="1">{"Output-3Column",#N/A,FALSE,"Output"}</definedName>
    <definedName name="wr" hidden="1">{"Output-3Column",#N/A,FALSE,"Output"}</definedName>
    <definedName name="wrn" localSheetId="0" hidden="1">{"Inflation-BaseYear",#N/A,FALSE,"Inputs"}</definedName>
    <definedName name="wrn" localSheetId="1" hidden="1">{"Inflation-BaseYear",#N/A,FALSE,"Inputs"}</definedName>
    <definedName name="wrn" hidden="1">{"Inflation-BaseYear",#N/A,FALSE,"Inputs"}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{"ALL",#N/A,FALSE,"A"}</definedName>
    <definedName name="wrn.ALL." localSheetId="1" hidden="1">{"ALL",#N/A,FALSE,"A"}</definedName>
    <definedName name="wrn.ALL." hidden="1">{"ALL",#N/A,FALSE,"A"}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localSheetId="0" hidden="1">{"IncSt",#N/A,FALSE,"IS";"BalSht",#N/A,FALSE,"BS";"IntCash",#N/A,FALSE,"Int. Cash";"Stats",#N/A,FALSE,"Stats"}</definedName>
    <definedName name="wrn.All._.Sheets." localSheetId="1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nnual." localSheetId="0" hidden="1">{"annual",#N/A,FALSE,"Pro Forma"}</definedName>
    <definedName name="wrn.annual." localSheetId="1" hidden="1">{"annual",#N/A,FALSE,"Pro Forma"}</definedName>
    <definedName name="wrn.annual." hidden="1">{"annual",#N/A,FALSE,"Pro Forma"}</definedName>
    <definedName name="wrn.Annual._.Detail." localSheetId="0" hidden="1">{"annualsum",#N/A,FALSE,"Cost Summary";"annual1",#N/A,FALSE,"Phase_1";"annual2",#N/A,FALSE,"Phase_2";"annual3",#N/A,FALSE,"Phase_3";"annual4",#N/A,FALSE,"Phase_4"}</definedName>
    <definedName name="wrn.Annual._.Detail." localSheetId="1" hidden="1">{"annualsum",#N/A,FALSE,"Cost Summary";"annual1",#N/A,FALSE,"Phase_1";"annual2",#N/A,FALSE,"Phase_2";"annual3",#N/A,FALSE,"Phase_3";"annual4",#N/A,FALSE,"Phase_4"}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localSheetId="0" hidden="1">{"a_dev",#N/A,FALSE,"Golf Development";"a_memstats",#N/A,FALSE,"Golf Development";"a_opstats",#N/A,FALSE,"Golf Development";"a_rev",#N/A,FALSE,"Golf Development";"a_return",#N/A,FALSE,"Golf Development"}</definedName>
    <definedName name="wrn.Annual._.Golf." localSheetId="1" hidden="1">{"a_dev",#N/A,FALSE,"Golf Development";"a_memstats",#N/A,FALSE,"Golf Development";"a_opstats",#N/A,FALSE,"Golf Development";"a_rev",#N/A,FALSE,"Golf Development";"a_return",#N/A,FALSE,"Golf Development"}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localSheetId="0" hidden="1">{"annual hotel",#N/A,FALSE,"Hotel Development"}</definedName>
    <definedName name="wrn.Annual._.Hotel." localSheetId="1" hidden="1">{"annual hotel",#N/A,FALSE,"Hotel Development"}</definedName>
    <definedName name="wrn.Annual._.Hotel." hidden="1">{"annual hotel",#N/A,FALSE,"Hotel Development"}</definedName>
    <definedName name="wrn.Annual._.Land._.Sales." localSheetId="0" hidden="1">{"annual",#N/A,FALSE,"Land Sales"}</definedName>
    <definedName name="wrn.Annual._.Land._.Sales." localSheetId="1" hidden="1">{"annual",#N/A,FALSE,"Land Sales"}</definedName>
    <definedName name="wrn.Annual._.Land._.Sales." hidden="1">{"annual",#N/A,FALSE,"Land Sales"}</definedName>
    <definedName name="wrn.Annual._.Report." localSheetId="0" hidden="1">{"annual",#N/A,FALSE,"Pro Forma";#N/A,#N/A,FALSE,"Golf Operations"}</definedName>
    <definedName name="wrn.Annual._.Report." localSheetId="1" hidden="1">{"annual",#N/A,FALSE,"Pro Forma";#N/A,#N/A,FALSE,"Golf Operations"}</definedName>
    <definedName name="wrn.Annual._.Report." hidden="1">{"annual",#N/A,FALSE,"Pro Forma";#N/A,#N/A,FALSE,"Golf Operations"}</definedName>
    <definedName name="wrn.Annual._.Report._.no._.releases." localSheetId="0" hidden="1">{"a_sales",#N/A,FALSE,"Summary";"a_debt",#N/A,FALSE,"Summary";"a_cash",#N/A,FALSE,"Summary";"a_accrual",#N/A,FALSE,"Summary"}</definedName>
    <definedName name="wrn.Annual._.Report._.no._.releases." localSheetId="1" hidden="1">{"a_sales",#N/A,FALSE,"Summary";"a_debt",#N/A,FALSE,"Summary";"a_cash",#N/A,FALSE,"Summary";"a_accrual",#N/A,FALSE,"Summary"}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localSheetId="0" hidden="1">{"a_sales",#N/A,FALSE,"Summary";"a_debt",#N/A,FALSE,"Summary";"a_releases",#N/A,FALSE,"Summary";"a_cash",#N/A,FALSE,"Summary";"a_accrual",#N/A,FALSE,"Summary"}</definedName>
    <definedName name="wrn.Annual._.Report._.with._.releases." localSheetId="1" hidden="1">{"a_sales",#N/A,FALSE,"Summary";"a_debt",#N/A,FALSE,"Summary";"a_releases",#N/A,FALSE,"Summary";"a_cash",#N/A,FALSE,"Summary";"a_accrual",#N/A,FALSE,"Summary"}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localSheetId="0" hidden="1">{"ISP1Y5",#N/A,TRUE,"Template";"ISP2Y5",#N/A,TRUE,"Template";"BSY5",#N/A,TRUE,"Template";"ICFY5",#N/A,TRUE,"Template";"TPY5",#N/A,TRUE,"Template";"CtrlY5",#N/A,TRUE,"Template"}</definedName>
    <definedName name="wrn.Annual_5yr." localSheetId="1" hidden="1">{"ISP1Y5",#N/A,TRUE,"Template";"ISP2Y5",#N/A,TRUE,"Template";"BSY5",#N/A,TRUE,"Template";"ICFY5",#N/A,TRUE,"Template";"TPY5",#N/A,TRUE,"Template";"CtrlY5",#N/A,TRUE,"Template"}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localSheetId="0" hidden="1">{"ASSETS",#N/A,FALSE,"Assets"}</definedName>
    <definedName name="wrn.Assets." localSheetId="1" hidden="1">{"ASSETS",#N/A,FALSE,"Assets"}</definedName>
    <definedName name="wrn.Assets." hidden="1">{"ASSETS",#N/A,FALSE,"Assets"}</definedName>
    <definedName name="wrn.ASSOC_CO." localSheetId="0" hidden="1">{"ASSC_CO",#N/A,FALSE,"A"}</definedName>
    <definedName name="wrn.ASSOC_CO." localSheetId="1" hidden="1">{"ASSC_CO",#N/A,FALSE,"A"}</definedName>
    <definedName name="wrn.ASSOC_CO." hidden="1">{"ASSC_CO",#N/A,FALSE,"A"}</definedName>
    <definedName name="wrn.BidCo." localSheetId="0" hidden="1">{#N/A,#N/A,FALSE,"BidCo Assumptions";#N/A,#N/A,FALSE,"Credit Stats";#N/A,#N/A,FALSE,"Bidco Summary";#N/A,#N/A,FALSE,"BIDCO Consolidated"}</definedName>
    <definedName name="wrn.BidCo." localSheetId="1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S." localSheetId="0" hidden="1">{"BS",#N/A,FALSE,"A"}</definedName>
    <definedName name="wrn.BS." localSheetId="1" hidden="1">{"BS",#N/A,FALSE,"A"}</definedName>
    <definedName name="wrn.BS." hidden="1">{"BS",#N/A,FALSE,"A"}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localSheetId="0" hidden="1">{#N/A,#N/A,FALSE,"Sheet5"}</definedName>
    <definedName name="wrn.CASH." localSheetId="1" hidden="1">{#N/A,#N/A,FALSE,"Sheet5"}</definedName>
    <definedName name="wrn.CASH." hidden="1">{#N/A,#N/A,FALSE,"Sheet5"}</definedName>
    <definedName name="wrn.Cash._.and._.Accrual." localSheetId="0" hidden="1">{"a_cash",#N/A,FALSE,"Summary";"a_accrual",#N/A,FALSE,"Summary"}</definedName>
    <definedName name="wrn.Cash._.and._.Accrual." localSheetId="1" hidden="1">{"a_cash",#N/A,FALSE,"Summary";"a_accrual",#N/A,FALSE,"Summary"}</definedName>
    <definedName name="wrn.Cash._.and._.Accrual." hidden="1">{"a_cash",#N/A,FALSE,"Summary";"a_accrual",#N/A,FALSE,"Summary"}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lete._.Report." localSheetId="0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mplete._.Report." localSheetId="1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urrent._.Estimate." localSheetId="0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rrent._.Estimate." localSheetId="1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localSheetId="0" hidden="1">{"value box",#N/A,TRUE,"DPL Inc. Fin Statements";"unlevered free cash flows",#N/A,TRUE,"DPL Inc. Fin Statements"}</definedName>
    <definedName name="wrn.DCF._.Valuation." localSheetId="1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tail." localSheetId="0" hidden="1">{"Print_Detail",#N/A,FALSE,"Redemption_Maturity Extract"}</definedName>
    <definedName name="wrn.Detail." localSheetId="1" hidden="1">{"Print_Detail",#N/A,FALSE,"Redemption_Maturity Extract"}</definedName>
    <definedName name="wrn.Detail." hidden="1">{"Print_Detail",#N/A,FALSE,"Redemption_Maturity Extract"}</definedName>
    <definedName name="wrn.Diane._.s._.Version." localSheetId="0" hidden="1">{"Full",#N/A,FALSE,"Sec MTN B Summary"}</definedName>
    <definedName name="wrn.Diane._.s._.Version." localSheetId="1" hidden="1">{"Full",#N/A,FALSE,"Sec MTN B Summary"}</definedName>
    <definedName name="wrn.Diane._.s._.Version." hidden="1">{"Full",#N/A,FALSE,"Sec MTN B Summary"}</definedName>
    <definedName name="wrn.Distribution._.Version." localSheetId="0" hidden="1">{"RedPrem_InitRed View",#N/A,FALSE,"Sec MTN B Summary"}</definedName>
    <definedName name="wrn.Distribution._.Version." localSheetId="1" hidden="1">{"RedPrem_InitRed View",#N/A,FALSE,"Sec MTN B Summary"}</definedName>
    <definedName name="wrn.Distribution._.Version." hidden="1">{"RedPrem_InitRed View",#N/A,FALSE,"Sec MTN B Summary"}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localSheetId="0" hidden="1">{"FCB_ALL",#N/A,FALSE,"FCB"}</definedName>
    <definedName name="wrn.FCB." localSheetId="1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localSheetId="1" hidden="1">{"FCB_ALL",#N/A,FALSE,"FCB"}</definedName>
    <definedName name="wrn.fcb2" hidden="1">{"FCB_ALL",#N/A,FALSE,"FCB"}</definedName>
    <definedName name="wrn.Financials." localSheetId="0" hidden="1">{#N/A,#N/A,TRUE,"Income Statement";#N/A,#N/A,TRUE,"Balance Sheet";#N/A,#N/A,TRUE,"Cash Flow"}</definedName>
    <definedName name="wrn.Financials." localSheetId="1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ve._.Year._.Test." localSheetId="0" hidden="1">{"Five Year Plan",#N/A,TRUE,"Monthly Summary-IIIXIILP";"Five Year Plan",#N/A,TRUE,"Cash Flow"}</definedName>
    <definedName name="wrn.Five._.Year._.Test." localSheetId="1" hidden="1">{"Five Year Plan",#N/A,TRUE,"Monthly Summary-IIIXIILP";"Five Year Plan",#N/A,TRUE,"Cash Flow"}</definedName>
    <definedName name="wrn.Five._.Year._.Test." hidden="1">{"Five Year Plan",#N/A,TRUE,"Monthly Summary-IIIXIILP";"Five Year Plan",#N/A,TRUE,"Cash Flow"}</definedName>
    <definedName name="wrn.full._.report." localSheetId="0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report." localSheetId="1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localSheetId="0" hidden="1">{"three",#N/A,FALSE,"Capital";"four",#N/A,FALSE,"Capital"}</definedName>
    <definedName name="wrn.greg." localSheetId="1" hidden="1">{"three",#N/A,FALSE,"Capital";"four",#N/A,FALSE,"Capital"}</definedName>
    <definedName name="wrn.greg." hidden="1">{"three",#N/A,FALSE,"Capital";"four",#N/A,FALSE,"Capital"}</definedName>
    <definedName name="wrn.III._.X._.Co._.Five._.Year._.Plan." localSheetId="0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._.X._.Co._.Five._.Year._.Plan." localSheetId="1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localSheetId="0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ive._.Year._.Summary._.Reports." localSheetId="1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localSheetId="0" hidden="1">{"IIIXCo FY 04 Plan",#N/A,FALSE,"Monthly Summary-IIIXIILP"}</definedName>
    <definedName name="wrn.IIIXCo._.FY._.2004._.Plan." localSheetId="1" hidden="1">{"IIIXCo FY 04 Plan",#N/A,FALSE,"Monthly Summary-IIIXIILP"}</definedName>
    <definedName name="wrn.IIIXCo._.FY._.2004._.Plan." hidden="1">{"IIIXCo FY 04 Plan",#N/A,FALSE,"Monthly Summary-IIIXIILP"}</definedName>
    <definedName name="wrn.Inputs." localSheetId="0" hidden="1">{"Inflation-BaseYear",#N/A,FALSE,"Inputs"}</definedName>
    <definedName name="wrn.Inputs." localSheetId="1" hidden="1">{"Inflation-BaseYear",#N/A,FALSE,"Inputs"}</definedName>
    <definedName name="wrn.Inputs." hidden="1">{"Inflation-BaseYear",#N/A,FALSE,"Inputs"}</definedName>
    <definedName name="wrn.Invested._.Capital." localSheetId="0" hidden="1">{#N/A,#N/A,FALSE,"Invested Capital-Total";#N/A,#N/A,FALSE,"Invested Capital-SEI";#N/A,#N/A,FALSE,"Invested Capital-Utah";#N/A,#N/A,FALSE,"Invested Capital-Raton"}</definedName>
    <definedName name="wrn.Invested._.Capital." localSheetId="1" hidden="1">{#N/A,#N/A,FALSE,"Invested Capital-Total";#N/A,#N/A,FALSE,"Invested Capital-SEI";#N/A,#N/A,FALSE,"Invested Capital-Utah";#N/A,#N/A,FALSE,"Invested Capital-Raton"}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localSheetId="0" hidden="1">{"LIAB",#N/A,FALSE,"Liab"}</definedName>
    <definedName name="wrn.Liab." localSheetId="1" hidden="1">{"LIAB",#N/A,FALSE,"Liab"}</definedName>
    <definedName name="wrn.Liab." hidden="1">{"LIAB",#N/A,FALSE,"Liab"}</definedName>
    <definedName name="wrn.Monthly_Yr1." localSheetId="0" hidden="1">{"ISP1Y1",#N/A,TRUE,"Template";"ISP2Y1",#N/A,TRUE,"Template";"BSY1",#N/A,TRUE,"Template";"ICFY1",#N/A,TRUE,"Template";"TPY1",#N/A,TRUE,"Template";"CtrlY1",#N/A,TRUE,"Template"}</definedName>
    <definedName name="wrn.Monthly_Yr1." localSheetId="1" hidden="1">{"ISP1Y1",#N/A,TRUE,"Template";"ISP2Y1",#N/A,TRUE,"Template";"BSY1",#N/A,TRUE,"Template";"ICFY1",#N/A,TRUE,"Template";"TPY1",#N/A,TRUE,"Template";"CtrlY1",#N/A,TRUE,"Template"}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localSheetId="0" hidden="1">{"ISP1Y1",#N/A,TRUE,"Template";"ISP2Y1",#N/A,TRUE,"Template";"BSY1",#N/A,TRUE,"Template";"ICFY1",#N/A,TRUE,"Template";"TPY1",#N/A,TRUE,"Template";"CtrlY1",#N/A,TRUE,"Template"}</definedName>
    <definedName name="wrn.monthly_yr2" localSheetId="1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localSheetId="0" hidden="1">{"ISP1Y2",#N/A,TRUE,"Template";"ISP2Y2",#N/A,TRUE,"Template";"BSY2",#N/A,TRUE,"Template";"ICFY2",#N/A,TRUE,"Template";"TPY2",#N/A,TRUE,"Template";"CtrlY2",#N/A,TRUE,"Template"}</definedName>
    <definedName name="wrn.Monthly_Yr2." localSheetId="1" hidden="1">{"ISP1Y2",#N/A,TRUE,"Template";"ISP2Y2",#N/A,TRUE,"Template";"BSY2",#N/A,TRUE,"Template";"ICFY2",#N/A,TRUE,"Template";"TPY2",#N/A,TRUE,"Template";"CtrlY2",#N/A,TRUE,"Template"}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localSheetId="0" hidden="1">{"NW",#N/A,FALSE,"STMT"}</definedName>
    <definedName name="wrn.NetWorth." localSheetId="1" hidden="1">{"NW",#N/A,FALSE,"STMT"}</definedName>
    <definedName name="wrn.NetWorth." hidden="1">{"NW",#N/A,FALSE,"STMT"}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localSheetId="0" hidden="1">{"Output-3Column",#N/A,FALSE,"Output"}</definedName>
    <definedName name="wrn.Output3Column." localSheetId="1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localSheetId="1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localSheetId="1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localSheetId="1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localSheetId="1" hidden="1">{"Output%",#N/A,FALSE,"Output"}</definedName>
    <definedName name="wrn.OutputPercent." hidden="1">{"Output%",#N/A,FALSE,"Output"}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d." localSheetId="0" hidden="1">{"Pfd",#N/A,FALSE,"Pfd"}</definedName>
    <definedName name="wrn.Pfd." localSheetId="1" hidden="1">{"Pfd",#N/A,FALSE,"Pfd"}</definedName>
    <definedName name="wrn.Pfd." hidden="1">{"Pfd",#N/A,FALSE,"Pfd"}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ivot1." localSheetId="0" hidden="1">{"Pivot1",#N/A,FALSE,"Redemption_Maturity Extract"}</definedName>
    <definedName name="wrn.Pivot1." localSheetId="1" hidden="1">{"Pivot1",#N/A,FALSE,"Redemption_Maturity Extract"}</definedName>
    <definedName name="wrn.Pivot1." hidden="1">{"Pivot1",#N/A,FALSE,"Redemption_Maturity Extract"}</definedName>
    <definedName name="wrn.Pivot2." localSheetId="0" hidden="1">{"Pivot2",#N/A,FALSE,"Redemption_Maturity Extract"}</definedName>
    <definedName name="wrn.Pivot2." localSheetId="1" hidden="1">{"Pivot2",#N/A,FALSE,"Redemption_Maturity Extract"}</definedName>
    <definedName name="wrn.Pivot2." hidden="1">{"Pivot2",#N/A,FALSE,"Redemption_Maturity Extract"}</definedName>
    <definedName name="wrn.Plan._.2004." localSheetId="0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lan._.2004." localSheetId="1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All." localSheetId="0" hidden="1">{"PA1",#N/A,TRUE,"BORDMW";"pa2",#N/A,TRUE,"BORDMW";"PA3",#N/A,TRUE,"BORDMW";"PA4",#N/A,TRUE,"BORDMW"}</definedName>
    <definedName name="wrn.PrintAll." localSheetId="1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quarterly." localSheetId="0" hidden="1">{"quarterly",#N/A,FALSE,"Pro Forma"}</definedName>
    <definedName name="wrn.quarterly." localSheetId="1" hidden="1">{"quarterly",#N/A,FALSE,"Pro Forma"}</definedName>
    <definedName name="wrn.quarterly." hidden="1">{"quarterly",#N/A,FALSE,"Pro Forma"}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Releases._.Cash._.Accrual." localSheetId="0" hidden="1">{"a_releases",#N/A,FALSE,"Summary";"a_cash",#N/A,FALSE,"Summary";"a_accrual",#N/A,FALSE,"Summary"}</definedName>
    <definedName name="wrn.Releases._.Cash._.Accrual." localSheetId="1" hidden="1">{"a_releases",#N/A,FALSE,"Summary";"a_cash",#N/A,FALSE,"Summary";"a_accrual",#N/A,FALSE,"Summary"}</definedName>
    <definedName name="wrn.Releases._.Cash._.Accrual." hidden="1">{"a_releases",#N/A,FALSE,"Summary";"a_cash",#N/A,FALSE,"Summary";"a_accrual",#N/A,FALSE,"Summary"}</definedName>
    <definedName name="wrn.rpt96." localSheetId="0" hidden="1">{"rmrev1",#N/A,FALSE,"Forecast96";"rmrev2",#N/A,FALSE,"Forecast96";"rmrev3",#N/A,FALSE,"Forecast96"}</definedName>
    <definedName name="wrn.rpt96." localSheetId="1" hidden="1">{"rmrev1",#N/A,FALSE,"Forecast96";"rmrev2",#N/A,FALSE,"Forecast96";"rmrev3",#N/A,FALSE,"Forecast96"}</definedName>
    <definedName name="wrn.rpt96." hidden="1">{"rmrev1",#N/A,FALSE,"Forecast96";"rmrev2",#N/A,FALSE,"Forecast96";"rmrev3",#N/A,FALSE,"Forecast96"}</definedName>
    <definedName name="wrn.sales." localSheetId="0" hidden="1">{"sales",#N/A,FALSE,"Sales";"sales existing",#N/A,FALSE,"Sales";"sales rd1",#N/A,FALSE,"Sales";"sales rd2",#N/A,FALSE,"Sales"}</definedName>
    <definedName name="wrn.sales." localSheetId="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d._.Debt." localSheetId="0" hidden="1">{"a_sales",#N/A,FALSE,"Summary";"a_debt",#N/A,FALSE,"Summary"}</definedName>
    <definedName name="wrn.Sales._.and._.Debt." localSheetId="1" hidden="1">{"a_sales",#N/A,FALSE,"Summary";"a_debt",#N/A,FALSE,"Summary"}</definedName>
    <definedName name="wrn.Sales._.and._.Debt." hidden="1">{"a_sales",#N/A,FALSE,"Summary";"a_debt",#N/A,FALSE,"Summary"}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localSheetId="0" hidden="1">{"SCHED_B&amp;C",#N/A,FALSE,"A"}</definedName>
    <definedName name="wrn.SCHED._.BC." localSheetId="1" hidden="1">{"SCHED_B&amp;C",#N/A,FALSE,"A"}</definedName>
    <definedName name="wrn.SCHED._.BC." hidden="1">{"SCHED_B&amp;C",#N/A,FALSE,"A"}</definedName>
    <definedName name="wrn.SCHED._.DE." localSheetId="0" hidden="1">{"SCHED_D&amp;E",#N/A,FALSE,"A"}</definedName>
    <definedName name="wrn.SCHED._.DE." localSheetId="1" hidden="1">{"SCHED_D&amp;E",#N/A,FALSE,"A"}</definedName>
    <definedName name="wrn.SCHED._.DE." hidden="1">{"SCHED_D&amp;E",#N/A,FALSE,"A"}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localSheetId="0" hidden="1">{"cash flow",#N/A,FALSE,"Shared Costs";"allocations",#N/A,FALSE,"Shared Costs"}</definedName>
    <definedName name="wrn.Shared._.Costs." localSheetId="1" hidden="1">{"cash flow",#N/A,FALSE,"Shared Costs";"allocations",#N/A,FALSE,"Shared Costs"}</definedName>
    <definedName name="wrn.Shared._.Costs." hidden="1">{"cash flow",#N/A,FALSE,"Shared Costs";"allocations",#N/A,FALSE,"Shared Costs"}</definedName>
    <definedName name="wrn.SHEDA." localSheetId="0" hidden="1">{"SCHED_A",#N/A,FALSE,"A"}</definedName>
    <definedName name="wrn.SHEDA." localSheetId="1" hidden="1">{"SCHED_A",#N/A,FALSE,"A"}</definedName>
    <definedName name="wrn.SHEDA." hidden="1">{"SCHED_A",#N/A,FALSE,"A"}</definedName>
    <definedName name="wrn.STAND_ALONE_BOTH." localSheetId="0" hidden="1">{"FCB_ALL",#N/A,FALSE,"FCB";"GREY_ALL",#N/A,FALSE,"GREY"}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ariff99." localSheetId="0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ariff99." localSheetId="1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Wacc." localSheetId="0" hidden="1">{"Area1",#N/A,FALSE,"OREWACC";"Area2",#N/A,FALSE,"OREWACC"}</definedName>
    <definedName name="wrn.Wacc." localSheetId="1" hidden="1">{"Area1",#N/A,FALSE,"OREWACC";"Area2",#N/A,FALSE,"OREWACC"}</definedName>
    <definedName name="wrn.Wacc." hidden="1">{"Area1",#N/A,FALSE,"OREWACC";"Area2",#N/A,FALSE,"OREWACC"}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localSheetId="0" hidden="1">{"Output-BaseYear",#N/A,FALSE,"Output"}</definedName>
    <definedName name="wrng" localSheetId="1" hidden="1">{"Output-BaseYear",#N/A,FALSE,"Output"}</definedName>
    <definedName name="wrng" hidden="1">{"Output-BaseYear",#N/A,FALSE,"Output"}</definedName>
    <definedName name="wrnh" localSheetId="0" hidden="1">{"Output-All",#N/A,FALSE,"Output"}</definedName>
    <definedName name="wrnh" localSheetId="1" hidden="1">{"Output-All",#N/A,FALSE,"Output"}</definedName>
    <definedName name="wrnh" hidden="1">{"Output-All",#N/A,FALSE,"Output"}</definedName>
    <definedName name="wvu.allocations." localSheetId="0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llocations." localSheetId="1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localSheetId="0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" localSheetId="1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localSheetId="0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annual._.hotel." localSheetId="1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localSheetId="0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bottom._.line." localSheetId="1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localSheetId="0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ash._.flow." localSheetId="1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localSheetId="0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combo." localSheetId="1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localSheetId="0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full." localSheetId="1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localSheetId="0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ffsite." localSheetId="1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localSheetId="0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onsite." localSheetId="1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localSheetId="0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vu.quarterly." localSheetId="1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#REF!</definedName>
    <definedName name="y" localSheetId="1" hidden="1">#REF!</definedName>
    <definedName name="y" hidden="1">#REF!</definedName>
    <definedName name="z" localSheetId="0" hidden="1">#REF!</definedName>
    <definedName name="z" localSheetId="1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4" l="1"/>
  <c r="F93" i="4"/>
  <c r="H92" i="4"/>
  <c r="N91" i="4"/>
  <c r="H91" i="4"/>
  <c r="G91" i="4"/>
  <c r="E91" i="4"/>
  <c r="C91" i="4"/>
  <c r="N86" i="4"/>
  <c r="M86" i="4"/>
  <c r="L86" i="4"/>
  <c r="I86" i="4"/>
  <c r="I88" i="4" s="1"/>
  <c r="G86" i="4"/>
  <c r="G88" i="4" s="1"/>
  <c r="D86" i="4"/>
  <c r="C86" i="4"/>
  <c r="C88" i="4" s="1"/>
  <c r="J81" i="4"/>
  <c r="H81" i="4"/>
  <c r="G81" i="4"/>
  <c r="F81" i="4"/>
  <c r="E81" i="4"/>
  <c r="N67" i="4"/>
  <c r="N94" i="4" s="1"/>
  <c r="J67" i="4"/>
  <c r="J94" i="4" s="1"/>
  <c r="I67" i="4"/>
  <c r="I94" i="4" s="1"/>
  <c r="H67" i="4"/>
  <c r="H94" i="4" s="1"/>
  <c r="G67" i="4"/>
  <c r="G94" i="4" s="1"/>
  <c r="E67" i="4"/>
  <c r="C67" i="4"/>
  <c r="C94" i="4" s="1"/>
  <c r="H66" i="4"/>
  <c r="H93" i="4" s="1"/>
  <c r="F66" i="4"/>
  <c r="C66" i="4"/>
  <c r="C93" i="4" s="1"/>
  <c r="L65" i="4"/>
  <c r="L92" i="4" s="1"/>
  <c r="K65" i="4"/>
  <c r="K92" i="4" s="1"/>
  <c r="J65" i="4"/>
  <c r="J92" i="4" s="1"/>
  <c r="N63" i="4"/>
  <c r="N82" i="4" s="1"/>
  <c r="M63" i="4"/>
  <c r="M82" i="4" s="1"/>
  <c r="L63" i="4"/>
  <c r="L82" i="4" s="1"/>
  <c r="K63" i="4"/>
  <c r="K82" i="4" s="1"/>
  <c r="N53" i="4"/>
  <c r="N66" i="4" s="1"/>
  <c r="N93" i="4" s="1"/>
  <c r="M53" i="4"/>
  <c r="M91" i="4" s="1"/>
  <c r="L53" i="4"/>
  <c r="K53" i="4"/>
  <c r="K66" i="4" s="1"/>
  <c r="K93" i="4" s="1"/>
  <c r="J53" i="4"/>
  <c r="J66" i="4" s="1"/>
  <c r="J93" i="4" s="1"/>
  <c r="I53" i="4"/>
  <c r="I65" i="4" s="1"/>
  <c r="I92" i="4" s="1"/>
  <c r="H53" i="4"/>
  <c r="H65" i="4" s="1"/>
  <c r="G53" i="4"/>
  <c r="G66" i="4" s="1"/>
  <c r="G93" i="4" s="1"/>
  <c r="F53" i="4"/>
  <c r="F91" i="4" s="1"/>
  <c r="E53" i="4"/>
  <c r="E66" i="4" s="1"/>
  <c r="E93" i="4" s="1"/>
  <c r="D53" i="4"/>
  <c r="D91" i="4" s="1"/>
  <c r="C53" i="4"/>
  <c r="C65" i="4" s="1"/>
  <c r="C92" i="4" s="1"/>
  <c r="C95" i="4" s="1"/>
  <c r="N52" i="4"/>
  <c r="N64" i="4" s="1"/>
  <c r="N87" i="4" s="1"/>
  <c r="M52" i="4"/>
  <c r="M64" i="4" s="1"/>
  <c r="M87" i="4" s="1"/>
  <c r="M88" i="4" s="1"/>
  <c r="L52" i="4"/>
  <c r="L64" i="4" s="1"/>
  <c r="L87" i="4" s="1"/>
  <c r="L88" i="4" s="1"/>
  <c r="K52" i="4"/>
  <c r="K86" i="4" s="1"/>
  <c r="J52" i="4"/>
  <c r="J86" i="4" s="1"/>
  <c r="I52" i="4"/>
  <c r="I64" i="4" s="1"/>
  <c r="I87" i="4" s="1"/>
  <c r="H52" i="4"/>
  <c r="H64" i="4" s="1"/>
  <c r="H87" i="4" s="1"/>
  <c r="G52" i="4"/>
  <c r="G64" i="4" s="1"/>
  <c r="G87" i="4" s="1"/>
  <c r="F52" i="4"/>
  <c r="F64" i="4" s="1"/>
  <c r="F87" i="4" s="1"/>
  <c r="E52" i="4"/>
  <c r="E64" i="4" s="1"/>
  <c r="E87" i="4" s="1"/>
  <c r="D52" i="4"/>
  <c r="D64" i="4" s="1"/>
  <c r="D87" i="4" s="1"/>
  <c r="C52" i="4"/>
  <c r="C64" i="4" s="1"/>
  <c r="C87" i="4" s="1"/>
  <c r="N51" i="4"/>
  <c r="N81" i="4" s="1"/>
  <c r="M51" i="4"/>
  <c r="M81" i="4" s="1"/>
  <c r="L51" i="4"/>
  <c r="L81" i="4" s="1"/>
  <c r="K51" i="4"/>
  <c r="K81" i="4" s="1"/>
  <c r="J51" i="4"/>
  <c r="J63" i="4" s="1"/>
  <c r="J82" i="4" s="1"/>
  <c r="J83" i="4" s="1"/>
  <c r="I51" i="4"/>
  <c r="I63" i="4" s="1"/>
  <c r="I82" i="4" s="1"/>
  <c r="H51" i="4"/>
  <c r="H63" i="4" s="1"/>
  <c r="H82" i="4" s="1"/>
  <c r="G51" i="4"/>
  <c r="G63" i="4" s="1"/>
  <c r="G82" i="4" s="1"/>
  <c r="F51" i="4"/>
  <c r="F63" i="4" s="1"/>
  <c r="F82" i="4" s="1"/>
  <c r="F83" i="4" s="1"/>
  <c r="E51" i="4"/>
  <c r="E63" i="4" s="1"/>
  <c r="E82" i="4" s="1"/>
  <c r="E83" i="4" s="1"/>
  <c r="D51" i="4"/>
  <c r="D81" i="4" s="1"/>
  <c r="C51" i="4"/>
  <c r="C81" i="4" s="1"/>
  <c r="C39" i="4"/>
  <c r="E36" i="4"/>
  <c r="A12" i="4"/>
  <c r="A11" i="4"/>
  <c r="N94" i="3"/>
  <c r="L94" i="3"/>
  <c r="M93" i="3"/>
  <c r="N91" i="3"/>
  <c r="L91" i="3"/>
  <c r="J91" i="3"/>
  <c r="I91" i="3"/>
  <c r="C91" i="3"/>
  <c r="I87" i="3"/>
  <c r="H87" i="3"/>
  <c r="N86" i="3"/>
  <c r="K86" i="3"/>
  <c r="J86" i="3"/>
  <c r="J88" i="3" s="1"/>
  <c r="I86" i="3"/>
  <c r="G86" i="3"/>
  <c r="D86" i="3"/>
  <c r="N81" i="3"/>
  <c r="M81" i="3"/>
  <c r="L81" i="3"/>
  <c r="J81" i="3"/>
  <c r="C81" i="3"/>
  <c r="C83" i="3" s="1"/>
  <c r="N67" i="3"/>
  <c r="L67" i="3"/>
  <c r="J67" i="3"/>
  <c r="J94" i="3" s="1"/>
  <c r="J95" i="3" s="1"/>
  <c r="I67" i="3"/>
  <c r="I94" i="3" s="1"/>
  <c r="E67" i="3"/>
  <c r="E94" i="3" s="1"/>
  <c r="D67" i="3"/>
  <c r="D94" i="3" s="1"/>
  <c r="C67" i="3"/>
  <c r="C94" i="3" s="1"/>
  <c r="M66" i="3"/>
  <c r="J66" i="3"/>
  <c r="J93" i="3" s="1"/>
  <c r="C66" i="3"/>
  <c r="C93" i="3" s="1"/>
  <c r="G65" i="3"/>
  <c r="G92" i="3" s="1"/>
  <c r="F65" i="3"/>
  <c r="F92" i="3" s="1"/>
  <c r="E65" i="3"/>
  <c r="E92" i="3" s="1"/>
  <c r="D65" i="3"/>
  <c r="D92" i="3" s="1"/>
  <c r="H64" i="3"/>
  <c r="N53" i="3"/>
  <c r="N66" i="3" s="1"/>
  <c r="N93" i="3" s="1"/>
  <c r="M53" i="3"/>
  <c r="M91" i="3" s="1"/>
  <c r="L53" i="3"/>
  <c r="L66" i="3" s="1"/>
  <c r="L93" i="3" s="1"/>
  <c r="K53" i="3"/>
  <c r="K91" i="3" s="1"/>
  <c r="J53" i="3"/>
  <c r="J65" i="3" s="1"/>
  <c r="J92" i="3" s="1"/>
  <c r="I53" i="3"/>
  <c r="I66" i="3" s="1"/>
  <c r="I93" i="3" s="1"/>
  <c r="H53" i="3"/>
  <c r="H91" i="3" s="1"/>
  <c r="G53" i="3"/>
  <c r="F53" i="3"/>
  <c r="F66" i="3" s="1"/>
  <c r="F93" i="3" s="1"/>
  <c r="E53" i="3"/>
  <c r="E66" i="3" s="1"/>
  <c r="E93" i="3" s="1"/>
  <c r="D53" i="3"/>
  <c r="D66" i="3" s="1"/>
  <c r="D93" i="3" s="1"/>
  <c r="C53" i="3"/>
  <c r="C65" i="3" s="1"/>
  <c r="C92" i="3" s="1"/>
  <c r="N52" i="3"/>
  <c r="N64" i="3" s="1"/>
  <c r="N87" i="3" s="1"/>
  <c r="M52" i="3"/>
  <c r="M64" i="3" s="1"/>
  <c r="M87" i="3" s="1"/>
  <c r="L52" i="3"/>
  <c r="L64" i="3" s="1"/>
  <c r="L87" i="3" s="1"/>
  <c r="K52" i="3"/>
  <c r="K64" i="3" s="1"/>
  <c r="K87" i="3" s="1"/>
  <c r="J52" i="3"/>
  <c r="J64" i="3" s="1"/>
  <c r="J87" i="3" s="1"/>
  <c r="I52" i="3"/>
  <c r="I64" i="3" s="1"/>
  <c r="H52" i="3"/>
  <c r="H86" i="3" s="1"/>
  <c r="H88" i="3" s="1"/>
  <c r="G52" i="3"/>
  <c r="G64" i="3" s="1"/>
  <c r="G87" i="3" s="1"/>
  <c r="F52" i="3"/>
  <c r="F86" i="3" s="1"/>
  <c r="E52" i="3"/>
  <c r="E86" i="3" s="1"/>
  <c r="D52" i="3"/>
  <c r="D64" i="3" s="1"/>
  <c r="D87" i="3" s="1"/>
  <c r="C52" i="3"/>
  <c r="N51" i="3"/>
  <c r="N63" i="3" s="1"/>
  <c r="N82" i="3" s="1"/>
  <c r="M51" i="3"/>
  <c r="M63" i="3" s="1"/>
  <c r="M82" i="3" s="1"/>
  <c r="M83" i="3" s="1"/>
  <c r="L51" i="3"/>
  <c r="L63" i="3" s="1"/>
  <c r="L82" i="3" s="1"/>
  <c r="L83" i="3" s="1"/>
  <c r="K51" i="3"/>
  <c r="K81" i="3" s="1"/>
  <c r="J51" i="3"/>
  <c r="J63" i="3" s="1"/>
  <c r="J82" i="3" s="1"/>
  <c r="J83" i="3" s="1"/>
  <c r="I51" i="3"/>
  <c r="I81" i="3" s="1"/>
  <c r="H51" i="3"/>
  <c r="H81" i="3" s="1"/>
  <c r="G51" i="3"/>
  <c r="G81" i="3" s="1"/>
  <c r="F51" i="3"/>
  <c r="F81" i="3" s="1"/>
  <c r="E51" i="3"/>
  <c r="E63" i="3" s="1"/>
  <c r="E82" i="3" s="1"/>
  <c r="D51" i="3"/>
  <c r="C51" i="3"/>
  <c r="C63" i="3" s="1"/>
  <c r="C82" i="3" s="1"/>
  <c r="E36" i="3"/>
  <c r="C16" i="3"/>
  <c r="C18" i="3" s="1"/>
  <c r="A13" i="3"/>
  <c r="C12" i="3"/>
  <c r="C13" i="3" s="1"/>
  <c r="G12" i="3" s="1"/>
  <c r="A12" i="3"/>
  <c r="A11" i="3"/>
  <c r="G88" i="3" l="1"/>
  <c r="D63" i="3"/>
  <c r="D82" i="3" s="1"/>
  <c r="D81" i="3"/>
  <c r="D83" i="3" s="1"/>
  <c r="G91" i="3"/>
  <c r="G95" i="3" s="1"/>
  <c r="G67" i="3"/>
  <c r="G94" i="3" s="1"/>
  <c r="G66" i="3"/>
  <c r="G93" i="3" s="1"/>
  <c r="F63" i="3"/>
  <c r="F82" i="3" s="1"/>
  <c r="N83" i="3"/>
  <c r="C64" i="3"/>
  <c r="C87" i="3" s="1"/>
  <c r="C86" i="3"/>
  <c r="D88" i="3"/>
  <c r="I66" i="4"/>
  <c r="I93" i="4" s="1"/>
  <c r="N88" i="4"/>
  <c r="G95" i="4"/>
  <c r="H95" i="4"/>
  <c r="I63" i="3"/>
  <c r="I82" i="3" s="1"/>
  <c r="I83" i="3" s="1"/>
  <c r="K88" i="3"/>
  <c r="D91" i="3"/>
  <c r="D95" i="3" s="1"/>
  <c r="L83" i="4"/>
  <c r="L66" i="4"/>
  <c r="L93" i="4" s="1"/>
  <c r="L91" i="4"/>
  <c r="L67" i="4"/>
  <c r="L94" i="4" s="1"/>
  <c r="K64" i="4"/>
  <c r="K87" i="4" s="1"/>
  <c r="K88" i="4" s="1"/>
  <c r="I91" i="4"/>
  <c r="F91" i="3"/>
  <c r="F95" i="3" s="1"/>
  <c r="F67" i="3"/>
  <c r="F94" i="3" s="1"/>
  <c r="A14" i="3"/>
  <c r="A16" i="3" s="1"/>
  <c r="A15" i="3"/>
  <c r="C34" i="3"/>
  <c r="G63" i="3"/>
  <c r="G82" i="3" s="1"/>
  <c r="G83" i="3" s="1"/>
  <c r="I88" i="3"/>
  <c r="C95" i="3"/>
  <c r="E64" i="3"/>
  <c r="E87" i="3" s="1"/>
  <c r="E88" i="3" s="1"/>
  <c r="N88" i="3"/>
  <c r="E91" i="3"/>
  <c r="E95" i="3" s="1"/>
  <c r="M83" i="4"/>
  <c r="M95" i="4"/>
  <c r="J91" i="4"/>
  <c r="J95" i="4" s="1"/>
  <c r="D88" i="4"/>
  <c r="F83" i="3"/>
  <c r="H83" i="3"/>
  <c r="F64" i="3"/>
  <c r="F87" i="3" s="1"/>
  <c r="F88" i="3" s="1"/>
  <c r="I95" i="3"/>
  <c r="N83" i="4"/>
  <c r="G83" i="4"/>
  <c r="H63" i="3"/>
  <c r="H82" i="3" s="1"/>
  <c r="K83" i="4"/>
  <c r="K67" i="4"/>
  <c r="K94" i="4" s="1"/>
  <c r="K91" i="4"/>
  <c r="J64" i="4"/>
  <c r="J87" i="4" s="1"/>
  <c r="J88" i="4" s="1"/>
  <c r="H83" i="4"/>
  <c r="M65" i="4"/>
  <c r="M92" i="4" s="1"/>
  <c r="K63" i="3"/>
  <c r="K82" i="3" s="1"/>
  <c r="K83" i="3" s="1"/>
  <c r="I65" i="3"/>
  <c r="I92" i="3" s="1"/>
  <c r="H66" i="3"/>
  <c r="H93" i="3" s="1"/>
  <c r="E81" i="3"/>
  <c r="E83" i="3" s="1"/>
  <c r="L86" i="3"/>
  <c r="L88" i="3" s="1"/>
  <c r="D63" i="4"/>
  <c r="D82" i="4" s="1"/>
  <c r="D83" i="4" s="1"/>
  <c r="N65" i="4"/>
  <c r="N92" i="4" s="1"/>
  <c r="N95" i="4" s="1"/>
  <c r="M66" i="4"/>
  <c r="M93" i="4" s="1"/>
  <c r="E86" i="4"/>
  <c r="E88" i="4" s="1"/>
  <c r="H65" i="3"/>
  <c r="H92" i="3" s="1"/>
  <c r="H95" i="3" s="1"/>
  <c r="C63" i="4"/>
  <c r="C82" i="4" s="1"/>
  <c r="C83" i="4" s="1"/>
  <c r="I81" i="4"/>
  <c r="I83" i="4" s="1"/>
  <c r="H67" i="3"/>
  <c r="H94" i="3" s="1"/>
  <c r="M86" i="3"/>
  <c r="M88" i="3" s="1"/>
  <c r="M67" i="4"/>
  <c r="M94" i="4" s="1"/>
  <c r="F86" i="4"/>
  <c r="F88" i="4" s="1"/>
  <c r="K65" i="3"/>
  <c r="K92" i="3" s="1"/>
  <c r="D65" i="4"/>
  <c r="D92" i="4" s="1"/>
  <c r="D95" i="4" s="1"/>
  <c r="E65" i="4"/>
  <c r="E92" i="4" s="1"/>
  <c r="E95" i="4" s="1"/>
  <c r="D66" i="4"/>
  <c r="D93" i="4" s="1"/>
  <c r="H86" i="4"/>
  <c r="H88" i="4" s="1"/>
  <c r="L65" i="3"/>
  <c r="L92" i="3" s="1"/>
  <c r="L95" i="3" s="1"/>
  <c r="K66" i="3"/>
  <c r="K93" i="3" s="1"/>
  <c r="C30" i="3"/>
  <c r="C31" i="3" s="1"/>
  <c r="M65" i="3"/>
  <c r="M92" i="3" s="1"/>
  <c r="M95" i="3" s="1"/>
  <c r="K67" i="3"/>
  <c r="K94" i="3" s="1"/>
  <c r="F65" i="4"/>
  <c r="F92" i="4" s="1"/>
  <c r="D67" i="4"/>
  <c r="D94" i="4" s="1"/>
  <c r="N65" i="3"/>
  <c r="N92" i="3" s="1"/>
  <c r="N95" i="3" s="1"/>
  <c r="G65" i="4"/>
  <c r="G92" i="4" s="1"/>
  <c r="M67" i="3"/>
  <c r="M94" i="3" s="1"/>
  <c r="A13" i="4"/>
  <c r="F67" i="4"/>
  <c r="F94" i="4" s="1"/>
  <c r="F95" i="4" s="1"/>
  <c r="A17" i="3" l="1"/>
  <c r="K95" i="3"/>
  <c r="K95" i="4"/>
  <c r="C88" i="3"/>
  <c r="C23" i="3" s="1"/>
  <c r="G11" i="3"/>
  <c r="G17" i="3" s="1"/>
  <c r="A18" i="3"/>
  <c r="I95" i="4"/>
  <c r="C23" i="4" s="1"/>
  <c r="L95" i="4"/>
  <c r="A14" i="4"/>
  <c r="C27" i="4" l="1"/>
  <c r="C25" i="4"/>
  <c r="A19" i="3"/>
  <c r="A15" i="4"/>
  <c r="A20" i="3" l="1"/>
  <c r="A17" i="4"/>
  <c r="A16" i="4"/>
  <c r="A18" i="4" l="1"/>
  <c r="A19" i="4"/>
  <c r="A21" i="3"/>
  <c r="A22" i="3" l="1"/>
  <c r="A21" i="4"/>
  <c r="A20" i="4"/>
  <c r="A22" i="4" l="1"/>
  <c r="A23" i="4" s="1"/>
  <c r="A24" i="4" s="1"/>
  <c r="A25" i="4" s="1"/>
  <c r="A26" i="4" s="1"/>
  <c r="A27" i="4" s="1"/>
  <c r="A28" i="4" s="1"/>
  <c r="A29" i="4" s="1"/>
  <c r="A23" i="3"/>
  <c r="A24" i="3"/>
  <c r="A25" i="3" l="1"/>
  <c r="A32" i="4"/>
  <c r="A33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30" i="4"/>
  <c r="A31" i="4" s="1"/>
  <c r="A26" i="3" l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M303" i="2" l="1"/>
  <c r="K302" i="2"/>
  <c r="I302" i="2"/>
  <c r="K301" i="2"/>
  <c r="I301" i="2"/>
  <c r="M300" i="2"/>
  <c r="N300" i="2" s="1"/>
  <c r="L300" i="2"/>
  <c r="R300" i="2"/>
  <c r="M299" i="2"/>
  <c r="N299" i="2" s="1"/>
  <c r="L299" i="2"/>
  <c r="R299" i="2"/>
  <c r="M298" i="2"/>
  <c r="N298" i="2" s="1"/>
  <c r="L298" i="2"/>
  <c r="R298" i="2"/>
  <c r="M297" i="2"/>
  <c r="N297" i="2" s="1"/>
  <c r="L297" i="2"/>
  <c r="R297" i="2"/>
  <c r="M296" i="2"/>
  <c r="N296" i="2" s="1"/>
  <c r="L296" i="2"/>
  <c r="R296" i="2"/>
  <c r="M295" i="2"/>
  <c r="N295" i="2" s="1"/>
  <c r="L295" i="2"/>
  <c r="R295" i="2"/>
  <c r="M294" i="2"/>
  <c r="N294" i="2" s="1"/>
  <c r="L294" i="2"/>
  <c r="R294" i="2"/>
  <c r="M293" i="2"/>
  <c r="N293" i="2" s="1"/>
  <c r="L293" i="2"/>
  <c r="R293" i="2"/>
  <c r="M292" i="2"/>
  <c r="N292" i="2" s="1"/>
  <c r="L292" i="2"/>
  <c r="R292" i="2"/>
  <c r="M291" i="2"/>
  <c r="N291" i="2" s="1"/>
  <c r="L291" i="2"/>
  <c r="R291" i="2"/>
  <c r="M290" i="2"/>
  <c r="N290" i="2" s="1"/>
  <c r="L290" i="2"/>
  <c r="R290" i="2"/>
  <c r="M289" i="2"/>
  <c r="N289" i="2" s="1"/>
  <c r="L289" i="2"/>
  <c r="R289" i="2"/>
  <c r="M288" i="2"/>
  <c r="N288" i="2" s="1"/>
  <c r="L288" i="2"/>
  <c r="R288" i="2"/>
  <c r="M287" i="2"/>
  <c r="N287" i="2" s="1"/>
  <c r="L287" i="2"/>
  <c r="R287" i="2"/>
  <c r="M286" i="2"/>
  <c r="N286" i="2" s="1"/>
  <c r="L286" i="2"/>
  <c r="R286" i="2"/>
  <c r="M285" i="2"/>
  <c r="N285" i="2" s="1"/>
  <c r="L285" i="2"/>
  <c r="R285" i="2"/>
  <c r="M284" i="2"/>
  <c r="N284" i="2" s="1"/>
  <c r="L284" i="2"/>
  <c r="R284" i="2"/>
  <c r="M283" i="2"/>
  <c r="N283" i="2" s="1"/>
  <c r="L283" i="2"/>
  <c r="R283" i="2"/>
  <c r="M282" i="2"/>
  <c r="N282" i="2" s="1"/>
  <c r="L282" i="2"/>
  <c r="R282" i="2"/>
  <c r="M281" i="2"/>
  <c r="N281" i="2" s="1"/>
  <c r="L281" i="2"/>
  <c r="R281" i="2"/>
  <c r="M280" i="2"/>
  <c r="N280" i="2" s="1"/>
  <c r="L280" i="2"/>
  <c r="R280" i="2"/>
  <c r="M279" i="2"/>
  <c r="N279" i="2" s="1"/>
  <c r="L279" i="2"/>
  <c r="R279" i="2"/>
  <c r="M278" i="2"/>
  <c r="N278" i="2" s="1"/>
  <c r="L278" i="2"/>
  <c r="R278" i="2"/>
  <c r="M277" i="2"/>
  <c r="N277" i="2" s="1"/>
  <c r="L277" i="2"/>
  <c r="R277" i="2"/>
  <c r="M276" i="2"/>
  <c r="N276" i="2" s="1"/>
  <c r="L276" i="2"/>
  <c r="R276" i="2"/>
  <c r="M275" i="2"/>
  <c r="L275" i="2"/>
  <c r="R275" i="2"/>
  <c r="K273" i="2"/>
  <c r="I273" i="2"/>
  <c r="M272" i="2"/>
  <c r="N272" i="2" s="1"/>
  <c r="L272" i="2"/>
  <c r="R272" i="2"/>
  <c r="M271" i="2"/>
  <c r="N271" i="2" s="1"/>
  <c r="L271" i="2"/>
  <c r="R271" i="2"/>
  <c r="M270" i="2"/>
  <c r="N270" i="2" s="1"/>
  <c r="L270" i="2"/>
  <c r="R270" i="2"/>
  <c r="M269" i="2"/>
  <c r="N269" i="2" s="1"/>
  <c r="L269" i="2"/>
  <c r="R269" i="2"/>
  <c r="M268" i="2"/>
  <c r="N268" i="2" s="1"/>
  <c r="L268" i="2"/>
  <c r="R268" i="2"/>
  <c r="M267" i="2"/>
  <c r="N267" i="2" s="1"/>
  <c r="L267" i="2"/>
  <c r="R267" i="2"/>
  <c r="M266" i="2"/>
  <c r="N266" i="2" s="1"/>
  <c r="L266" i="2"/>
  <c r="R266" i="2"/>
  <c r="M265" i="2"/>
  <c r="N265" i="2" s="1"/>
  <c r="L265" i="2"/>
  <c r="R265" i="2"/>
  <c r="M264" i="2"/>
  <c r="N264" i="2" s="1"/>
  <c r="L264" i="2"/>
  <c r="R264" i="2"/>
  <c r="M263" i="2"/>
  <c r="N263" i="2" s="1"/>
  <c r="L263" i="2"/>
  <c r="R263" i="2"/>
  <c r="M262" i="2"/>
  <c r="N262" i="2" s="1"/>
  <c r="L262" i="2"/>
  <c r="R262" i="2"/>
  <c r="M261" i="2"/>
  <c r="N261" i="2" s="1"/>
  <c r="L261" i="2"/>
  <c r="R261" i="2"/>
  <c r="M260" i="2"/>
  <c r="N260" i="2" s="1"/>
  <c r="L260" i="2"/>
  <c r="R260" i="2"/>
  <c r="M259" i="2"/>
  <c r="N259" i="2" s="1"/>
  <c r="L259" i="2"/>
  <c r="R259" i="2"/>
  <c r="M258" i="2"/>
  <c r="N258" i="2" s="1"/>
  <c r="L258" i="2"/>
  <c r="R258" i="2"/>
  <c r="M257" i="2"/>
  <c r="N257" i="2" s="1"/>
  <c r="L257" i="2"/>
  <c r="R257" i="2"/>
  <c r="M256" i="2"/>
  <c r="N256" i="2" s="1"/>
  <c r="L256" i="2"/>
  <c r="R256" i="2"/>
  <c r="M255" i="2"/>
  <c r="N255" i="2" s="1"/>
  <c r="L255" i="2"/>
  <c r="R255" i="2"/>
  <c r="M254" i="2"/>
  <c r="N254" i="2" s="1"/>
  <c r="L254" i="2"/>
  <c r="R254" i="2"/>
  <c r="M253" i="2"/>
  <c r="N253" i="2" s="1"/>
  <c r="L253" i="2"/>
  <c r="R253" i="2"/>
  <c r="M252" i="2"/>
  <c r="N252" i="2" s="1"/>
  <c r="L252" i="2"/>
  <c r="R252" i="2"/>
  <c r="M251" i="2"/>
  <c r="N251" i="2" s="1"/>
  <c r="L251" i="2"/>
  <c r="R251" i="2"/>
  <c r="M250" i="2"/>
  <c r="N250" i="2" s="1"/>
  <c r="L250" i="2"/>
  <c r="R250" i="2"/>
  <c r="M249" i="2"/>
  <c r="N249" i="2" s="1"/>
  <c r="L249" i="2"/>
  <c r="R249" i="2"/>
  <c r="M248" i="2"/>
  <c r="N248" i="2" s="1"/>
  <c r="L248" i="2"/>
  <c r="R248" i="2"/>
  <c r="M247" i="2"/>
  <c r="N247" i="2" s="1"/>
  <c r="L247" i="2"/>
  <c r="R247" i="2"/>
  <c r="M246" i="2"/>
  <c r="N246" i="2" s="1"/>
  <c r="L246" i="2"/>
  <c r="R246" i="2"/>
  <c r="M245" i="2"/>
  <c r="N245" i="2" s="1"/>
  <c r="L245" i="2"/>
  <c r="R245" i="2"/>
  <c r="M244" i="2"/>
  <c r="N244" i="2" s="1"/>
  <c r="L244" i="2"/>
  <c r="R244" i="2"/>
  <c r="M243" i="2"/>
  <c r="N243" i="2" s="1"/>
  <c r="L243" i="2"/>
  <c r="R243" i="2"/>
  <c r="M242" i="2"/>
  <c r="N242" i="2" s="1"/>
  <c r="L242" i="2"/>
  <c r="R242" i="2"/>
  <c r="M241" i="2"/>
  <c r="N241" i="2" s="1"/>
  <c r="L241" i="2"/>
  <c r="R241" i="2"/>
  <c r="M240" i="2"/>
  <c r="N240" i="2" s="1"/>
  <c r="L240" i="2"/>
  <c r="R240" i="2"/>
  <c r="M239" i="2"/>
  <c r="N239" i="2" s="1"/>
  <c r="L239" i="2"/>
  <c r="R239" i="2"/>
  <c r="M238" i="2"/>
  <c r="N238" i="2" s="1"/>
  <c r="L238" i="2"/>
  <c r="R238" i="2"/>
  <c r="M237" i="2"/>
  <c r="N237" i="2" s="1"/>
  <c r="L237" i="2"/>
  <c r="R237" i="2"/>
  <c r="M236" i="2"/>
  <c r="N236" i="2" s="1"/>
  <c r="L236" i="2"/>
  <c r="R236" i="2"/>
  <c r="M235" i="2"/>
  <c r="N235" i="2" s="1"/>
  <c r="L235" i="2"/>
  <c r="R235" i="2"/>
  <c r="M234" i="2"/>
  <c r="N234" i="2" s="1"/>
  <c r="L234" i="2"/>
  <c r="R234" i="2"/>
  <c r="M233" i="2"/>
  <c r="N233" i="2" s="1"/>
  <c r="L233" i="2"/>
  <c r="R233" i="2"/>
  <c r="M232" i="2"/>
  <c r="N232" i="2" s="1"/>
  <c r="L232" i="2"/>
  <c r="R232" i="2"/>
  <c r="M231" i="2"/>
  <c r="N231" i="2" s="1"/>
  <c r="L231" i="2"/>
  <c r="R231" i="2"/>
  <c r="M230" i="2"/>
  <c r="N230" i="2" s="1"/>
  <c r="L230" i="2"/>
  <c r="R230" i="2"/>
  <c r="M229" i="2"/>
  <c r="N229" i="2" s="1"/>
  <c r="L229" i="2"/>
  <c r="R229" i="2"/>
  <c r="M228" i="2"/>
  <c r="N228" i="2" s="1"/>
  <c r="L228" i="2"/>
  <c r="R228" i="2"/>
  <c r="M227" i="2"/>
  <c r="N227" i="2" s="1"/>
  <c r="L227" i="2"/>
  <c r="R227" i="2"/>
  <c r="M226" i="2"/>
  <c r="N226" i="2" s="1"/>
  <c r="L226" i="2"/>
  <c r="R226" i="2"/>
  <c r="M225" i="2"/>
  <c r="N225" i="2" s="1"/>
  <c r="L225" i="2"/>
  <c r="R225" i="2"/>
  <c r="M224" i="2"/>
  <c r="N224" i="2" s="1"/>
  <c r="L224" i="2"/>
  <c r="R224" i="2"/>
  <c r="M223" i="2"/>
  <c r="N223" i="2" s="1"/>
  <c r="L223" i="2"/>
  <c r="R223" i="2"/>
  <c r="M222" i="2"/>
  <c r="N222" i="2" s="1"/>
  <c r="L222" i="2"/>
  <c r="R222" i="2"/>
  <c r="M221" i="2"/>
  <c r="N221" i="2" s="1"/>
  <c r="L221" i="2"/>
  <c r="R221" i="2"/>
  <c r="M220" i="2"/>
  <c r="N220" i="2" s="1"/>
  <c r="L220" i="2"/>
  <c r="R220" i="2"/>
  <c r="M219" i="2"/>
  <c r="N219" i="2" s="1"/>
  <c r="L219" i="2"/>
  <c r="R219" i="2"/>
  <c r="M218" i="2"/>
  <c r="N218" i="2" s="1"/>
  <c r="L218" i="2"/>
  <c r="R218" i="2"/>
  <c r="M217" i="2"/>
  <c r="N217" i="2" s="1"/>
  <c r="L217" i="2"/>
  <c r="R217" i="2"/>
  <c r="M216" i="2"/>
  <c r="N216" i="2" s="1"/>
  <c r="L216" i="2"/>
  <c r="R216" i="2"/>
  <c r="M215" i="2"/>
  <c r="N215" i="2" s="1"/>
  <c r="L215" i="2"/>
  <c r="R215" i="2"/>
  <c r="M214" i="2"/>
  <c r="N214" i="2" s="1"/>
  <c r="L214" i="2"/>
  <c r="R214" i="2"/>
  <c r="M213" i="2"/>
  <c r="N213" i="2" s="1"/>
  <c r="L213" i="2"/>
  <c r="R213" i="2"/>
  <c r="M212" i="2"/>
  <c r="N212" i="2" s="1"/>
  <c r="L212" i="2"/>
  <c r="R212" i="2"/>
  <c r="M211" i="2"/>
  <c r="N211" i="2" s="1"/>
  <c r="L211" i="2"/>
  <c r="R211" i="2"/>
  <c r="M210" i="2"/>
  <c r="N210" i="2" s="1"/>
  <c r="L210" i="2"/>
  <c r="R210" i="2"/>
  <c r="M209" i="2"/>
  <c r="N209" i="2" s="1"/>
  <c r="L209" i="2"/>
  <c r="R209" i="2"/>
  <c r="M208" i="2"/>
  <c r="N208" i="2" s="1"/>
  <c r="L208" i="2"/>
  <c r="R208" i="2"/>
  <c r="M207" i="2"/>
  <c r="N207" i="2" s="1"/>
  <c r="L207" i="2"/>
  <c r="R207" i="2"/>
  <c r="M206" i="2"/>
  <c r="N206" i="2" s="1"/>
  <c r="L206" i="2"/>
  <c r="R206" i="2"/>
  <c r="M205" i="2"/>
  <c r="N205" i="2" s="1"/>
  <c r="L205" i="2"/>
  <c r="R205" i="2"/>
  <c r="M204" i="2"/>
  <c r="N204" i="2" s="1"/>
  <c r="L204" i="2"/>
  <c r="R204" i="2"/>
  <c r="M203" i="2"/>
  <c r="N203" i="2" s="1"/>
  <c r="L203" i="2"/>
  <c r="R203" i="2"/>
  <c r="M202" i="2"/>
  <c r="N202" i="2" s="1"/>
  <c r="L202" i="2"/>
  <c r="R202" i="2"/>
  <c r="M201" i="2"/>
  <c r="N201" i="2" s="1"/>
  <c r="L201" i="2"/>
  <c r="R201" i="2"/>
  <c r="M200" i="2"/>
  <c r="N200" i="2" s="1"/>
  <c r="L200" i="2"/>
  <c r="R200" i="2"/>
  <c r="M199" i="2"/>
  <c r="N199" i="2" s="1"/>
  <c r="L199" i="2"/>
  <c r="R199" i="2"/>
  <c r="M198" i="2"/>
  <c r="N198" i="2" s="1"/>
  <c r="L198" i="2"/>
  <c r="R198" i="2"/>
  <c r="M197" i="2"/>
  <c r="N197" i="2" s="1"/>
  <c r="L197" i="2"/>
  <c r="R197" i="2"/>
  <c r="M196" i="2"/>
  <c r="N196" i="2" s="1"/>
  <c r="L196" i="2"/>
  <c r="R196" i="2"/>
  <c r="M195" i="2"/>
  <c r="N195" i="2" s="1"/>
  <c r="L195" i="2"/>
  <c r="R195" i="2"/>
  <c r="M194" i="2"/>
  <c r="N194" i="2" s="1"/>
  <c r="L194" i="2"/>
  <c r="R194" i="2"/>
  <c r="M193" i="2"/>
  <c r="N193" i="2" s="1"/>
  <c r="L193" i="2"/>
  <c r="R193" i="2"/>
  <c r="M192" i="2"/>
  <c r="N192" i="2" s="1"/>
  <c r="L192" i="2"/>
  <c r="R192" i="2"/>
  <c r="M191" i="2"/>
  <c r="N191" i="2" s="1"/>
  <c r="L191" i="2"/>
  <c r="R191" i="2"/>
  <c r="M190" i="2"/>
  <c r="N190" i="2" s="1"/>
  <c r="L190" i="2"/>
  <c r="R190" i="2"/>
  <c r="M189" i="2"/>
  <c r="N189" i="2" s="1"/>
  <c r="L189" i="2"/>
  <c r="R189" i="2"/>
  <c r="M188" i="2"/>
  <c r="N188" i="2" s="1"/>
  <c r="L188" i="2"/>
  <c r="R188" i="2"/>
  <c r="M187" i="2"/>
  <c r="N187" i="2" s="1"/>
  <c r="L187" i="2"/>
  <c r="R187" i="2"/>
  <c r="M186" i="2"/>
  <c r="N186" i="2" s="1"/>
  <c r="L186" i="2"/>
  <c r="R186" i="2"/>
  <c r="M185" i="2"/>
  <c r="N185" i="2" s="1"/>
  <c r="L185" i="2"/>
  <c r="R185" i="2"/>
  <c r="M184" i="2"/>
  <c r="N184" i="2" s="1"/>
  <c r="L184" i="2"/>
  <c r="R184" i="2"/>
  <c r="M183" i="2"/>
  <c r="N183" i="2" s="1"/>
  <c r="L183" i="2"/>
  <c r="R183" i="2"/>
  <c r="M182" i="2"/>
  <c r="N182" i="2" s="1"/>
  <c r="L182" i="2"/>
  <c r="R182" i="2"/>
  <c r="M181" i="2"/>
  <c r="N181" i="2" s="1"/>
  <c r="L181" i="2"/>
  <c r="R181" i="2"/>
  <c r="M180" i="2"/>
  <c r="N180" i="2" s="1"/>
  <c r="L180" i="2"/>
  <c r="R180" i="2"/>
  <c r="M179" i="2"/>
  <c r="N179" i="2" s="1"/>
  <c r="L179" i="2"/>
  <c r="R179" i="2"/>
  <c r="M178" i="2"/>
  <c r="N178" i="2" s="1"/>
  <c r="L178" i="2"/>
  <c r="R178" i="2"/>
  <c r="M177" i="2"/>
  <c r="N177" i="2" s="1"/>
  <c r="L177" i="2"/>
  <c r="R177" i="2"/>
  <c r="M176" i="2"/>
  <c r="N176" i="2" s="1"/>
  <c r="L176" i="2"/>
  <c r="R176" i="2"/>
  <c r="M175" i="2"/>
  <c r="N175" i="2" s="1"/>
  <c r="L175" i="2"/>
  <c r="R175" i="2"/>
  <c r="M174" i="2"/>
  <c r="N174" i="2" s="1"/>
  <c r="L174" i="2"/>
  <c r="R174" i="2"/>
  <c r="M173" i="2"/>
  <c r="N173" i="2" s="1"/>
  <c r="L173" i="2"/>
  <c r="R173" i="2"/>
  <c r="M172" i="2"/>
  <c r="N172" i="2" s="1"/>
  <c r="L172" i="2"/>
  <c r="R172" i="2"/>
  <c r="M171" i="2"/>
  <c r="N171" i="2" s="1"/>
  <c r="L171" i="2"/>
  <c r="R171" i="2"/>
  <c r="M170" i="2"/>
  <c r="N170" i="2" s="1"/>
  <c r="L170" i="2"/>
  <c r="R170" i="2"/>
  <c r="M169" i="2"/>
  <c r="N169" i="2" s="1"/>
  <c r="L169" i="2"/>
  <c r="R169" i="2"/>
  <c r="M168" i="2"/>
  <c r="N168" i="2" s="1"/>
  <c r="L168" i="2"/>
  <c r="R168" i="2"/>
  <c r="M167" i="2"/>
  <c r="N167" i="2" s="1"/>
  <c r="L167" i="2"/>
  <c r="R167" i="2"/>
  <c r="M166" i="2"/>
  <c r="N166" i="2" s="1"/>
  <c r="L166" i="2"/>
  <c r="R166" i="2"/>
  <c r="M165" i="2"/>
  <c r="N165" i="2" s="1"/>
  <c r="L165" i="2"/>
  <c r="R165" i="2"/>
  <c r="M164" i="2"/>
  <c r="N164" i="2" s="1"/>
  <c r="L164" i="2"/>
  <c r="R164" i="2"/>
  <c r="M163" i="2"/>
  <c r="N163" i="2" s="1"/>
  <c r="L163" i="2"/>
  <c r="R163" i="2"/>
  <c r="M162" i="2"/>
  <c r="N162" i="2" s="1"/>
  <c r="L162" i="2"/>
  <c r="R162" i="2"/>
  <c r="M161" i="2"/>
  <c r="N161" i="2" s="1"/>
  <c r="L161" i="2"/>
  <c r="R161" i="2"/>
  <c r="M160" i="2"/>
  <c r="N160" i="2" s="1"/>
  <c r="L160" i="2"/>
  <c r="R160" i="2"/>
  <c r="M159" i="2"/>
  <c r="N159" i="2" s="1"/>
  <c r="L159" i="2"/>
  <c r="R159" i="2"/>
  <c r="M158" i="2"/>
  <c r="N158" i="2" s="1"/>
  <c r="L158" i="2"/>
  <c r="R158" i="2"/>
  <c r="M157" i="2"/>
  <c r="N157" i="2" s="1"/>
  <c r="L157" i="2"/>
  <c r="R157" i="2"/>
  <c r="M156" i="2"/>
  <c r="N156" i="2" s="1"/>
  <c r="L156" i="2"/>
  <c r="R156" i="2"/>
  <c r="M155" i="2"/>
  <c r="N155" i="2" s="1"/>
  <c r="L155" i="2"/>
  <c r="R155" i="2"/>
  <c r="M154" i="2"/>
  <c r="N154" i="2" s="1"/>
  <c r="L154" i="2"/>
  <c r="R154" i="2"/>
  <c r="M153" i="2"/>
  <c r="N153" i="2" s="1"/>
  <c r="L153" i="2"/>
  <c r="R153" i="2"/>
  <c r="M152" i="2"/>
  <c r="N152" i="2" s="1"/>
  <c r="L152" i="2"/>
  <c r="R152" i="2"/>
  <c r="M151" i="2"/>
  <c r="N151" i="2" s="1"/>
  <c r="L151" i="2"/>
  <c r="R151" i="2"/>
  <c r="M150" i="2"/>
  <c r="N150" i="2" s="1"/>
  <c r="L150" i="2"/>
  <c r="R150" i="2"/>
  <c r="M149" i="2"/>
  <c r="N149" i="2" s="1"/>
  <c r="L149" i="2"/>
  <c r="R149" i="2"/>
  <c r="M148" i="2"/>
  <c r="N148" i="2" s="1"/>
  <c r="L148" i="2"/>
  <c r="R148" i="2"/>
  <c r="M147" i="2"/>
  <c r="N147" i="2" s="1"/>
  <c r="L147" i="2"/>
  <c r="R147" i="2"/>
  <c r="M146" i="2"/>
  <c r="N146" i="2" s="1"/>
  <c r="L146" i="2"/>
  <c r="R146" i="2"/>
  <c r="M145" i="2"/>
  <c r="N145" i="2" s="1"/>
  <c r="L145" i="2"/>
  <c r="R145" i="2"/>
  <c r="M144" i="2"/>
  <c r="N144" i="2" s="1"/>
  <c r="L144" i="2"/>
  <c r="R144" i="2"/>
  <c r="M143" i="2"/>
  <c r="N143" i="2" s="1"/>
  <c r="L143" i="2"/>
  <c r="R143" i="2"/>
  <c r="M142" i="2"/>
  <c r="N142" i="2" s="1"/>
  <c r="L142" i="2"/>
  <c r="R142" i="2"/>
  <c r="M141" i="2"/>
  <c r="N141" i="2" s="1"/>
  <c r="L141" i="2"/>
  <c r="R141" i="2"/>
  <c r="M140" i="2"/>
  <c r="N140" i="2" s="1"/>
  <c r="L140" i="2"/>
  <c r="R140" i="2"/>
  <c r="M139" i="2"/>
  <c r="N139" i="2" s="1"/>
  <c r="L139" i="2"/>
  <c r="R139" i="2"/>
  <c r="M138" i="2"/>
  <c r="N138" i="2" s="1"/>
  <c r="L138" i="2"/>
  <c r="R138" i="2"/>
  <c r="M137" i="2"/>
  <c r="N137" i="2" s="1"/>
  <c r="L137" i="2"/>
  <c r="R137" i="2"/>
  <c r="M136" i="2"/>
  <c r="N136" i="2" s="1"/>
  <c r="L136" i="2"/>
  <c r="R136" i="2"/>
  <c r="M135" i="2"/>
  <c r="N135" i="2" s="1"/>
  <c r="L135" i="2"/>
  <c r="R135" i="2"/>
  <c r="M134" i="2"/>
  <c r="N134" i="2" s="1"/>
  <c r="L134" i="2"/>
  <c r="R134" i="2"/>
  <c r="M133" i="2"/>
  <c r="N133" i="2" s="1"/>
  <c r="L133" i="2"/>
  <c r="R133" i="2"/>
  <c r="M132" i="2"/>
  <c r="N132" i="2" s="1"/>
  <c r="L132" i="2"/>
  <c r="R132" i="2"/>
  <c r="M131" i="2"/>
  <c r="N131" i="2" s="1"/>
  <c r="L131" i="2"/>
  <c r="R131" i="2"/>
  <c r="M130" i="2"/>
  <c r="N130" i="2" s="1"/>
  <c r="L130" i="2"/>
  <c r="R130" i="2"/>
  <c r="M129" i="2"/>
  <c r="N129" i="2" s="1"/>
  <c r="L129" i="2"/>
  <c r="R129" i="2"/>
  <c r="M128" i="2"/>
  <c r="N128" i="2" s="1"/>
  <c r="L128" i="2"/>
  <c r="R128" i="2"/>
  <c r="M127" i="2"/>
  <c r="N127" i="2" s="1"/>
  <c r="L127" i="2"/>
  <c r="R127" i="2"/>
  <c r="M126" i="2"/>
  <c r="N126" i="2" s="1"/>
  <c r="L126" i="2"/>
  <c r="R126" i="2"/>
  <c r="M125" i="2"/>
  <c r="N125" i="2" s="1"/>
  <c r="L125" i="2"/>
  <c r="R125" i="2"/>
  <c r="M124" i="2"/>
  <c r="N124" i="2" s="1"/>
  <c r="L124" i="2"/>
  <c r="R124" i="2"/>
  <c r="M123" i="2"/>
  <c r="N123" i="2" s="1"/>
  <c r="L123" i="2"/>
  <c r="R123" i="2"/>
  <c r="M122" i="2"/>
  <c r="N122" i="2" s="1"/>
  <c r="L122" i="2"/>
  <c r="R122" i="2"/>
  <c r="M121" i="2"/>
  <c r="N121" i="2" s="1"/>
  <c r="L121" i="2"/>
  <c r="R121" i="2"/>
  <c r="M120" i="2"/>
  <c r="N120" i="2" s="1"/>
  <c r="L120" i="2"/>
  <c r="R120" i="2"/>
  <c r="M119" i="2"/>
  <c r="N119" i="2" s="1"/>
  <c r="L119" i="2"/>
  <c r="R119" i="2"/>
  <c r="M118" i="2"/>
  <c r="N118" i="2" s="1"/>
  <c r="L118" i="2"/>
  <c r="R118" i="2"/>
  <c r="M117" i="2"/>
  <c r="N117" i="2" s="1"/>
  <c r="L117" i="2"/>
  <c r="R117" i="2"/>
  <c r="M116" i="2"/>
  <c r="N116" i="2" s="1"/>
  <c r="L116" i="2"/>
  <c r="R116" i="2"/>
  <c r="M115" i="2"/>
  <c r="N115" i="2" s="1"/>
  <c r="L115" i="2"/>
  <c r="R115" i="2"/>
  <c r="M114" i="2"/>
  <c r="N114" i="2" s="1"/>
  <c r="L114" i="2"/>
  <c r="R114" i="2"/>
  <c r="M113" i="2"/>
  <c r="N113" i="2" s="1"/>
  <c r="L113" i="2"/>
  <c r="R113" i="2"/>
  <c r="M112" i="2"/>
  <c r="N112" i="2" s="1"/>
  <c r="L112" i="2"/>
  <c r="R112" i="2"/>
  <c r="M111" i="2"/>
  <c r="N111" i="2" s="1"/>
  <c r="L111" i="2"/>
  <c r="R111" i="2"/>
  <c r="M110" i="2"/>
  <c r="N110" i="2" s="1"/>
  <c r="L110" i="2"/>
  <c r="R110" i="2"/>
  <c r="M109" i="2"/>
  <c r="N109" i="2" s="1"/>
  <c r="L109" i="2"/>
  <c r="R109" i="2"/>
  <c r="M108" i="2"/>
  <c r="N108" i="2" s="1"/>
  <c r="L108" i="2"/>
  <c r="R108" i="2"/>
  <c r="M107" i="2"/>
  <c r="N107" i="2" s="1"/>
  <c r="L107" i="2"/>
  <c r="R107" i="2"/>
  <c r="M106" i="2"/>
  <c r="N106" i="2" s="1"/>
  <c r="L106" i="2"/>
  <c r="R106" i="2"/>
  <c r="M105" i="2"/>
  <c r="N105" i="2" s="1"/>
  <c r="L105" i="2"/>
  <c r="R105" i="2"/>
  <c r="M104" i="2"/>
  <c r="N104" i="2" s="1"/>
  <c r="L104" i="2"/>
  <c r="R104" i="2"/>
  <c r="M103" i="2"/>
  <c r="N103" i="2" s="1"/>
  <c r="L103" i="2"/>
  <c r="R103" i="2"/>
  <c r="M102" i="2"/>
  <c r="N102" i="2" s="1"/>
  <c r="L102" i="2"/>
  <c r="R102" i="2"/>
  <c r="M101" i="2"/>
  <c r="N101" i="2" s="1"/>
  <c r="L101" i="2"/>
  <c r="R101" i="2"/>
  <c r="M100" i="2"/>
  <c r="N100" i="2" s="1"/>
  <c r="L100" i="2"/>
  <c r="R100" i="2"/>
  <c r="M99" i="2"/>
  <c r="N99" i="2" s="1"/>
  <c r="L99" i="2"/>
  <c r="R99" i="2"/>
  <c r="M98" i="2"/>
  <c r="N98" i="2" s="1"/>
  <c r="L98" i="2"/>
  <c r="R98" i="2"/>
  <c r="M97" i="2"/>
  <c r="N97" i="2" s="1"/>
  <c r="L97" i="2"/>
  <c r="R97" i="2"/>
  <c r="M96" i="2"/>
  <c r="N96" i="2" s="1"/>
  <c r="L96" i="2"/>
  <c r="R96" i="2"/>
  <c r="M95" i="2"/>
  <c r="N95" i="2" s="1"/>
  <c r="L95" i="2"/>
  <c r="R95" i="2"/>
  <c r="M94" i="2"/>
  <c r="N94" i="2" s="1"/>
  <c r="L94" i="2"/>
  <c r="R94" i="2"/>
  <c r="M93" i="2"/>
  <c r="N93" i="2" s="1"/>
  <c r="L93" i="2"/>
  <c r="R93" i="2"/>
  <c r="M92" i="2"/>
  <c r="N92" i="2" s="1"/>
  <c r="L92" i="2"/>
  <c r="R92" i="2"/>
  <c r="M91" i="2"/>
  <c r="N91" i="2" s="1"/>
  <c r="L91" i="2"/>
  <c r="R91" i="2"/>
  <c r="M90" i="2"/>
  <c r="N90" i="2" s="1"/>
  <c r="L90" i="2"/>
  <c r="R90" i="2"/>
  <c r="M89" i="2"/>
  <c r="N89" i="2" s="1"/>
  <c r="L89" i="2"/>
  <c r="R89" i="2"/>
  <c r="M88" i="2"/>
  <c r="N88" i="2" s="1"/>
  <c r="L88" i="2"/>
  <c r="R88" i="2"/>
  <c r="M87" i="2"/>
  <c r="N87" i="2" s="1"/>
  <c r="L87" i="2"/>
  <c r="R87" i="2"/>
  <c r="M86" i="2"/>
  <c r="N86" i="2" s="1"/>
  <c r="L86" i="2"/>
  <c r="R86" i="2"/>
  <c r="M85" i="2"/>
  <c r="N85" i="2" s="1"/>
  <c r="L85" i="2"/>
  <c r="R85" i="2"/>
  <c r="M84" i="2"/>
  <c r="N84" i="2" s="1"/>
  <c r="L84" i="2"/>
  <c r="R84" i="2"/>
  <c r="M83" i="2"/>
  <c r="N83" i="2" s="1"/>
  <c r="L83" i="2"/>
  <c r="R83" i="2"/>
  <c r="M82" i="2"/>
  <c r="N82" i="2" s="1"/>
  <c r="L82" i="2"/>
  <c r="R82" i="2"/>
  <c r="M81" i="2"/>
  <c r="N81" i="2" s="1"/>
  <c r="L81" i="2"/>
  <c r="R81" i="2"/>
  <c r="M80" i="2"/>
  <c r="N80" i="2" s="1"/>
  <c r="L80" i="2"/>
  <c r="R80" i="2"/>
  <c r="M79" i="2"/>
  <c r="N79" i="2" s="1"/>
  <c r="L79" i="2"/>
  <c r="R79" i="2"/>
  <c r="M78" i="2"/>
  <c r="N78" i="2" s="1"/>
  <c r="L78" i="2"/>
  <c r="R78" i="2"/>
  <c r="M77" i="2"/>
  <c r="N77" i="2" s="1"/>
  <c r="L77" i="2"/>
  <c r="R77" i="2"/>
  <c r="M76" i="2"/>
  <c r="N76" i="2" s="1"/>
  <c r="L76" i="2"/>
  <c r="R76" i="2"/>
  <c r="M75" i="2"/>
  <c r="N75" i="2" s="1"/>
  <c r="L75" i="2"/>
  <c r="R75" i="2"/>
  <c r="M74" i="2"/>
  <c r="N74" i="2" s="1"/>
  <c r="L74" i="2"/>
  <c r="R74" i="2"/>
  <c r="M73" i="2"/>
  <c r="N73" i="2" s="1"/>
  <c r="L73" i="2"/>
  <c r="R73" i="2"/>
  <c r="M72" i="2"/>
  <c r="N72" i="2" s="1"/>
  <c r="L72" i="2"/>
  <c r="R72" i="2"/>
  <c r="M71" i="2"/>
  <c r="N71" i="2" s="1"/>
  <c r="L71" i="2"/>
  <c r="R71" i="2"/>
  <c r="M70" i="2"/>
  <c r="N70" i="2" s="1"/>
  <c r="L70" i="2"/>
  <c r="R70" i="2"/>
  <c r="M69" i="2"/>
  <c r="N69" i="2" s="1"/>
  <c r="L69" i="2"/>
  <c r="R69" i="2"/>
  <c r="M68" i="2"/>
  <c r="N68" i="2" s="1"/>
  <c r="L68" i="2"/>
  <c r="R68" i="2"/>
  <c r="M67" i="2"/>
  <c r="N67" i="2" s="1"/>
  <c r="L67" i="2"/>
  <c r="R67" i="2"/>
  <c r="M66" i="2"/>
  <c r="N66" i="2" s="1"/>
  <c r="L66" i="2"/>
  <c r="R66" i="2"/>
  <c r="M65" i="2"/>
  <c r="N65" i="2" s="1"/>
  <c r="L65" i="2"/>
  <c r="R65" i="2"/>
  <c r="M64" i="2"/>
  <c r="N64" i="2" s="1"/>
  <c r="L64" i="2"/>
  <c r="R64" i="2"/>
  <c r="M63" i="2"/>
  <c r="N63" i="2" s="1"/>
  <c r="L63" i="2"/>
  <c r="R63" i="2"/>
  <c r="M62" i="2"/>
  <c r="N62" i="2" s="1"/>
  <c r="L62" i="2"/>
  <c r="R62" i="2"/>
  <c r="M61" i="2"/>
  <c r="N61" i="2" s="1"/>
  <c r="L61" i="2"/>
  <c r="R61" i="2"/>
  <c r="M60" i="2"/>
  <c r="N60" i="2" s="1"/>
  <c r="L60" i="2"/>
  <c r="R60" i="2"/>
  <c r="M59" i="2"/>
  <c r="N59" i="2" s="1"/>
  <c r="L59" i="2"/>
  <c r="R59" i="2"/>
  <c r="M58" i="2"/>
  <c r="N58" i="2" s="1"/>
  <c r="L58" i="2"/>
  <c r="R58" i="2"/>
  <c r="M57" i="2"/>
  <c r="N57" i="2" s="1"/>
  <c r="L57" i="2"/>
  <c r="R57" i="2"/>
  <c r="M56" i="2"/>
  <c r="N56" i="2" s="1"/>
  <c r="L56" i="2"/>
  <c r="R56" i="2"/>
  <c r="M55" i="2"/>
  <c r="N55" i="2" s="1"/>
  <c r="L55" i="2"/>
  <c r="R55" i="2"/>
  <c r="M54" i="2"/>
  <c r="N54" i="2" s="1"/>
  <c r="L54" i="2"/>
  <c r="R54" i="2"/>
  <c r="M53" i="2"/>
  <c r="N53" i="2" s="1"/>
  <c r="L53" i="2"/>
  <c r="R53" i="2"/>
  <c r="M52" i="2"/>
  <c r="N52" i="2" s="1"/>
  <c r="L52" i="2"/>
  <c r="R52" i="2"/>
  <c r="M51" i="2"/>
  <c r="N51" i="2" s="1"/>
  <c r="L51" i="2"/>
  <c r="R51" i="2"/>
  <c r="M50" i="2"/>
  <c r="N50" i="2" s="1"/>
  <c r="L50" i="2"/>
  <c r="R50" i="2"/>
  <c r="M49" i="2"/>
  <c r="N49" i="2" s="1"/>
  <c r="L49" i="2"/>
  <c r="R49" i="2"/>
  <c r="M48" i="2"/>
  <c r="N48" i="2" s="1"/>
  <c r="L48" i="2"/>
  <c r="R48" i="2"/>
  <c r="M47" i="2"/>
  <c r="N47" i="2" s="1"/>
  <c r="L47" i="2"/>
  <c r="R47" i="2"/>
  <c r="M46" i="2"/>
  <c r="N46" i="2" s="1"/>
  <c r="L46" i="2"/>
  <c r="R46" i="2"/>
  <c r="M45" i="2"/>
  <c r="N45" i="2" s="1"/>
  <c r="L45" i="2"/>
  <c r="R45" i="2"/>
  <c r="M44" i="2"/>
  <c r="N44" i="2" s="1"/>
  <c r="L44" i="2"/>
  <c r="R44" i="2"/>
  <c r="M43" i="2"/>
  <c r="N43" i="2" s="1"/>
  <c r="L43" i="2"/>
  <c r="R43" i="2"/>
  <c r="M42" i="2"/>
  <c r="N42" i="2" s="1"/>
  <c r="L42" i="2"/>
  <c r="R42" i="2"/>
  <c r="M41" i="2"/>
  <c r="N41" i="2" s="1"/>
  <c r="L41" i="2"/>
  <c r="R41" i="2"/>
  <c r="M40" i="2"/>
  <c r="N40" i="2" s="1"/>
  <c r="L40" i="2"/>
  <c r="R40" i="2"/>
  <c r="M39" i="2"/>
  <c r="N39" i="2" s="1"/>
  <c r="L39" i="2"/>
  <c r="R39" i="2"/>
  <c r="M38" i="2"/>
  <c r="N38" i="2" s="1"/>
  <c r="L38" i="2"/>
  <c r="R38" i="2"/>
  <c r="M37" i="2"/>
  <c r="N37" i="2" s="1"/>
  <c r="L37" i="2"/>
  <c r="R37" i="2"/>
  <c r="M36" i="2"/>
  <c r="N36" i="2" s="1"/>
  <c r="L36" i="2"/>
  <c r="R36" i="2"/>
  <c r="M35" i="2"/>
  <c r="N35" i="2" s="1"/>
  <c r="L35" i="2"/>
  <c r="R35" i="2"/>
  <c r="M34" i="2"/>
  <c r="N34" i="2" s="1"/>
  <c r="L34" i="2"/>
  <c r="R34" i="2"/>
  <c r="M33" i="2"/>
  <c r="N33" i="2" s="1"/>
  <c r="L33" i="2"/>
  <c r="R33" i="2"/>
  <c r="M32" i="2"/>
  <c r="N32" i="2" s="1"/>
  <c r="L32" i="2"/>
  <c r="R32" i="2"/>
  <c r="M31" i="2"/>
  <c r="N31" i="2" s="1"/>
  <c r="L31" i="2"/>
  <c r="R31" i="2"/>
  <c r="M30" i="2"/>
  <c r="N30" i="2" s="1"/>
  <c r="L30" i="2"/>
  <c r="R30" i="2"/>
  <c r="M29" i="2"/>
  <c r="N29" i="2" s="1"/>
  <c r="L29" i="2"/>
  <c r="R29" i="2"/>
  <c r="M28" i="2"/>
  <c r="N28" i="2" s="1"/>
  <c r="L28" i="2"/>
  <c r="R28" i="2"/>
  <c r="M27" i="2"/>
  <c r="N27" i="2" s="1"/>
  <c r="L27" i="2"/>
  <c r="R27" i="2"/>
  <c r="M26" i="2"/>
  <c r="N26" i="2" s="1"/>
  <c r="L26" i="2"/>
  <c r="R26" i="2"/>
  <c r="M25" i="2"/>
  <c r="N25" i="2" s="1"/>
  <c r="L25" i="2"/>
  <c r="R25" i="2"/>
  <c r="M24" i="2"/>
  <c r="N24" i="2" s="1"/>
  <c r="L24" i="2"/>
  <c r="R24" i="2"/>
  <c r="M23" i="2"/>
  <c r="N23" i="2" s="1"/>
  <c r="L23" i="2"/>
  <c r="R23" i="2"/>
  <c r="M22" i="2"/>
  <c r="N22" i="2" s="1"/>
  <c r="L22" i="2"/>
  <c r="R22" i="2"/>
  <c r="M21" i="2"/>
  <c r="N21" i="2" s="1"/>
  <c r="L21" i="2"/>
  <c r="R21" i="2"/>
  <c r="M20" i="2"/>
  <c r="N20" i="2" s="1"/>
  <c r="L20" i="2"/>
  <c r="R20" i="2"/>
  <c r="M19" i="2"/>
  <c r="N19" i="2" s="1"/>
  <c r="L19" i="2"/>
  <c r="R19" i="2"/>
  <c r="M18" i="2"/>
  <c r="L18" i="2"/>
  <c r="R18" i="2"/>
  <c r="K16" i="2"/>
  <c r="I16" i="2"/>
  <c r="M15" i="2"/>
  <c r="R15" i="2" s="1"/>
  <c r="L15" i="2"/>
  <c r="M14" i="2"/>
  <c r="R14" i="2" s="1"/>
  <c r="L14" i="2"/>
  <c r="M13" i="2"/>
  <c r="R13" i="2" s="1"/>
  <c r="L13" i="2"/>
  <c r="M12" i="2"/>
  <c r="N12" i="2" s="1"/>
  <c r="L12" i="2"/>
  <c r="M11" i="2"/>
  <c r="R11" i="2" s="1"/>
  <c r="L11" i="2"/>
  <c r="M10" i="2"/>
  <c r="R10" i="2" s="1"/>
  <c r="L10" i="2"/>
  <c r="M9" i="2"/>
  <c r="R9" i="2" s="1"/>
  <c r="L9" i="2"/>
  <c r="M8" i="2"/>
  <c r="N8" i="2" s="1"/>
  <c r="L8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M7" i="2"/>
  <c r="R7" i="2" s="1"/>
  <c r="L7" i="2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L16" i="2"/>
  <c r="N10" i="2"/>
  <c r="N14" i="2"/>
  <c r="R8" i="2"/>
  <c r="R12" i="2"/>
  <c r="R302" i="2"/>
  <c r="L302" i="2"/>
  <c r="I304" i="2"/>
  <c r="K304" i="2"/>
  <c r="M302" i="2"/>
  <c r="N9" i="2"/>
  <c r="R301" i="2"/>
  <c r="M273" i="2"/>
  <c r="N13" i="2"/>
  <c r="L273" i="2"/>
  <c r="N18" i="2"/>
  <c r="M16" i="2"/>
  <c r="L301" i="2"/>
  <c r="N7" i="2"/>
  <c r="N15" i="2"/>
  <c r="M301" i="2"/>
  <c r="N11" i="2"/>
  <c r="R273" i="2"/>
  <c r="N275" i="2"/>
  <c r="R16" i="2" l="1"/>
  <c r="R304" i="2" s="1"/>
  <c r="C11" i="4" s="1"/>
  <c r="M304" i="2"/>
  <c r="L304" i="2"/>
  <c r="C12" i="4" l="1"/>
  <c r="C13" i="4" s="1"/>
  <c r="C34" i="4" s="1"/>
  <c r="C16" i="4" l="1"/>
  <c r="C30" i="4"/>
  <c r="C31" i="4" s="1"/>
  <c r="C38" i="4" s="1"/>
  <c r="C15" i="4" l="1"/>
  <c r="C18" i="4" s="1"/>
  <c r="G12" i="4" s="1"/>
  <c r="G11" i="4"/>
  <c r="G17" i="4" l="1"/>
  <c r="G18" i="4" s="1"/>
</calcChain>
</file>

<file path=xl/sharedStrings.xml><?xml version="1.0" encoding="utf-8"?>
<sst xmlns="http://schemas.openxmlformats.org/spreadsheetml/2006/main" count="3075" uniqueCount="745">
  <si>
    <t>Cascade Natural Gas Corp.</t>
  </si>
  <si>
    <t>Docket UG-240008</t>
  </si>
  <si>
    <t>2024 Provisional Plant Review</t>
  </si>
  <si>
    <t>Line No.</t>
  </si>
  <si>
    <t>Project/Portfolio Review</t>
  </si>
  <si>
    <t>Witness</t>
  </si>
  <si>
    <t>Funding Project</t>
  </si>
  <si>
    <t xml:space="preserve"> Description      </t>
  </si>
  <si>
    <t xml:space="preserve">FERC Account No. </t>
  </si>
  <si>
    <t>Closed to Plant (Month/Year)</t>
  </si>
  <si>
    <t>WA Actual 2024 Cost</t>
  </si>
  <si>
    <t>Signif. Cost Variance - $500k or 10%</t>
  </si>
  <si>
    <t>Signif. Cost Overrun</t>
  </si>
  <si>
    <t>Index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</si>
  <si>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</si>
  <si>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</si>
  <si>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</si>
  <si>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</si>
  <si>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</si>
  <si>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</si>
  <si>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</si>
  <si>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</si>
  <si>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</si>
  <si>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</si>
  <si>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</si>
  <si>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</si>
  <si>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</si>
  <si>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</si>
  <si>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</si>
  <si>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A</t>
  </si>
  <si>
    <t>Project Review</t>
  </si>
  <si>
    <t>Gilchrist</t>
  </si>
  <si>
    <t>FP-101480</t>
  </si>
  <si>
    <t>UG-Work Asset Management (2024)</t>
  </si>
  <si>
    <t>-</t>
  </si>
  <si>
    <t>Darras</t>
  </si>
  <si>
    <t>FP-316046</t>
  </si>
  <si>
    <t>C/M RPL; 8" HP; YAKIMA; PH1</t>
  </si>
  <si>
    <t>Yes</t>
  </si>
  <si>
    <t>FP-318186</t>
  </si>
  <si>
    <t>Sys Safety &amp; Integrity Mains Rpl-WA</t>
  </si>
  <si>
    <t>FP-318187</t>
  </si>
  <si>
    <t>Sys Safety &amp; Integrity Srvcs Rpl-WA</t>
  </si>
  <si>
    <t>FP-319057</t>
  </si>
  <si>
    <t>RF-S. KENN TBS-CNGC</t>
  </si>
  <si>
    <t>Appendix I, Page 9</t>
  </si>
  <si>
    <t>FP-319061</t>
  </si>
  <si>
    <t>RF-8" PE-KENN-2,500'</t>
  </si>
  <si>
    <t>FP-319111</t>
  </si>
  <si>
    <t>MAOP MAIN RPL CNG WA</t>
  </si>
  <si>
    <t>FP-320034</t>
  </si>
  <si>
    <t>RF; S. KENN GATE-WILLIAMS</t>
  </si>
  <si>
    <t>FP-321116</t>
  </si>
  <si>
    <t>RP; 4" HP, WAPATO, 31,000'</t>
  </si>
  <si>
    <t>Appendix I, Page 17</t>
  </si>
  <si>
    <t>AA</t>
  </si>
  <si>
    <t>Total Project Review</t>
  </si>
  <si>
    <t>Total</t>
  </si>
  <si>
    <t/>
  </si>
  <si>
    <t>AB</t>
  </si>
  <si>
    <t>B</t>
  </si>
  <si>
    <t>Portfolio Review</t>
  </si>
  <si>
    <t>Capital Lease</t>
  </si>
  <si>
    <t>Locus View Lease</t>
  </si>
  <si>
    <t>Martuscelli</t>
  </si>
  <si>
    <t>FP-101163</t>
  </si>
  <si>
    <t>Gas Work Equipment-CNGC</t>
  </si>
  <si>
    <t>FP-101164</t>
  </si>
  <si>
    <t>IT Network Equipment-CNG</t>
  </si>
  <si>
    <t>FP-101190</t>
  </si>
  <si>
    <t>MAIN-GROWTH-WASHINGTON</t>
  </si>
  <si>
    <t>FP-101194</t>
  </si>
  <si>
    <t>Dist Reg Station Growth Washington</t>
  </si>
  <si>
    <t>FP-101196</t>
  </si>
  <si>
    <t>Dist Reg Station Replace Washington</t>
  </si>
  <si>
    <t>FP-101210</t>
  </si>
  <si>
    <t>Gas Meters-Total Company CNGC</t>
  </si>
  <si>
    <t>FP-101215</t>
  </si>
  <si>
    <t>Gas Vehicles-CNGC</t>
  </si>
  <si>
    <t>FP-101259</t>
  </si>
  <si>
    <t>Gas Regulators-Total Company CNGC</t>
  </si>
  <si>
    <t>Tillis</t>
  </si>
  <si>
    <t>FP-200064</t>
  </si>
  <si>
    <t>UG-Customer Self Service Web/IVRCNG</t>
  </si>
  <si>
    <t>FP-200662</t>
  </si>
  <si>
    <t>Personal Computers&amp;Peripherals CNGC</t>
  </si>
  <si>
    <t>FP-302369</t>
  </si>
  <si>
    <t>Gas Cathodic Protection - WA</t>
  </si>
  <si>
    <t>FP-316018</t>
  </si>
  <si>
    <t>C/M RPL; 2/4" HP; WHEELER; 7,500'</t>
  </si>
  <si>
    <t>FP-316031</t>
  </si>
  <si>
    <t>C/M RPL; 3" HP; S TOPPENISH; 6,161'</t>
  </si>
  <si>
    <t>FP-316032</t>
  </si>
  <si>
    <t>C/M RPL; 2/3" HP; SUNNYSIDE; 8,612'</t>
  </si>
  <si>
    <t>FP-316044</t>
  </si>
  <si>
    <t>C/M RPL; 8" HP; BREMERTON; 4,510'</t>
  </si>
  <si>
    <t>FP-316406</t>
  </si>
  <si>
    <t>RP; 8" HP ST; BREMRTN, 500' EXPOSD</t>
  </si>
  <si>
    <t>FP-316429</t>
  </si>
  <si>
    <t>RF; 8" HP; ABER; 12,500' BASICH BLV</t>
  </si>
  <si>
    <t>Appendix I, Page 33</t>
  </si>
  <si>
    <t>FP-316445</t>
  </si>
  <si>
    <t>Toughbook Replacements-CNG</t>
  </si>
  <si>
    <t>Boese</t>
  </si>
  <si>
    <t>FP-316451</t>
  </si>
  <si>
    <t>UG-PCAD Annual Enhancements-CNG</t>
  </si>
  <si>
    <t>FP-316832</t>
  </si>
  <si>
    <t>Office Structure &amp; Eq-Kennewick GO</t>
  </si>
  <si>
    <t>FP-316980</t>
  </si>
  <si>
    <t>UPGRADE YAKIMA GATE STATION</t>
  </si>
  <si>
    <t>FP-317064</t>
  </si>
  <si>
    <t>RF; 6" PE; BELL; 6,700' Fraser St</t>
  </si>
  <si>
    <t>FP-317065</t>
  </si>
  <si>
    <t>RP; 6" HP; BELL; 2500'; Meador Ave</t>
  </si>
  <si>
    <t>Appendix I, Page 25</t>
  </si>
  <si>
    <t>FP-317565</t>
  </si>
  <si>
    <t>Impl Work Asset Mgmt Hardware-CNG</t>
  </si>
  <si>
    <t>FP-317609</t>
  </si>
  <si>
    <t>GR; R-81 ABER; BASICH BLV</t>
  </si>
  <si>
    <t>FP-317628</t>
  </si>
  <si>
    <t>MAIN-GROWTH-WALLA WALLA DISTRICT</t>
  </si>
  <si>
    <t>FP-317629</t>
  </si>
  <si>
    <t>MAIN-REPLACE-WALLA WALLA DISTRICT</t>
  </si>
  <si>
    <t>FP-317630</t>
  </si>
  <si>
    <t>SERV-GROWTH-WALLA WALLA DISTRICT</t>
  </si>
  <si>
    <t>FP-317631</t>
  </si>
  <si>
    <t>SERV-REPLACE-WALLA WALLA DISTRICT</t>
  </si>
  <si>
    <t>FP-317632</t>
  </si>
  <si>
    <t>MAIN-GROWTH-WENATCHEE DISTRICT</t>
  </si>
  <si>
    <t>FP-317633</t>
  </si>
  <si>
    <t>MAIN-REPLACE-WENATCHEE DISTRICT</t>
  </si>
  <si>
    <t>FP-317634</t>
  </si>
  <si>
    <t>SERV-GROWTH-WENATCHEE DISTRICT</t>
  </si>
  <si>
    <t>FP-317635</t>
  </si>
  <si>
    <t>SERV-REPLACE-WENATCHEE DISTRICT</t>
  </si>
  <si>
    <t>FP-317636</t>
  </si>
  <si>
    <t>MAIN-GROWTH-YAKIMA DISTRICT</t>
  </si>
  <si>
    <t>FP-317637</t>
  </si>
  <si>
    <t>MAIN-REPLACE-YAKIMA DISTRICT</t>
  </si>
  <si>
    <t>FP-317638</t>
  </si>
  <si>
    <t>SERV-GROWTH-YAKIMA DISTRICT</t>
  </si>
  <si>
    <t>FP-317639</t>
  </si>
  <si>
    <t>SERV-REPLACE-YAKIMA DISTRICT</t>
  </si>
  <si>
    <t>FP-317640</t>
  </si>
  <si>
    <t>MAIN-GROWTH-ABERDEEN DISTRICT</t>
  </si>
  <si>
    <t>FP-317641</t>
  </si>
  <si>
    <t>MAIN-REPLACE-ABERDEEN DISTRICT</t>
  </si>
  <si>
    <t>FP-317642</t>
  </si>
  <si>
    <t>SERV-GROWTH-ABERDEEN DISTRICT</t>
  </si>
  <si>
    <t>FP-317643</t>
  </si>
  <si>
    <t>SERV-REPLACE-ABERDEEN DISTRICT</t>
  </si>
  <si>
    <t>FP-317644</t>
  </si>
  <si>
    <t>MAIN-GROWTH-BELLINGHAM DISTRICT</t>
  </si>
  <si>
    <t>FP-317645</t>
  </si>
  <si>
    <t>MAIN-REPLACE-BELLINGHAM DISTRICT</t>
  </si>
  <si>
    <t>FP-317646</t>
  </si>
  <si>
    <t>SERV-GROWTH-BELLINGHAM DISTRICT</t>
  </si>
  <si>
    <t>FP-317647</t>
  </si>
  <si>
    <t>SERV-REPLACE-BELLINGHAM DISTRICT</t>
  </si>
  <si>
    <t>FP-317648</t>
  </si>
  <si>
    <t>MAIN-GROWTH-BREMERTON DISTRICT</t>
  </si>
  <si>
    <t>FP-317649</t>
  </si>
  <si>
    <t>MAIN-REPLACE-BREMERTON DISTRICT</t>
  </si>
  <si>
    <t>FP-317650</t>
  </si>
  <si>
    <t>SERV-GROWTH-BREMERTON DISTRICT</t>
  </si>
  <si>
    <t>FP-317651</t>
  </si>
  <si>
    <t>SERV-REPLACE-BREMERTON DISTRICT</t>
  </si>
  <si>
    <t>FP-317652</t>
  </si>
  <si>
    <t>MAIN-GROWTH-LONGVIEW DISTRICT</t>
  </si>
  <si>
    <t>FP-317653</t>
  </si>
  <si>
    <t>MAIN-REPLACE-LONGVIEW DISTRICT</t>
  </si>
  <si>
    <t>FP-317654</t>
  </si>
  <si>
    <t>SERV-GROWTH-LONGVIEW DISTRICT</t>
  </si>
  <si>
    <t>FP-317655</t>
  </si>
  <si>
    <t>SERV-REPLACE-LONGVIEW DISTRICT</t>
  </si>
  <si>
    <t>FP-317656</t>
  </si>
  <si>
    <t>MAIN-GROWTH-MT VERNON DISTRICT</t>
  </si>
  <si>
    <t>FP-317657</t>
  </si>
  <si>
    <t>MAIN-REPLACE-MT VERNON DISTRICT</t>
  </si>
  <si>
    <t>FP-317658</t>
  </si>
  <si>
    <t>SERV-GROWTH-MT VERNON DISTRICT</t>
  </si>
  <si>
    <t>FP-317659</t>
  </si>
  <si>
    <t>SERV-REPLACE-MT VERNON DISTRICT</t>
  </si>
  <si>
    <t>FP-317744</t>
  </si>
  <si>
    <t>Tools &amp; Minor Work Equip CNG WA</t>
  </si>
  <si>
    <t>FP-317750</t>
  </si>
  <si>
    <t>MAIN-GROWTH-KENNEWICK DISTRICT</t>
  </si>
  <si>
    <t>FP-317751</t>
  </si>
  <si>
    <t>MAIN-REPLACE-KENNEWICK DISTRICT</t>
  </si>
  <si>
    <t>FP-317752</t>
  </si>
  <si>
    <t>SERV-GROWTH-KENNEWICK DISTRICT</t>
  </si>
  <si>
    <t>FP-317753</t>
  </si>
  <si>
    <t>SERV-REPLACE-KENNEWICK DISTRICT</t>
  </si>
  <si>
    <t>FP-318092</t>
  </si>
  <si>
    <t>HPSS Replacements CNG WA</t>
  </si>
  <si>
    <t>FP-318192</t>
  </si>
  <si>
    <t>Fixed Network Equipment-CNG</t>
  </si>
  <si>
    <t>FP-318197</t>
  </si>
  <si>
    <t>Gas SCADA Equipment-CNG</t>
  </si>
  <si>
    <t>FP-318211</t>
  </si>
  <si>
    <t>Communications Equipment CNG</t>
  </si>
  <si>
    <t>FP-318566</t>
  </si>
  <si>
    <t>RP-Brem-R-Werener&amp;Twin View R-21</t>
  </si>
  <si>
    <t>FP-318656</t>
  </si>
  <si>
    <t>RF-OAKH-4"PE-2.1MI</t>
  </si>
  <si>
    <t>FP-318740</t>
  </si>
  <si>
    <t>RF-Walla-8800ft 6"PE Cottonwood Rd</t>
  </si>
  <si>
    <t>FP-318800</t>
  </si>
  <si>
    <t>Longview S. Gate Upgrade - CNG Side</t>
  </si>
  <si>
    <t>FP-319027</t>
  </si>
  <si>
    <t>RP-Topp-TM-Canal Crossings</t>
  </si>
  <si>
    <t>FP-319029</t>
  </si>
  <si>
    <t>RP-MTVE-MTR-N TEXAS RD</t>
  </si>
  <si>
    <t>FP-319055</t>
  </si>
  <si>
    <t>RF; 12" &amp; 6" HP; RICH; 3.3 mi</t>
  </si>
  <si>
    <t>FP-319112</t>
  </si>
  <si>
    <t>MAOP SERV RPL CNG WA</t>
  </si>
  <si>
    <t>FP-319839</t>
  </si>
  <si>
    <t>Dischrge Coalescnt Filtr-BURL COMP</t>
  </si>
  <si>
    <t>FP-320004</t>
  </si>
  <si>
    <t>C/M RPL; 3" HP; PROSSER; 1,500'</t>
  </si>
  <si>
    <t>FP-320006</t>
  </si>
  <si>
    <t>C/M RPL; 3" HP; BURLINGTON; 410'</t>
  </si>
  <si>
    <t>FP-320007</t>
  </si>
  <si>
    <t>MAOP; 16" TM; MARCH POINT; 20'</t>
  </si>
  <si>
    <t>FP-320106</t>
  </si>
  <si>
    <t>GR-BurlingtonSouthFeed-6"PE-DP</t>
  </si>
  <si>
    <t>Appendix I, Page 21</t>
  </si>
  <si>
    <t>FP-320114</t>
  </si>
  <si>
    <t>R-21 Replacement - Castle Rock</t>
  </si>
  <si>
    <t>FP-320161</t>
  </si>
  <si>
    <t>RF-RICH R-133</t>
  </si>
  <si>
    <t>FP-320223</t>
  </si>
  <si>
    <t>Indust Reg Stations-Growth-CNGC WA</t>
  </si>
  <si>
    <t>FP-320224</t>
  </si>
  <si>
    <t>Indust Reg Stations-Replace-CNGC WA</t>
  </si>
  <si>
    <t>FP-320486</t>
  </si>
  <si>
    <t>C/M; 12" HP; LONG; 1,220' WESTROCK</t>
  </si>
  <si>
    <t>FP-320934</t>
  </si>
  <si>
    <t>PUR Trng Props Bremerton WA Trl.</t>
  </si>
  <si>
    <t>FP-320935</t>
  </si>
  <si>
    <t>PUR Trng Props Kennewick Wa Trlr</t>
  </si>
  <si>
    <t>FP-320999</t>
  </si>
  <si>
    <t>UG ThoughtSpot Betterment CNG</t>
  </si>
  <si>
    <t>FP-321243</t>
  </si>
  <si>
    <t>C/M RPL; 8" HP; WALLA WALLA; 4,595'</t>
  </si>
  <si>
    <t>Nygard</t>
  </si>
  <si>
    <t>FP-321327</t>
  </si>
  <si>
    <t>UG - CC&amp;B Upgrade&amp;Betterments CNGC</t>
  </si>
  <si>
    <t>FP-321468</t>
  </si>
  <si>
    <t>C/M RPL; 6" HP TOPP-ZILLAH; 2,400'</t>
  </si>
  <si>
    <t>Link</t>
  </si>
  <si>
    <t>FP-321557</t>
  </si>
  <si>
    <t>Gass SCADA cellular modems CNGC</t>
  </si>
  <si>
    <t>FP-321574</t>
  </si>
  <si>
    <t>UG-Powerplan Upgrade 2024 CNGC</t>
  </si>
  <si>
    <t>FP-321753</t>
  </si>
  <si>
    <t>RL-8" HP-4,500' PASCO-DARIGOLD</t>
  </si>
  <si>
    <t>FP-321795</t>
  </si>
  <si>
    <t>RP; 3" ST; BELL; 2549 ALLEY PROJ</t>
  </si>
  <si>
    <t>FP-321846</t>
  </si>
  <si>
    <t>RF; 2"PE; RICH; MEADOW HILLS</t>
  </si>
  <si>
    <t>FP-321861</t>
  </si>
  <si>
    <t>RF; 6" PE; KENN; 2000' OLYMPIA</t>
  </si>
  <si>
    <t>FP-321983</t>
  </si>
  <si>
    <t>GR; 2" PE; VIEW; 6,000'</t>
  </si>
  <si>
    <t>FP-322053</t>
  </si>
  <si>
    <t>GR; 4" PE; PASC; 1500 HYW12</t>
  </si>
  <si>
    <t>FP-322143</t>
  </si>
  <si>
    <t>RL; 6" HP; MTVE; 100'</t>
  </si>
  <si>
    <t>FP-322144</t>
  </si>
  <si>
    <t>Instl Main Gibralter Rd Anacortes</t>
  </si>
  <si>
    <t>FP-322165</t>
  </si>
  <si>
    <t>MAOP; R-096 (R-001) YAKIMA</t>
  </si>
  <si>
    <t>FP-322173</t>
  </si>
  <si>
    <t>MAOP; R-097 YAKIMA</t>
  </si>
  <si>
    <t>FP-322205</t>
  </si>
  <si>
    <t>RP; 2" HP; FERN; 40' R-93</t>
  </si>
  <si>
    <t>FP-322219</t>
  </si>
  <si>
    <t>RP; 6" ST; MOSE; 200'</t>
  </si>
  <si>
    <t>FP-322305</t>
  </si>
  <si>
    <t>MAOP; R-59 OAKH; BLDG</t>
  </si>
  <si>
    <t>FP-322385</t>
  </si>
  <si>
    <t xml:space="preserve">FRL; 2" PE; LONG; 2,000' 46TH AVE.	</t>
  </si>
  <si>
    <t>FP-322468</t>
  </si>
  <si>
    <t>PURCHASE RMLD MT VERNON</t>
  </si>
  <si>
    <t>FP-322488</t>
  </si>
  <si>
    <t>PUR (2) STOP MACHINES MT VERNON</t>
  </si>
  <si>
    <t>FP-322504</t>
  </si>
  <si>
    <t>RP-4" HP MN-PASCO-160'</t>
  </si>
  <si>
    <t>FP-322580</t>
  </si>
  <si>
    <t>Purchase MBW Air Rammer Kelso</t>
  </si>
  <si>
    <t>FP-322598</t>
  </si>
  <si>
    <t>Install Generator -Bremerton Office</t>
  </si>
  <si>
    <t>FP-322634</t>
  </si>
  <si>
    <t>Purchase Pavement Breaker Kelso</t>
  </si>
  <si>
    <t>FP-322655</t>
  </si>
  <si>
    <t>Purch (2) RD8100 Locators Mt Vernon</t>
  </si>
  <si>
    <t>FP-322683</t>
  </si>
  <si>
    <t>GR-6" PE-ABER-5000' FRONT ST</t>
  </si>
  <si>
    <t>FP-322783</t>
  </si>
  <si>
    <t>RF; LAND FOR 6 MILE 20IN BURLINGTON</t>
  </si>
  <si>
    <t>FP-322784</t>
  </si>
  <si>
    <t>RF; R-197 PULVER RD, BURLING</t>
  </si>
  <si>
    <t>FP-322912</t>
  </si>
  <si>
    <t>UG PUR AR/VR Trainng Dvlpmnt CNG GO</t>
  </si>
  <si>
    <t>FP-323040</t>
  </si>
  <si>
    <t>RP-8" STL-WALL-CLINTON 400'</t>
  </si>
  <si>
    <t>FP-323166</t>
  </si>
  <si>
    <t>RP Bremerton R-023</t>
  </si>
  <si>
    <t>FP-323236</t>
  </si>
  <si>
    <t>RPL MN - SHORTED CASING - WA</t>
  </si>
  <si>
    <t>FP-323429</t>
  </si>
  <si>
    <t>Fredonia CS camera upgrade</t>
  </si>
  <si>
    <t>FP-323431</t>
  </si>
  <si>
    <t>GR L'view -2" HP MN, Divert INC RNG</t>
  </si>
  <si>
    <t>FP-323432</t>
  </si>
  <si>
    <t>INST RNG RS, DIVERT INC, Longview</t>
  </si>
  <si>
    <t>FP-323434</t>
  </si>
  <si>
    <t>INST RNG ODRIZR, DIVERT INC, L'VIEW</t>
  </si>
  <si>
    <t>FP-323435</t>
  </si>
  <si>
    <t>INST RNG MTR SET, DIVERT INC, LVIEW</t>
  </si>
  <si>
    <t>FP-323447</t>
  </si>
  <si>
    <t>RNG- Horn Rapids Pipeline 6"PE</t>
  </si>
  <si>
    <t>FP-323470</t>
  </si>
  <si>
    <t>RNG; Lamb Weston Richland 4" Steel</t>
  </si>
  <si>
    <t>FP-323530</t>
  </si>
  <si>
    <t>Instl PE Main McCormick N Pt Orchrd</t>
  </si>
  <si>
    <t>FP-323595</t>
  </si>
  <si>
    <t>RF; 4" PE; 10,000'; Lynden</t>
  </si>
  <si>
    <t>FP-323596</t>
  </si>
  <si>
    <t>RF; 6" PE; 5,350'; Everson</t>
  </si>
  <si>
    <t>FP-323627</t>
  </si>
  <si>
    <t>Fredonia CS Piston Rod Upgrade</t>
  </si>
  <si>
    <t>FP-323628</t>
  </si>
  <si>
    <t>Fredonia CS LEL detector upgrade</t>
  </si>
  <si>
    <t>FP-323630</t>
  </si>
  <si>
    <t>RP-BURBANK R-6 (R-142) MAIN</t>
  </si>
  <si>
    <t>FP-323636</t>
  </si>
  <si>
    <t>RP-SHEL R-17 (R-84) MAIN</t>
  </si>
  <si>
    <t>FP-323715</t>
  </si>
  <si>
    <t>FRL; 2" PE; EAST;400'</t>
  </si>
  <si>
    <t>FP-323730</t>
  </si>
  <si>
    <t>RP-SHEL R-17 (R-84)</t>
  </si>
  <si>
    <t>FP-323731</t>
  </si>
  <si>
    <t>Fredonia CS Scrubber Replacement</t>
  </si>
  <si>
    <t>FP-323746</t>
  </si>
  <si>
    <t>MAOP; R-100(R-52) SIDE;</t>
  </si>
  <si>
    <t>FP-323756</t>
  </si>
  <si>
    <t>RL-2" HP-900' Burbank</t>
  </si>
  <si>
    <t>FP-323791</t>
  </si>
  <si>
    <t>Purchase Mueller Tools - Bellingham</t>
  </si>
  <si>
    <t>FP-323795</t>
  </si>
  <si>
    <t>Fredonia CS Flame / PLC spare parts</t>
  </si>
  <si>
    <t>FP-323823</t>
  </si>
  <si>
    <t>RP; R-81 WHEE; RPL (R-53 &amp; R-54)</t>
  </si>
  <si>
    <t>FP-323826</t>
  </si>
  <si>
    <t>CC&amp;B Enhancement for CNGC</t>
  </si>
  <si>
    <t>FP-323833</t>
  </si>
  <si>
    <t>RP; 2" PE; LONG; 550' 1291 INDUSTRI</t>
  </si>
  <si>
    <t>FP-323836</t>
  </si>
  <si>
    <t>RP; 2" ST; LONG; 75' 58 E. PORT WAY</t>
  </si>
  <si>
    <t>FP-323837</t>
  </si>
  <si>
    <t>RP; 4" ST; LONG; 50' LAUREL RD &amp; P</t>
  </si>
  <si>
    <t>FP-323909</t>
  </si>
  <si>
    <t>Yakima Enclose Canopy CS Fab</t>
  </si>
  <si>
    <t>FP-323917</t>
  </si>
  <si>
    <t>PURCHASE BEVELING MACHINE MT VERNON</t>
  </si>
  <si>
    <t>FP-323918</t>
  </si>
  <si>
    <t>Purchase Fresh Air Paks Mt Vernon</t>
  </si>
  <si>
    <t>FP-323926</t>
  </si>
  <si>
    <t>Repl Mueller Equip CS WA</t>
  </si>
  <si>
    <t>FP-323951</t>
  </si>
  <si>
    <t>Purch Leak Survey Equip Kennewick</t>
  </si>
  <si>
    <t>FP-323967</t>
  </si>
  <si>
    <t>UG-CNG PUR AR/VR Gas Emrgncy Rspns</t>
  </si>
  <si>
    <t>FP-323968</t>
  </si>
  <si>
    <t>UG-CNG PUR AR/VR I-Leak Upg/Enhance</t>
  </si>
  <si>
    <t>FP-324005</t>
  </si>
  <si>
    <t>RP; 4" PE &amp; 6" STL; ANAC; 1200'</t>
  </si>
  <si>
    <t>FP-324015</t>
  </si>
  <si>
    <t>PUR FORKLIFT SPREADER BAR MT VERNON</t>
  </si>
  <si>
    <t>FP-324018</t>
  </si>
  <si>
    <t>Purchase Steel Squeezer Elma</t>
  </si>
  <si>
    <t>FP-324020</t>
  </si>
  <si>
    <t>UG-Locusview Software - CNGC</t>
  </si>
  <si>
    <t>FP-324021</t>
  </si>
  <si>
    <t>FRL; R-195 (R-170) ANAC</t>
  </si>
  <si>
    <t>FP-324035</t>
  </si>
  <si>
    <t>UG-IQ Geo Enhancements CNGC</t>
  </si>
  <si>
    <t>FP-324053</t>
  </si>
  <si>
    <t>CONST Training Yard Elma D Off</t>
  </si>
  <si>
    <t>FP-324101</t>
  </si>
  <si>
    <t>C/M RPL; 8" TM; ANACORTES; 3,000'</t>
  </si>
  <si>
    <t>FP-324134</t>
  </si>
  <si>
    <t>PURCH SPREADER BAR BELLINGHAM</t>
  </si>
  <si>
    <t>FP-324146</t>
  </si>
  <si>
    <t>Pur Shop Air Compressor Walla Walla</t>
  </si>
  <si>
    <t>FP-324239</t>
  </si>
  <si>
    <t>Purch Electric Grease Gun Mt Vernon</t>
  </si>
  <si>
    <t>FP-324251</t>
  </si>
  <si>
    <t>Purch AED for Bellingham WA</t>
  </si>
  <si>
    <t>FP-324253</t>
  </si>
  <si>
    <t>Purch PAPR's for Washington 2024</t>
  </si>
  <si>
    <t>FP-324259</t>
  </si>
  <si>
    <t>Repl SAN &amp; FC Switches CNGC GO</t>
  </si>
  <si>
    <t>FP-324263</t>
  </si>
  <si>
    <t>Replace Office Servers CNG</t>
  </si>
  <si>
    <t>FP-324273</t>
  </si>
  <si>
    <t>Purch Electric Grease Gun Longview</t>
  </si>
  <si>
    <t>FP-324274</t>
  </si>
  <si>
    <t>Purch Electric Grease Gun Kennewick</t>
  </si>
  <si>
    <t>FP-324276</t>
  </si>
  <si>
    <t>Replace Vacuum Pump Yak MS</t>
  </si>
  <si>
    <t>FP-324281</t>
  </si>
  <si>
    <t>Add HEPA Vacuum at the CNG meter sh</t>
  </si>
  <si>
    <t>FP-324301</t>
  </si>
  <si>
    <t>Pur Completion Machine Mt Vern CS</t>
  </si>
  <si>
    <t>FP-324315</t>
  </si>
  <si>
    <t>Pur 12in Shell Cutter Mt Vernon CS</t>
  </si>
  <si>
    <t>FP-324342</t>
  </si>
  <si>
    <t>RP; 2" ST; BELL; 360'; FLORA/UNITY</t>
  </si>
  <si>
    <t>FP-324375</t>
  </si>
  <si>
    <t>Rpl Main Nelson Rd/Ctr Vly Brmrtn</t>
  </si>
  <si>
    <t>FP-324409</t>
  </si>
  <si>
    <t>UG - Trellis Energy Software CNGC</t>
  </si>
  <si>
    <t>FP-324475</t>
  </si>
  <si>
    <t>Pur Elec Fume Extractor Mt Ver CS</t>
  </si>
  <si>
    <t>FP-324480</t>
  </si>
  <si>
    <t>Pur 2 Custom Pallets Mt Vernon CS</t>
  </si>
  <si>
    <t>FP-324495</t>
  </si>
  <si>
    <t>Fredonia CS Storage Shed</t>
  </si>
  <si>
    <t>FP-324502</t>
  </si>
  <si>
    <t>Fredonia CS Update facility Lights</t>
  </si>
  <si>
    <t>FP-324503</t>
  </si>
  <si>
    <t>Purchase Traffic Plates Walla Walla</t>
  </si>
  <si>
    <t>FP-324524</t>
  </si>
  <si>
    <t>Purch Fork Lift Spreader Bar Kelso</t>
  </si>
  <si>
    <t>FP-324527</t>
  </si>
  <si>
    <t>Purch Fork Lift Spreader Bar Elma</t>
  </si>
  <si>
    <t>FP-324530</t>
  </si>
  <si>
    <t>Purchase Mueller Gate Valves Kelso</t>
  </si>
  <si>
    <t>FP-324556</t>
  </si>
  <si>
    <t>CNGC-Picarro Leak Survey Equipment</t>
  </si>
  <si>
    <t>FP-324559</t>
  </si>
  <si>
    <t>Purchase Shop Welder Bremerton</t>
  </si>
  <si>
    <t>FP-324581</t>
  </si>
  <si>
    <t>RF-OAKH-4"PE-1000'</t>
  </si>
  <si>
    <t>FP-324689</t>
  </si>
  <si>
    <t>RP-8" HP- ELMA 1100' WILD CAT CREEK</t>
  </si>
  <si>
    <t>FP-324690</t>
  </si>
  <si>
    <t>Purch Steel Road Plates Kelso</t>
  </si>
  <si>
    <t>FP-324695</t>
  </si>
  <si>
    <t>FP-324704</t>
  </si>
  <si>
    <t>Fredonia CS Security Install</t>
  </si>
  <si>
    <t>FP-324761</t>
  </si>
  <si>
    <t>Crack Seal Parking Lot Walla Walla</t>
  </si>
  <si>
    <t>FP-324778</t>
  </si>
  <si>
    <t>CONST SVCS - TOOL SHED &amp; REMODEL</t>
  </si>
  <si>
    <t>FP-324790</t>
  </si>
  <si>
    <t>Instl Shop Lighting Wentachee</t>
  </si>
  <si>
    <t>FP-324799</t>
  </si>
  <si>
    <t>FRL-MTV-HWY 9-6" HP-400FT</t>
  </si>
  <si>
    <t>FP-324801</t>
  </si>
  <si>
    <t>Fredonia CAT Crankshaft upgrade</t>
  </si>
  <si>
    <t>FP-324804</t>
  </si>
  <si>
    <t>UPGRADE MODEL 5 PROVER - YAKIMA</t>
  </si>
  <si>
    <t>FP-324806</t>
  </si>
  <si>
    <t>MODEL 5 PROVER UPGRADE - BELLINGHAM</t>
  </si>
  <si>
    <t>FP-324820</t>
  </si>
  <si>
    <t>MAOP;4' ST;ARLI;5,610'</t>
  </si>
  <si>
    <t>FP-324823</t>
  </si>
  <si>
    <t>Bellingham 1 TBS RTU Replacement</t>
  </si>
  <si>
    <t>FP-324824</t>
  </si>
  <si>
    <t>C/M;R-198(R-66) ARL</t>
  </si>
  <si>
    <t>FP-324827</t>
  </si>
  <si>
    <t>Sumas TBS RTU Replacement</t>
  </si>
  <si>
    <t>FP-324828</t>
  </si>
  <si>
    <t>Lynden TBS RTU Replacement</t>
  </si>
  <si>
    <t>FP-324829</t>
  </si>
  <si>
    <t>Hermiston TBS RTU Replacement</t>
  </si>
  <si>
    <t>FP-324830</t>
  </si>
  <si>
    <t>Stanwood TBS RTU replacment</t>
  </si>
  <si>
    <t>FP-324831</t>
  </si>
  <si>
    <t>Mt Vernon TBS RTU replacement</t>
  </si>
  <si>
    <t>FP-324832</t>
  </si>
  <si>
    <t>Nyssa TBS RTU Replacement</t>
  </si>
  <si>
    <t>FP-324833</t>
  </si>
  <si>
    <t>Othello TBS RTU Replacement.</t>
  </si>
  <si>
    <t>FP-324834</t>
  </si>
  <si>
    <t>Redmond TBS RTU Replacement</t>
  </si>
  <si>
    <t>FP-324835</t>
  </si>
  <si>
    <t>Shelton TBS RTU replacement</t>
  </si>
  <si>
    <t>FP-324836</t>
  </si>
  <si>
    <t>South Bend TBS RTU Replacement</t>
  </si>
  <si>
    <t>FP-324847</t>
  </si>
  <si>
    <t>Instl Back Up Generator Walla Walla</t>
  </si>
  <si>
    <t>FP-324853</t>
  </si>
  <si>
    <t>RF; 2" PE; LYND; 1290'; W FRONT</t>
  </si>
  <si>
    <t>FP-324897</t>
  </si>
  <si>
    <t>C/M; R-200(R-60) OAKH;</t>
  </si>
  <si>
    <t>FP-324932</t>
  </si>
  <si>
    <t>RP; 6" HP; OAKH; 3000'</t>
  </si>
  <si>
    <t>FP-324946</t>
  </si>
  <si>
    <t>PUR CONTROL RADIOS AVTEC SYS - WA</t>
  </si>
  <si>
    <t>FP-324959</t>
  </si>
  <si>
    <t>PURCHASE 2 - ODORATOR's ELMA</t>
  </si>
  <si>
    <t>FP-324982</t>
  </si>
  <si>
    <t>CNG UPS Replacements</t>
  </si>
  <si>
    <t>FP-324988</t>
  </si>
  <si>
    <t>Inst Reinf main for R99, Yakima</t>
  </si>
  <si>
    <t>FP-324995</t>
  </si>
  <si>
    <t>C/M; R-199(R-7) MTVE;</t>
  </si>
  <si>
    <t>FP-325037</t>
  </si>
  <si>
    <t>RP; 8" PE CLINTON; HDD 400'</t>
  </si>
  <si>
    <t>FP-325044</t>
  </si>
  <si>
    <t>PURCHASE SENIT GOLD G2-MOSES LAKE</t>
  </si>
  <si>
    <t>FP-325055</t>
  </si>
  <si>
    <t>REPLACE SHOP TUBE HEATER BREMERTON</t>
  </si>
  <si>
    <t>FP-325057</t>
  </si>
  <si>
    <t>Fredonia CS New Relief 1910K</t>
  </si>
  <si>
    <t>FP-325059</t>
  </si>
  <si>
    <t>Purchase  Sensit Gold Kennewick</t>
  </si>
  <si>
    <t>FP-325160</t>
  </si>
  <si>
    <t>RTU Replacement Kalama TBS</t>
  </si>
  <si>
    <t>FP-325161</t>
  </si>
  <si>
    <t>Kelso RTU replacement</t>
  </si>
  <si>
    <t>FP-325162</t>
  </si>
  <si>
    <t>Selah TBS RTU Replacement</t>
  </si>
  <si>
    <t>FP-325163</t>
  </si>
  <si>
    <t>R-38 Longview RTU Replacement</t>
  </si>
  <si>
    <t>FP-325186</t>
  </si>
  <si>
    <t>PUR VIVAX METROTECH LOCATOR-YAKIMA</t>
  </si>
  <si>
    <t>FP-325187</t>
  </si>
  <si>
    <t>FRL;2'';VIEW'800' OIE HWY</t>
  </si>
  <si>
    <t>FP-325196</t>
  </si>
  <si>
    <t>RP; 6" ST; BELL; 2400'; NORTHWEST</t>
  </si>
  <si>
    <t>FP-325206</t>
  </si>
  <si>
    <t>FRL;2'' ST;WAPA;1,000' S.Naches A</t>
  </si>
  <si>
    <t>FP-325214</t>
  </si>
  <si>
    <t>PUR Sensit LZ-30s - Washington</t>
  </si>
  <si>
    <t>FP-325218</t>
  </si>
  <si>
    <t>PUR 1 Rivet Buster, Bellingham</t>
  </si>
  <si>
    <t>FP-325250</t>
  </si>
  <si>
    <t>PUR - 2 HANDHELD RADIOS - BREMERTON</t>
  </si>
  <si>
    <t>FP-325257</t>
  </si>
  <si>
    <t>PURCH (2)  MET FIT TOOLS-WENATCHEE</t>
  </si>
  <si>
    <t>FP-325273</t>
  </si>
  <si>
    <t>Replace Locator Longview</t>
  </si>
  <si>
    <t>FP-325287</t>
  </si>
  <si>
    <t>Purchase Locator Walla Walla</t>
  </si>
  <si>
    <t>FP-325289</t>
  </si>
  <si>
    <t>Purch Metrotech Locator Kennewick</t>
  </si>
  <si>
    <t>FP-325300</t>
  </si>
  <si>
    <t>PURCH TWO METROTECH LOCATORS YAKIMA</t>
  </si>
  <si>
    <t>FP-325304</t>
  </si>
  <si>
    <t>Replace 2LC Machine Bellingham</t>
  </si>
  <si>
    <t>FP-325310</t>
  </si>
  <si>
    <t>GR; 2" PE; WOOD; 1,400' WOODLAND CR</t>
  </si>
  <si>
    <t>FP-325313</t>
  </si>
  <si>
    <t>Repl Main NE 7th St Oak Harbor</t>
  </si>
  <si>
    <t>FP-325341</t>
  </si>
  <si>
    <t>Purchase Saddle Machine Mt Vernon</t>
  </si>
  <si>
    <t>FP-325356</t>
  </si>
  <si>
    <t>RL;6'' PE;TOPP;1000' 580 Fort Rd</t>
  </si>
  <si>
    <t>FP-325358</t>
  </si>
  <si>
    <t>PURCH RD8000 YAKIMA</t>
  </si>
  <si>
    <t>FP-325381</t>
  </si>
  <si>
    <t>Purch Heath Detecto Pak Bellingham</t>
  </si>
  <si>
    <t>FP-325382</t>
  </si>
  <si>
    <t>PURCH NEW RMLD-MOSES LAKE</t>
  </si>
  <si>
    <t>FP-325405</t>
  </si>
  <si>
    <t>Purch Sensit Gold G3 Longview</t>
  </si>
  <si>
    <t>FP-325484</t>
  </si>
  <si>
    <t>Purchase RD8200 Bellingham</t>
  </si>
  <si>
    <t>FP-325495</t>
  </si>
  <si>
    <t>Purchase Ice Machine Mt. Vernon</t>
  </si>
  <si>
    <t>FP-326028</t>
  </si>
  <si>
    <t>Purchase RD7200 Bellingham</t>
  </si>
  <si>
    <t>BB</t>
  </si>
  <si>
    <t>BC</t>
  </si>
  <si>
    <t>C</t>
  </si>
  <si>
    <t>FP-317012</t>
  </si>
  <si>
    <t>UG-PCAD Upgrade to v7-CNG</t>
  </si>
  <si>
    <t>FP-323663</t>
  </si>
  <si>
    <t>MAOP INST 4"ST MN FOR LVIEW DWNRATE</t>
  </si>
  <si>
    <t>FP-323949</t>
  </si>
  <si>
    <t>UG-JAVA Technology Upgrade-CNG</t>
  </si>
  <si>
    <t>FP-323966</t>
  </si>
  <si>
    <t>UG-Dev&amp;Implmnt ITDataWarehouse CNG</t>
  </si>
  <si>
    <t>FP-324633</t>
  </si>
  <si>
    <t>Inst Main Clear Creek Rd Silverdale</t>
  </si>
  <si>
    <t>FP-325221</t>
  </si>
  <si>
    <t>Fredonia CS Relief UpgradeVib resit</t>
  </si>
  <si>
    <t>FP-325227</t>
  </si>
  <si>
    <t>RF; 6in PE; Blaine; 3000'</t>
  </si>
  <si>
    <t>FP-325239</t>
  </si>
  <si>
    <t>GR-MOSES LAKE-4" HP STL JR SIMPLOT</t>
  </si>
  <si>
    <t>FP-325251</t>
  </si>
  <si>
    <t>MAOP; R-201(R-2) MTVE;</t>
  </si>
  <si>
    <t>FP-325339</t>
  </si>
  <si>
    <t>PUR - 1LC FUSION MACHINE -BREMERTON</t>
  </si>
  <si>
    <t>FP-325377</t>
  </si>
  <si>
    <t>MAOP;R-7(R-1) COLL</t>
  </si>
  <si>
    <t>FP-325432</t>
  </si>
  <si>
    <t>MAOP; RPL R-002;QUINCY</t>
  </si>
  <si>
    <t>FP-325916</t>
  </si>
  <si>
    <t>Odorizer Tank UPG, B'ham R-184</t>
  </si>
  <si>
    <t>FP-325917</t>
  </si>
  <si>
    <t>INST ODRNT TANK, SEDRO W. Gate</t>
  </si>
  <si>
    <t>FP-325970</t>
  </si>
  <si>
    <t>Fredonia New Catalysts</t>
  </si>
  <si>
    <t>FP-325974</t>
  </si>
  <si>
    <t>Discharge Coalescent Filter 319839</t>
  </si>
  <si>
    <t>FP-326011</t>
  </si>
  <si>
    <t xml:space="preserve">Instl HVAC/AC Unit Mt. Vernon </t>
  </si>
  <si>
    <t>FP-326083</t>
  </si>
  <si>
    <t>Purch (2) Welding Reels Mt. Vernon</t>
  </si>
  <si>
    <t>FP-326088</t>
  </si>
  <si>
    <t>Replace HVAC/AC Unit Shelton</t>
  </si>
  <si>
    <t>FP-326097</t>
  </si>
  <si>
    <t>REPL HVAC/AC UNIT ELMA OFFICE</t>
  </si>
  <si>
    <t>FP-326098</t>
  </si>
  <si>
    <t>Purch Land Mt Vrn Office Burlington</t>
  </si>
  <si>
    <t>FP-326119</t>
  </si>
  <si>
    <t>UG - IRTH Solutions 2024-2025 CNG</t>
  </si>
  <si>
    <t>FP-326127</t>
  </si>
  <si>
    <t>REPLACE RMLD LONGVIEW</t>
  </si>
  <si>
    <t>FP-326130</t>
  </si>
  <si>
    <t>PURCH NEW LOCATOR TRANS-WENATCHEE</t>
  </si>
  <si>
    <t>FP-326137</t>
  </si>
  <si>
    <t>GR; 4" PE; KELS; 500' 1700 13TH AVE</t>
  </si>
  <si>
    <t>FP-326152</t>
  </si>
  <si>
    <t>Purchase 8" Clamp Kit Kennewick</t>
  </si>
  <si>
    <t>CC</t>
  </si>
  <si>
    <t>Portfolio - New Projects</t>
  </si>
  <si>
    <t>CC1</t>
  </si>
  <si>
    <t>Total Portfolio Review</t>
  </si>
  <si>
    <t>D</t>
  </si>
  <si>
    <t>Settlement Adjustment</t>
  </si>
  <si>
    <t>E</t>
  </si>
  <si>
    <t>2024/03</t>
  </si>
  <si>
    <t>2024/11</t>
  </si>
  <si>
    <t>2024/12</t>
  </si>
  <si>
    <t>2024/02</t>
  </si>
  <si>
    <t>2024/06</t>
  </si>
  <si>
    <t>2024/01</t>
  </si>
  <si>
    <t>2024/09</t>
  </si>
  <si>
    <t>2024/07</t>
  </si>
  <si>
    <t>2024/10</t>
  </si>
  <si>
    <t>2024/04</t>
  </si>
  <si>
    <t>2024/08</t>
  </si>
  <si>
    <t>2025/02</t>
  </si>
  <si>
    <t>2024/05</t>
  </si>
  <si>
    <t>Washington Jurisdiction</t>
  </si>
  <si>
    <t>Twelve-Months ended December 31, 2023</t>
  </si>
  <si>
    <t>UG-240008</t>
  </si>
  <si>
    <t>JAD WP-1.27</t>
  </si>
  <si>
    <t>Line No</t>
  </si>
  <si>
    <t>Description</t>
  </si>
  <si>
    <t>Amount</t>
  </si>
  <si>
    <t>Rate Base Impact of 2024 Provisional Plant Additions</t>
  </si>
  <si>
    <t>Provisional Plant Additions</t>
  </si>
  <si>
    <t>PR-1 Net Operating Income Adjustment</t>
  </si>
  <si>
    <t>Less Estimated Retirements</t>
  </si>
  <si>
    <t>PR-1 Rate Base Adjustment</t>
  </si>
  <si>
    <t xml:space="preserve">Provisional Net Plant Additions </t>
  </si>
  <si>
    <t>Rate of Return - Settlement Proposal</t>
  </si>
  <si>
    <t>Estimated Increase to Accumulated Depreciation</t>
  </si>
  <si>
    <t>Conversion Factor</t>
  </si>
  <si>
    <t>Less Estimated Removal Costs</t>
  </si>
  <si>
    <t>PR-1 Revenue Requirement Effect</t>
  </si>
  <si>
    <t>Net Estimated Increase to Accumulated Depreciation</t>
  </si>
  <si>
    <t>Estimated Increase to Accumulated Deferred Income Taxes</t>
  </si>
  <si>
    <t>Net Operating Income Impact of 2024 Provisional Plant Additions</t>
  </si>
  <si>
    <t>Estimated New Customer Margin Revenue Offsets</t>
  </si>
  <si>
    <t xml:space="preserve">Estimated Revenue Taxes on New Customer Margin Revenue </t>
  </si>
  <si>
    <t xml:space="preserve">Estimated Uncollectible Expense on New Customer Revenue </t>
  </si>
  <si>
    <t>Estimated Depreciation Expense Increase</t>
  </si>
  <si>
    <t>Less Depreciation Impact of Estimated Retirements</t>
  </si>
  <si>
    <t>Net Estimated Depreciation Expense Increase</t>
  </si>
  <si>
    <t>Effective Property Tax Rate</t>
  </si>
  <si>
    <t>Estimated Property Tax Increase</t>
  </si>
  <si>
    <t>Estimated O&amp;M Offsets</t>
  </si>
  <si>
    <t>FERC 880</t>
  </si>
  <si>
    <t>FERC 903</t>
  </si>
  <si>
    <t>Tax Decrease</t>
  </si>
  <si>
    <t>EDIT Amortization Increase</t>
  </si>
  <si>
    <t>2024 Revenue Offset - New Customer Revenue</t>
  </si>
  <si>
    <t>Forecast Customer Addtions from IRP</t>
  </si>
  <si>
    <t>F</t>
  </si>
  <si>
    <t>G</t>
  </si>
  <si>
    <t>H</t>
  </si>
  <si>
    <t>I</t>
  </si>
  <si>
    <t>J</t>
  </si>
  <si>
    <t>K</t>
  </si>
  <si>
    <t>L</t>
  </si>
  <si>
    <t>M</t>
  </si>
  <si>
    <t>Schedule 503</t>
  </si>
  <si>
    <t>Schedule 504</t>
  </si>
  <si>
    <t>Schedule 505</t>
  </si>
  <si>
    <t>EOP Customer Additions from IRP:</t>
  </si>
  <si>
    <t>Usage per Customer:</t>
  </si>
  <si>
    <t>Schedule 505 Block 1</t>
  </si>
  <si>
    <t>Schedule 505 Block 2</t>
  </si>
  <si>
    <t>Schedule 505 Block 3</t>
  </si>
  <si>
    <t>Therms:</t>
  </si>
  <si>
    <t>Basic Service Charge and Margin Rates:</t>
  </si>
  <si>
    <t>Schedule 503 - Basic Service Charge</t>
  </si>
  <si>
    <t>Schedule 503 - Margin</t>
  </si>
  <si>
    <t>Schedule 504 - Basic Service Charge</t>
  </si>
  <si>
    <t>Schedule 504 - Margin</t>
  </si>
  <si>
    <t>Schedule 505 - Basic Service Charge</t>
  </si>
  <si>
    <t>Schedule 505 Block 1 - Margin</t>
  </si>
  <si>
    <t>Schedule 505 Block 2 - Margin</t>
  </si>
  <si>
    <t>Schedule 505 Block 3 - Margin</t>
  </si>
  <si>
    <t>Revenue at Current Rates:</t>
  </si>
  <si>
    <t>Basic Service Charge</t>
  </si>
  <si>
    <t>Margin</t>
  </si>
  <si>
    <t>Total Schedule 503 Revenue</t>
  </si>
  <si>
    <t>Total Schedule 504 Revenue</t>
  </si>
  <si>
    <t>Margin First 500 Therms</t>
  </si>
  <si>
    <t>Margin Next 3,500 Therms</t>
  </si>
  <si>
    <t>Margin &gt; 4,000 Therms</t>
  </si>
  <si>
    <t>Total Schedule 505 Revenue</t>
  </si>
  <si>
    <t>Change to PR-1 from Settlement</t>
  </si>
  <si>
    <t>WA Actual Cost - Cumulative Rate Effective Period</t>
  </si>
  <si>
    <t>$ Variance - Actual vs Settlement</t>
  </si>
  <si>
    <t>% Variance - Actual vs Settlement</t>
  </si>
  <si>
    <t>(P)</t>
  </si>
  <si>
    <t>Testimony Reference</t>
  </si>
  <si>
    <t>Exh-HG-1T-3-29-24</t>
  </si>
  <si>
    <t>Exh-PCD-1T-3-29-24</t>
  </si>
  <si>
    <t>Exh-EPM-1T-3-29-24</t>
  </si>
  <si>
    <t>Exh-EPM-4-3-29-24</t>
  </si>
  <si>
    <t>Exh-PCD-5-3-29-24</t>
  </si>
  <si>
    <t>Exh-DLT-13-3-29-24</t>
  </si>
  <si>
    <t>Exh-HG-3-3-29-24</t>
  </si>
  <si>
    <t>Exh-TJN-3-3-29-24</t>
  </si>
  <si>
    <t>WA 2024 Authorized Cost</t>
  </si>
  <si>
    <t>Portfolio  - Authorized Cost</t>
  </si>
  <si>
    <t>Allowed Cost in 2024 Rate Base</t>
  </si>
  <si>
    <t>Identified In 2023 IRP (Docket UG-220131)</t>
  </si>
  <si>
    <t>PR-1 - Provisional Plant Additions Adjustments - Full Multiparty Settlement Stipulation in Docket UG-240008</t>
  </si>
  <si>
    <t>PR-1 - Provisional Plant Additions Adjustments - Provisional Plant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</si>
</sst>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_);_(* \(#,##0\);_(* &quot;-&quot;??_);_(@_)"/>
    <numFmt numFmtId="167" formatCode="0.000%"/>
    <numFmt numFmtId="168" formatCode="0.00000"/>
    <numFmt numFmtId="169" formatCode="0.00000%"/>
    <numFmt numFmtId="170" formatCode="[$-409]mmm\-yy;@"/>
    <numFmt numFmtId="171" formatCode="_(&quot;$&quot;* #,##0.00000_);_(&quot;$&quot;* \(#,##0.00000\);_(&quot;$&quot;* &quot;-&quot;??_);_(@_)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0" tint="-0.249977111117893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Calibri"/>
    </font>
    <font>
      <b/>
      <sz val="11"/>
      <name val="Calibri"/>
    </font>
    <font>
      <b/>
      <sz val="10"/>
      <name val="Calibri"/>
    </font>
    <font>
      <sz val="7.5"/>
      <name val="Calibri"/>
      <family val="2"/>
    </font>
    <font>
      <b/>
      <sz val="7.5"/>
      <color theme="1"/>
      <name val="Calibri"/>
      <family val="2"/>
    </font>
    <font>
      <sz val="7.5"/>
      <color theme="1"/>
      <name val="Calibri"/>
      <family val="2"/>
    </font>
    <font>
      <b/>
      <sz val="7.5"/>
      <name val="Calibri"/>
      <family val="2"/>
    </font>
    <font>
      <b/>
      <i/>
      <sz val="10"/>
      <color theme="0" tint="-0.14999847407452621"/>
      <name val="Calibri"/>
      <family val="2"/>
    </font>
    <font>
      <b/>
      <i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/>
    <xf numFmtId="165" fontId="4" fillId="0" borderId="1" xfId="1" applyNumberFormat="1" applyFont="1" applyFill="1" applyBorder="1" applyAlignment="1">
      <alignment horizontal="center"/>
    </xf>
    <xf numFmtId="164" fontId="4" fillId="0" borderId="1" xfId="2" applyNumberFormat="1" applyFont="1" applyFill="1" applyBorder="1"/>
    <xf numFmtId="16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9" fontId="4" fillId="0" borderId="1" xfId="3" applyFont="1" applyFill="1" applyBorder="1" applyAlignment="1">
      <alignment horizontal="right" indent="1"/>
    </xf>
    <xf numFmtId="164" fontId="4" fillId="0" borderId="1" xfId="0" applyNumberFormat="1" applyFont="1" applyBorder="1" applyAlignment="1">
      <alignment horizontal="center"/>
    </xf>
    <xf numFmtId="37" fontId="4" fillId="0" borderId="1" xfId="1" applyNumberFormat="1" applyFont="1" applyFill="1" applyBorder="1" applyAlignment="1">
      <alignment horizontal="center"/>
    </xf>
    <xf numFmtId="166" fontId="4" fillId="0" borderId="1" xfId="1" applyNumberFormat="1" applyFont="1" applyFill="1" applyBorder="1"/>
    <xf numFmtId="37" fontId="4" fillId="0" borderId="1" xfId="1" applyNumberFormat="1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4" fontId="9" fillId="2" borderId="2" xfId="2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9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9" fontId="11" fillId="0" borderId="2" xfId="0" applyNumberFormat="1" applyFont="1" applyBorder="1" applyAlignment="1">
      <alignment horizontal="right" indent="1"/>
    </xf>
    <xf numFmtId="0" fontId="11" fillId="0" borderId="2" xfId="0" applyFont="1" applyBorder="1" applyAlignment="1">
      <alignment horizontal="left"/>
    </xf>
    <xf numFmtId="0" fontId="11" fillId="0" borderId="0" xfId="0" applyFont="1"/>
    <xf numFmtId="165" fontId="4" fillId="0" borderId="1" xfId="1" applyNumberFormat="1" applyFont="1" applyBorder="1" applyAlignment="1">
      <alignment horizontal="center"/>
    </xf>
    <xf numFmtId="164" fontId="4" fillId="0" borderId="1" xfId="2" applyNumberFormat="1" applyFont="1" applyBorder="1"/>
    <xf numFmtId="166" fontId="4" fillId="0" borderId="1" xfId="1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right" indent="1"/>
    </xf>
    <xf numFmtId="0" fontId="11" fillId="0" borderId="0" xfId="0" applyFont="1" applyAlignment="1">
      <alignment horizontal="left"/>
    </xf>
    <xf numFmtId="0" fontId="4" fillId="0" borderId="3" xfId="0" applyFont="1" applyBorder="1"/>
    <xf numFmtId="49" fontId="4" fillId="0" borderId="4" xfId="0" applyNumberFormat="1" applyFont="1" applyBorder="1"/>
    <xf numFmtId="0" fontId="4" fillId="0" borderId="4" xfId="0" applyFont="1" applyBorder="1"/>
    <xf numFmtId="165" fontId="4" fillId="0" borderId="4" xfId="1" applyNumberFormat="1" applyFont="1" applyBorder="1" applyAlignment="1">
      <alignment horizontal="center"/>
    </xf>
    <xf numFmtId="164" fontId="4" fillId="0" borderId="4" xfId="2" applyNumberFormat="1" applyFont="1" applyFill="1" applyBorder="1"/>
    <xf numFmtId="164" fontId="4" fillId="0" borderId="4" xfId="0" applyNumberFormat="1" applyFont="1" applyBorder="1"/>
    <xf numFmtId="14" fontId="4" fillId="0" borderId="4" xfId="0" applyNumberFormat="1" applyFont="1" applyBorder="1" applyAlignment="1">
      <alignment horizontal="center"/>
    </xf>
    <xf numFmtId="9" fontId="4" fillId="0" borderId="4" xfId="3" applyFont="1" applyFill="1" applyBorder="1" applyAlignment="1">
      <alignment horizontal="right" indent="1"/>
    </xf>
    <xf numFmtId="164" fontId="4" fillId="0" borderId="4" xfId="0" applyNumberFormat="1" applyFont="1" applyBorder="1" applyAlignment="1">
      <alignment horizontal="center"/>
    </xf>
    <xf numFmtId="37" fontId="4" fillId="0" borderId="4" xfId="1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6" fontId="11" fillId="0" borderId="0" xfId="1" applyNumberFormat="1" applyFont="1" applyBorder="1" applyAlignment="1">
      <alignment vertical="center"/>
    </xf>
    <xf numFmtId="166" fontId="15" fillId="0" borderId="0" xfId="1" applyNumberFormat="1" applyFont="1" applyBorder="1" applyAlignment="1">
      <alignment horizontal="center" vertical="center"/>
    </xf>
    <xf numFmtId="166" fontId="15" fillId="0" borderId="0" xfId="1" applyNumberFormat="1" applyFont="1" applyBorder="1" applyAlignment="1">
      <alignment vertical="center"/>
    </xf>
    <xf numFmtId="9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/>
    <xf numFmtId="164" fontId="11" fillId="0" borderId="0" xfId="2" applyNumberFormat="1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6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4" fontId="1" fillId="0" borderId="0" xfId="0" applyNumberFormat="1" applyFont="1"/>
    <xf numFmtId="0" fontId="1" fillId="0" borderId="5" xfId="0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0" fontId="1" fillId="0" borderId="0" xfId="0" applyFont="1" applyAlignment="1">
      <alignment horizontal="left"/>
    </xf>
    <xf numFmtId="166" fontId="1" fillId="0" borderId="5" xfId="0" applyNumberFormat="1" applyFont="1" applyBorder="1" applyAlignment="1">
      <alignment horizontal="center"/>
    </xf>
    <xf numFmtId="164" fontId="1" fillId="0" borderId="0" xfId="0" applyNumberFormat="1" applyFont="1"/>
    <xf numFmtId="43" fontId="1" fillId="0" borderId="0" xfId="0" applyNumberFormat="1" applyFont="1" applyAlignment="1">
      <alignment horizontal="center"/>
    </xf>
    <xf numFmtId="167" fontId="1" fillId="0" borderId="0" xfId="3" applyNumberFormat="1" applyFont="1"/>
    <xf numFmtId="166" fontId="1" fillId="0" borderId="0" xfId="5" applyNumberFormat="1" applyFont="1" applyFill="1"/>
    <xf numFmtId="168" fontId="1" fillId="0" borderId="0" xfId="0" applyNumberFormat="1" applyFont="1"/>
    <xf numFmtId="166" fontId="1" fillId="0" borderId="0" xfId="0" applyNumberFormat="1" applyFont="1" applyAlignment="1">
      <alignment horizontal="left"/>
    </xf>
    <xf numFmtId="166" fontId="1" fillId="0" borderId="5" xfId="0" applyNumberFormat="1" applyFont="1" applyBorder="1" applyAlignment="1">
      <alignment horizontal="left"/>
    </xf>
    <xf numFmtId="164" fontId="1" fillId="0" borderId="0" xfId="2" applyNumberFormat="1" applyFont="1"/>
    <xf numFmtId="166" fontId="1" fillId="0" borderId="0" xfId="5" applyNumberFormat="1" applyFont="1" applyFill="1" applyAlignment="1"/>
    <xf numFmtId="43" fontId="1" fillId="0" borderId="0" xfId="0" applyNumberFormat="1" applyFont="1"/>
    <xf numFmtId="166" fontId="1" fillId="0" borderId="5" xfId="5" applyNumberFormat="1" applyFont="1" applyFill="1" applyBorder="1"/>
    <xf numFmtId="169" fontId="1" fillId="0" borderId="5" xfId="0" applyNumberFormat="1" applyFont="1" applyBorder="1"/>
    <xf numFmtId="44" fontId="1" fillId="0" borderId="0" xfId="2" applyFont="1"/>
    <xf numFmtId="44" fontId="1" fillId="0" borderId="0" xfId="0" applyNumberFormat="1" applyFont="1"/>
    <xf numFmtId="5" fontId="1" fillId="0" borderId="0" xfId="0" applyNumberFormat="1" applyFont="1"/>
    <xf numFmtId="44" fontId="1" fillId="0" borderId="0" xfId="2" applyFont="1" applyFill="1"/>
    <xf numFmtId="0" fontId="1" fillId="0" borderId="2" xfId="0" applyFont="1" applyBorder="1" applyAlignment="1">
      <alignment horizontal="center"/>
    </xf>
    <xf numFmtId="170" fontId="0" fillId="0" borderId="5" xfId="0" applyNumberFormat="1" applyBorder="1" applyAlignment="1">
      <alignment horizontal="center"/>
    </xf>
    <xf numFmtId="170" fontId="0" fillId="0" borderId="2" xfId="0" applyNumberFormat="1" applyBorder="1" applyAlignment="1">
      <alignment horizontal="center"/>
    </xf>
    <xf numFmtId="166" fontId="1" fillId="0" borderId="0" xfId="5" applyNumberFormat="1" applyFont="1"/>
    <xf numFmtId="43" fontId="1" fillId="0" borderId="0" xfId="5" applyFont="1"/>
    <xf numFmtId="44" fontId="0" fillId="0" borderId="0" xfId="2" applyFont="1"/>
    <xf numFmtId="171" fontId="0" fillId="0" borderId="0" xfId="2" applyNumberFormat="1" applyFont="1"/>
    <xf numFmtId="166" fontId="1" fillId="0" borderId="5" xfId="5" applyNumberFormat="1" applyFont="1" applyBorder="1"/>
    <xf numFmtId="169" fontId="1" fillId="0" borderId="5" xfId="3" applyNumberFormat="1" applyFont="1" applyBorder="1"/>
    <xf numFmtId="37" fontId="18" fillId="0" borderId="1" xfId="1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9" fontId="18" fillId="0" borderId="1" xfId="3" applyFont="1" applyBorder="1" applyAlignment="1">
      <alignment horizontal="right" indent="1"/>
    </xf>
    <xf numFmtId="166" fontId="18" fillId="0" borderId="1" xfId="1" applyNumberFormat="1" applyFont="1" applyBorder="1"/>
    <xf numFmtId="14" fontId="18" fillId="0" borderId="1" xfId="0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8" fillId="0" borderId="1" xfId="0" applyFont="1" applyBorder="1"/>
    <xf numFmtId="0" fontId="18" fillId="0" borderId="0" xfId="0" applyFont="1"/>
    <xf numFmtId="37" fontId="18" fillId="0" borderId="1" xfId="1" applyNumberFormat="1" applyFont="1" applyBorder="1" applyAlignment="1">
      <alignment horizontal="left"/>
    </xf>
    <xf numFmtId="0" fontId="21" fillId="0" borderId="0" xfId="0" applyFont="1"/>
    <xf numFmtId="0" fontId="22" fillId="2" borderId="2" xfId="0" applyFont="1" applyFill="1" applyBorder="1" applyAlignment="1">
      <alignment vertical="center"/>
    </xf>
    <xf numFmtId="0" fontId="23" fillId="0" borderId="2" xfId="0" applyFont="1" applyBorder="1"/>
    <xf numFmtId="0" fontId="24" fillId="0" borderId="0" xfId="0" applyFont="1" applyAlignment="1">
      <alignment vertical="center"/>
    </xf>
    <xf numFmtId="0" fontId="23" fillId="0" borderId="5" xfId="0" applyFont="1" applyBorder="1"/>
    <xf numFmtId="49" fontId="18" fillId="0" borderId="1" xfId="0" applyNumberFormat="1" applyFont="1" applyBorder="1"/>
    <xf numFmtId="0" fontId="6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43" fontId="7" fillId="0" borderId="0" xfId="5" applyFont="1" applyFill="1" applyBorder="1" applyAlignment="1">
      <alignment horizontal="center" vertical="center" wrapText="1"/>
    </xf>
    <xf numFmtId="43" fontId="6" fillId="0" borderId="0" xfId="5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18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0" xfId="6" applyFont="1" applyAlignment="1">
      <alignment horizontal="center"/>
    </xf>
    <xf numFmtId="0" fontId="25" fillId="2" borderId="2" xfId="0" applyFont="1" applyFill="1" applyBorder="1" applyAlignment="1">
      <alignment vertical="center"/>
    </xf>
    <xf numFmtId="49" fontId="26" fillId="0" borderId="0" xfId="0" applyNumberFormat="1" applyFont="1" applyAlignment="1">
      <alignment vertical="center"/>
    </xf>
  </cellXfs>
  <cellStyles count="7">
    <cellStyle name="Comma" xfId="1" builtinId="3"/>
    <cellStyle name="Comma 2" xfId="5" xr:uid="{8E8C6B22-1D4B-40CE-AEDF-3D8C9B94DFF0}"/>
    <cellStyle name="Currency" xfId="2" builtinId="4"/>
    <cellStyle name="Normal" xfId="0" builtinId="0"/>
    <cellStyle name="Normal 2 11" xfId="4" xr:uid="{96A1C528-ACE9-4C4D-B759-39D4F2F79DB8}"/>
    <cellStyle name="Normal 89 2" xfId="6" xr:uid="{90E0BAF9-1DCC-401C-A568-F1A19244A24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0</xdr:rowOff>
    </xdr:from>
    <xdr:to>
      <xdr:col>7</xdr:col>
      <xdr:colOff>9525</xdr:colOff>
      <xdr:row>8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E71AE9-2219-4C9F-BDF5-BEDE6E2806C1}"/>
            </a:ext>
          </a:extLst>
        </xdr:cNvPr>
        <xdr:cNvSpPr txBox="1"/>
      </xdr:nvSpPr>
      <xdr:spPr>
        <a:xfrm>
          <a:off x="9745980" y="1266825"/>
          <a:ext cx="4943475" cy="426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From Attachment</a:t>
          </a:r>
          <a:r>
            <a:rPr lang="en-US" sz="1100" baseline="0"/>
            <a:t> A to Full Multiparty Settlement Stipulation in Docket UG-240008.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990599</xdr:colOff>
      <xdr:row>6</xdr:row>
      <xdr:rowOff>47625</xdr:rowOff>
    </xdr:from>
    <xdr:to>
      <xdr:col>6</xdr:col>
      <xdr:colOff>2390774</xdr:colOff>
      <xdr:row>8</xdr:row>
      <xdr:rowOff>64770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DEDB07-1793-455E-9347-73D55A6329F8}"/>
            </a:ext>
          </a:extLst>
        </xdr:cNvPr>
        <xdr:cNvSpPr txBox="1"/>
      </xdr:nvSpPr>
      <xdr:spPr>
        <a:xfrm>
          <a:off x="10210799" y="1135380"/>
          <a:ext cx="4922520" cy="556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Reflects</a:t>
          </a:r>
          <a:r>
            <a:rPr lang="en-US" sz="1100" baseline="0"/>
            <a:t> updated 2024 provisional plant additions based on the Provisional Plant Review tab.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CCB5-6270-4C2F-A90C-7478F49187A5}">
  <sheetPr>
    <tabColor theme="1" tint="4.9989318521683403E-2"/>
    <pageSetUpPr fitToPage="1"/>
  </sheetPr>
  <dimension ref="A1:R305"/>
  <sheetViews>
    <sheetView tabSelected="1" topLeftCell="B1" zoomScaleNormal="100" workbookViewId="0">
      <pane ySplit="6" topLeftCell="A276" activePane="bottomLeft" state="frozen"/>
      <selection activeCell="G24" sqref="G24"/>
      <selection pane="bottomLeft" activeCell="F318" sqref="F318"/>
    </sheetView>
  </sheetViews>
  <sheetFormatPr defaultColWidth="8" defaultRowHeight="13" x14ac:dyDescent="0.3"/>
  <cols>
    <col min="1" max="1" width="9" style="60" hidden="1" customWidth="1"/>
    <col min="2" max="2" width="8" style="61" customWidth="1"/>
    <col min="3" max="3" width="20.1796875" style="62" bestFit="1" customWidth="1"/>
    <col min="4" max="4" width="9.54296875" style="62" bestFit="1" customWidth="1"/>
    <col min="5" max="5" width="15.81640625" style="62" bestFit="1" customWidth="1"/>
    <col min="6" max="6" width="11.453125" style="62" bestFit="1" customWidth="1"/>
    <col min="7" max="7" width="34.54296875" style="62" customWidth="1"/>
    <col min="8" max="8" width="6.81640625" style="62" customWidth="1"/>
    <col min="9" max="9" width="13.1796875" style="62" customWidth="1"/>
    <col min="10" max="10" width="13.1796875" style="64" customWidth="1"/>
    <col min="11" max="14" width="13.1796875" style="62" customWidth="1"/>
    <col min="15" max="16" width="9.54296875" style="64" customWidth="1"/>
    <col min="17" max="17" width="16.81640625" style="65" customWidth="1"/>
    <col min="18" max="18" width="13.1796875" style="62" customWidth="1"/>
    <col min="19" max="16384" width="8" style="62"/>
  </cols>
  <sheetData>
    <row r="1" spans="1:18" s="2" customFormat="1" ht="14.5" x14ac:dyDescent="0.35">
      <c r="A1" s="1"/>
      <c r="B1" s="129" t="s">
        <v>0</v>
      </c>
      <c r="C1" s="129"/>
      <c r="D1" s="129"/>
      <c r="E1" s="130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s="2" customFormat="1" ht="14.5" x14ac:dyDescent="0.35">
      <c r="A2" s="1"/>
      <c r="B2" s="129" t="s">
        <v>1</v>
      </c>
      <c r="C2" s="129"/>
      <c r="D2" s="129"/>
      <c r="E2" s="130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18" s="2" customFormat="1" ht="14.5" x14ac:dyDescent="0.35">
      <c r="A3" s="1"/>
      <c r="B3" s="129" t="s">
        <v>2</v>
      </c>
      <c r="C3" s="129"/>
      <c r="D3" s="129"/>
      <c r="E3" s="130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s="4" customFormat="1" x14ac:dyDescent="0.3">
      <c r="A4" s="1"/>
      <c r="B4" s="3"/>
      <c r="E4" s="109"/>
    </row>
    <row r="5" spans="1:18" s="4" customFormat="1" ht="75" customHeight="1" x14ac:dyDescent="0.3">
      <c r="A5" s="1"/>
      <c r="B5" s="117" t="s">
        <v>3</v>
      </c>
      <c r="C5" s="118" t="s">
        <v>4</v>
      </c>
      <c r="D5" s="118" t="s">
        <v>5</v>
      </c>
      <c r="E5" s="119" t="s">
        <v>730</v>
      </c>
      <c r="F5" s="118" t="s">
        <v>6</v>
      </c>
      <c r="G5" s="118" t="s">
        <v>7</v>
      </c>
      <c r="H5" s="118" t="s">
        <v>8</v>
      </c>
      <c r="I5" s="118" t="s">
        <v>739</v>
      </c>
      <c r="J5" s="120" t="s">
        <v>9</v>
      </c>
      <c r="K5" s="120" t="s">
        <v>10</v>
      </c>
      <c r="L5" s="120" t="s">
        <v>726</v>
      </c>
      <c r="M5" s="120" t="s">
        <v>727</v>
      </c>
      <c r="N5" s="120" t="s">
        <v>728</v>
      </c>
      <c r="O5" s="121" t="s">
        <v>11</v>
      </c>
      <c r="P5" s="120" t="s">
        <v>12</v>
      </c>
      <c r="Q5" s="120" t="s">
        <v>742</v>
      </c>
      <c r="R5" s="120" t="s">
        <v>741</v>
      </c>
    </row>
    <row r="6" spans="1:18" s="126" customFormat="1" ht="17.5" customHeight="1" x14ac:dyDescent="0.35">
      <c r="A6" s="125" t="s">
        <v>13</v>
      </c>
      <c r="B6" s="122"/>
      <c r="C6" s="123" t="s">
        <v>14</v>
      </c>
      <c r="D6" s="123" t="s">
        <v>15</v>
      </c>
      <c r="E6" s="124" t="s">
        <v>16</v>
      </c>
      <c r="F6" s="123" t="s">
        <v>17</v>
      </c>
      <c r="G6" s="123" t="s">
        <v>18</v>
      </c>
      <c r="H6" s="127" t="s">
        <v>19</v>
      </c>
      <c r="I6" s="128" t="s">
        <v>20</v>
      </c>
      <c r="J6" s="128" t="s">
        <v>21</v>
      </c>
      <c r="K6" s="128" t="s">
        <v>22</v>
      </c>
      <c r="L6" s="128" t="s">
        <v>23</v>
      </c>
      <c r="M6" s="128" t="s">
        <v>24</v>
      </c>
      <c r="N6" s="128" t="s">
        <v>25</v>
      </c>
      <c r="O6" s="128" t="s">
        <v>26</v>
      </c>
      <c r="P6" s="128" t="s">
        <v>27</v>
      </c>
      <c r="Q6" s="128" t="s">
        <v>28</v>
      </c>
      <c r="R6" s="128" t="s">
        <v>729</v>
      </c>
    </row>
    <row r="7" spans="1:18" s="4" customFormat="1" x14ac:dyDescent="0.3">
      <c r="A7" s="1" t="s">
        <v>29</v>
      </c>
      <c r="B7" s="3">
        <v>1</v>
      </c>
      <c r="C7" s="4" t="s">
        <v>30</v>
      </c>
      <c r="D7" s="4" t="s">
        <v>31</v>
      </c>
      <c r="E7" s="111" t="s">
        <v>731</v>
      </c>
      <c r="F7" s="6" t="s">
        <v>32</v>
      </c>
      <c r="G7" s="7" t="s">
        <v>33</v>
      </c>
      <c r="H7" s="8">
        <v>303</v>
      </c>
      <c r="I7" s="9">
        <v>3980874.5233380003</v>
      </c>
      <c r="J7" s="11" t="s">
        <v>641</v>
      </c>
      <c r="K7" s="10">
        <v>3643178.61</v>
      </c>
      <c r="L7" s="10">
        <f t="shared" ref="L7:L15" si="0">K7</f>
        <v>3643178.61</v>
      </c>
      <c r="M7" s="10">
        <f t="shared" ref="M7:M15" si="1">SUM(K7)-I7</f>
        <v>-337695.91333800042</v>
      </c>
      <c r="N7" s="12">
        <f t="shared" ref="N7:N15" si="2">IFERROR(IF(AND(I7=0,M7=0),"NA",(M7/I7)),"")</f>
        <v>-8.4829579872022512E-2</v>
      </c>
      <c r="O7" s="13" t="s">
        <v>34</v>
      </c>
      <c r="P7" s="13" t="s">
        <v>34</v>
      </c>
      <c r="Q7" s="14" t="s">
        <v>34</v>
      </c>
      <c r="R7" s="10">
        <f t="shared" ref="R7:R15" si="3">IF(M7&gt;0,I7,K7)</f>
        <v>3643178.61</v>
      </c>
    </row>
    <row r="8" spans="1:18" s="4" customFormat="1" x14ac:dyDescent="0.3">
      <c r="A8" s="1" t="s">
        <v>29</v>
      </c>
      <c r="B8" s="3">
        <f>B7+1</f>
        <v>2</v>
      </c>
      <c r="C8" s="4" t="s">
        <v>30</v>
      </c>
      <c r="D8" s="4" t="s">
        <v>35</v>
      </c>
      <c r="E8" s="111" t="s">
        <v>732</v>
      </c>
      <c r="F8" s="6" t="s">
        <v>36</v>
      </c>
      <c r="G8" s="7" t="s">
        <v>37</v>
      </c>
      <c r="H8" s="8">
        <v>376.2</v>
      </c>
      <c r="I8" s="15">
        <v>3037182.6014089999</v>
      </c>
      <c r="J8" s="11" t="s">
        <v>58</v>
      </c>
      <c r="K8" s="15">
        <v>0</v>
      </c>
      <c r="L8" s="15">
        <f t="shared" si="0"/>
        <v>0</v>
      </c>
      <c r="M8" s="15">
        <f t="shared" si="1"/>
        <v>-3037182.6014089999</v>
      </c>
      <c r="N8" s="12">
        <f t="shared" si="2"/>
        <v>-1</v>
      </c>
      <c r="O8" s="13" t="s">
        <v>38</v>
      </c>
      <c r="P8" s="13" t="s">
        <v>34</v>
      </c>
      <c r="Q8" s="14" t="s">
        <v>34</v>
      </c>
      <c r="R8" s="15">
        <f t="shared" si="3"/>
        <v>0</v>
      </c>
    </row>
    <row r="9" spans="1:18" s="4" customFormat="1" x14ac:dyDescent="0.3">
      <c r="A9" s="1" t="s">
        <v>29</v>
      </c>
      <c r="B9" s="3">
        <f t="shared" ref="B9:B71" si="4">B8+1</f>
        <v>3</v>
      </c>
      <c r="C9" s="109" t="s">
        <v>30</v>
      </c>
      <c r="D9" s="109" t="s">
        <v>35</v>
      </c>
      <c r="E9" s="111" t="s">
        <v>732</v>
      </c>
      <c r="F9" s="116" t="s">
        <v>39</v>
      </c>
      <c r="G9" s="108" t="s">
        <v>40</v>
      </c>
      <c r="H9" s="107">
        <v>376.3</v>
      </c>
      <c r="I9" s="105">
        <v>3504094.9597229999</v>
      </c>
      <c r="J9" s="106" t="s">
        <v>642</v>
      </c>
      <c r="K9" s="105">
        <v>6818341.8500000006</v>
      </c>
      <c r="L9" s="105">
        <f t="shared" si="0"/>
        <v>6818341.8500000006</v>
      </c>
      <c r="M9" s="105">
        <f t="shared" si="1"/>
        <v>3314246.8902770006</v>
      </c>
      <c r="N9" s="104">
        <f t="shared" si="2"/>
        <v>0.94582108315323543</v>
      </c>
      <c r="O9" s="103" t="s">
        <v>38</v>
      </c>
      <c r="P9" s="103" t="s">
        <v>38</v>
      </c>
      <c r="Q9" s="102" t="s">
        <v>34</v>
      </c>
      <c r="R9" s="105">
        <f t="shared" si="3"/>
        <v>3504094.9597229999</v>
      </c>
    </row>
    <row r="10" spans="1:18" s="4" customFormat="1" x14ac:dyDescent="0.3">
      <c r="A10" s="1" t="s">
        <v>29</v>
      </c>
      <c r="B10" s="3">
        <f t="shared" si="4"/>
        <v>4</v>
      </c>
      <c r="C10" s="109" t="s">
        <v>30</v>
      </c>
      <c r="D10" s="109" t="s">
        <v>35</v>
      </c>
      <c r="E10" s="111" t="s">
        <v>732</v>
      </c>
      <c r="F10" s="116" t="s">
        <v>41</v>
      </c>
      <c r="G10" s="108" t="s">
        <v>42</v>
      </c>
      <c r="H10" s="107">
        <v>380.3</v>
      </c>
      <c r="I10" s="105">
        <v>3511692.4775140001</v>
      </c>
      <c r="J10" s="106" t="s">
        <v>642</v>
      </c>
      <c r="K10" s="105">
        <v>1483151.38</v>
      </c>
      <c r="L10" s="105">
        <f t="shared" si="0"/>
        <v>1483151.38</v>
      </c>
      <c r="M10" s="105">
        <f t="shared" si="1"/>
        <v>-2028541.0975140003</v>
      </c>
      <c r="N10" s="104">
        <f t="shared" si="2"/>
        <v>-0.57765339946567484</v>
      </c>
      <c r="O10" s="103" t="s">
        <v>38</v>
      </c>
      <c r="P10" s="103" t="s">
        <v>34</v>
      </c>
      <c r="Q10" s="102" t="s">
        <v>34</v>
      </c>
      <c r="R10" s="105">
        <f t="shared" si="3"/>
        <v>1483151.38</v>
      </c>
    </row>
    <row r="11" spans="1:18" s="4" customFormat="1" x14ac:dyDescent="0.3">
      <c r="A11" s="1" t="s">
        <v>29</v>
      </c>
      <c r="B11" s="3">
        <f t="shared" si="4"/>
        <v>5</v>
      </c>
      <c r="C11" s="109" t="s">
        <v>30</v>
      </c>
      <c r="D11" s="109" t="s">
        <v>35</v>
      </c>
      <c r="E11" s="111" t="s">
        <v>732</v>
      </c>
      <c r="F11" s="116" t="s">
        <v>43</v>
      </c>
      <c r="G11" s="108" t="s">
        <v>44</v>
      </c>
      <c r="H11" s="107">
        <v>378</v>
      </c>
      <c r="I11" s="105">
        <v>1901518.06</v>
      </c>
      <c r="J11" s="106" t="s">
        <v>58</v>
      </c>
      <c r="K11" s="105">
        <v>0</v>
      </c>
      <c r="L11" s="105">
        <f t="shared" si="0"/>
        <v>0</v>
      </c>
      <c r="M11" s="105">
        <f t="shared" si="1"/>
        <v>-1901518.06</v>
      </c>
      <c r="N11" s="104">
        <f t="shared" si="2"/>
        <v>-1</v>
      </c>
      <c r="O11" s="103" t="s">
        <v>38</v>
      </c>
      <c r="P11" s="103" t="s">
        <v>34</v>
      </c>
      <c r="Q11" s="110" t="s">
        <v>45</v>
      </c>
      <c r="R11" s="105">
        <f t="shared" si="3"/>
        <v>0</v>
      </c>
    </row>
    <row r="12" spans="1:18" s="4" customFormat="1" x14ac:dyDescent="0.3">
      <c r="A12" s="1" t="s">
        <v>29</v>
      </c>
      <c r="B12" s="3">
        <f t="shared" si="4"/>
        <v>6</v>
      </c>
      <c r="C12" s="109" t="s">
        <v>30</v>
      </c>
      <c r="D12" s="109" t="s">
        <v>35</v>
      </c>
      <c r="E12" s="111" t="s">
        <v>732</v>
      </c>
      <c r="F12" s="116" t="s">
        <v>46</v>
      </c>
      <c r="G12" s="108" t="s">
        <v>47</v>
      </c>
      <c r="H12" s="107">
        <v>376.3</v>
      </c>
      <c r="I12" s="105">
        <v>2258569</v>
      </c>
      <c r="J12" s="106" t="s">
        <v>58</v>
      </c>
      <c r="K12" s="105">
        <v>0</v>
      </c>
      <c r="L12" s="105">
        <f t="shared" si="0"/>
        <v>0</v>
      </c>
      <c r="M12" s="105">
        <f t="shared" si="1"/>
        <v>-2258569</v>
      </c>
      <c r="N12" s="104">
        <f t="shared" si="2"/>
        <v>-1</v>
      </c>
      <c r="O12" s="103" t="s">
        <v>38</v>
      </c>
      <c r="P12" s="103" t="s">
        <v>34</v>
      </c>
      <c r="Q12" s="110" t="s">
        <v>45</v>
      </c>
      <c r="R12" s="105">
        <f t="shared" si="3"/>
        <v>0</v>
      </c>
    </row>
    <row r="13" spans="1:18" s="4" customFormat="1" x14ac:dyDescent="0.3">
      <c r="A13" s="1" t="s">
        <v>29</v>
      </c>
      <c r="B13" s="3">
        <f t="shared" si="4"/>
        <v>7</v>
      </c>
      <c r="C13" s="109" t="s">
        <v>30</v>
      </c>
      <c r="D13" s="109" t="s">
        <v>35</v>
      </c>
      <c r="E13" s="111" t="s">
        <v>732</v>
      </c>
      <c r="F13" s="116" t="s">
        <v>48</v>
      </c>
      <c r="G13" s="108" t="s">
        <v>49</v>
      </c>
      <c r="H13" s="107">
        <v>376.3</v>
      </c>
      <c r="I13" s="105">
        <v>3610320.72</v>
      </c>
      <c r="J13" s="106" t="s">
        <v>58</v>
      </c>
      <c r="K13" s="105">
        <v>0</v>
      </c>
      <c r="L13" s="105">
        <f t="shared" si="0"/>
        <v>0</v>
      </c>
      <c r="M13" s="105">
        <f t="shared" si="1"/>
        <v>-3610320.72</v>
      </c>
      <c r="N13" s="104">
        <f t="shared" si="2"/>
        <v>-1</v>
      </c>
      <c r="O13" s="103" t="s">
        <v>38</v>
      </c>
      <c r="P13" s="103" t="s">
        <v>34</v>
      </c>
      <c r="Q13" s="102" t="s">
        <v>34</v>
      </c>
      <c r="R13" s="105">
        <f t="shared" si="3"/>
        <v>0</v>
      </c>
    </row>
    <row r="14" spans="1:18" s="4" customFormat="1" x14ac:dyDescent="0.3">
      <c r="A14" s="1" t="s">
        <v>29</v>
      </c>
      <c r="B14" s="3">
        <f t="shared" si="4"/>
        <v>8</v>
      </c>
      <c r="C14" s="109" t="s">
        <v>30</v>
      </c>
      <c r="D14" s="109" t="s">
        <v>35</v>
      </c>
      <c r="E14" s="111" t="s">
        <v>732</v>
      </c>
      <c r="F14" s="116" t="s">
        <v>50</v>
      </c>
      <c r="G14" s="108" t="s">
        <v>51</v>
      </c>
      <c r="H14" s="107">
        <v>303</v>
      </c>
      <c r="I14" s="105">
        <v>3016751.45</v>
      </c>
      <c r="J14" s="106" t="s">
        <v>58</v>
      </c>
      <c r="K14" s="105">
        <v>0</v>
      </c>
      <c r="L14" s="105">
        <f t="shared" si="0"/>
        <v>0</v>
      </c>
      <c r="M14" s="105">
        <f t="shared" si="1"/>
        <v>-3016751.45</v>
      </c>
      <c r="N14" s="104">
        <f t="shared" si="2"/>
        <v>-1</v>
      </c>
      <c r="O14" s="103" t="s">
        <v>38</v>
      </c>
      <c r="P14" s="103" t="s">
        <v>34</v>
      </c>
      <c r="Q14" s="110" t="s">
        <v>45</v>
      </c>
      <c r="R14" s="105">
        <f t="shared" si="3"/>
        <v>0</v>
      </c>
    </row>
    <row r="15" spans="1:18" s="4" customFormat="1" x14ac:dyDescent="0.3">
      <c r="A15" s="1" t="s">
        <v>29</v>
      </c>
      <c r="B15" s="3">
        <f t="shared" si="4"/>
        <v>9</v>
      </c>
      <c r="C15" s="109" t="s">
        <v>30</v>
      </c>
      <c r="D15" s="109" t="s">
        <v>35</v>
      </c>
      <c r="E15" s="111" t="s">
        <v>732</v>
      </c>
      <c r="F15" s="116" t="s">
        <v>52</v>
      </c>
      <c r="G15" s="108" t="s">
        <v>53</v>
      </c>
      <c r="H15" s="107">
        <v>376.2</v>
      </c>
      <c r="I15" s="105">
        <v>16645248.84</v>
      </c>
      <c r="J15" s="106" t="s">
        <v>643</v>
      </c>
      <c r="K15" s="105">
        <v>17471256.210000001</v>
      </c>
      <c r="L15" s="105">
        <f t="shared" si="0"/>
        <v>17471256.210000001</v>
      </c>
      <c r="M15" s="105">
        <f t="shared" si="1"/>
        <v>826007.37000000104</v>
      </c>
      <c r="N15" s="104">
        <f t="shared" si="2"/>
        <v>4.9624212767251187E-2</v>
      </c>
      <c r="O15" s="103" t="s">
        <v>38</v>
      </c>
      <c r="P15" s="103" t="s">
        <v>38</v>
      </c>
      <c r="Q15" s="110" t="s">
        <v>54</v>
      </c>
      <c r="R15" s="105">
        <f t="shared" si="3"/>
        <v>16645248.84</v>
      </c>
    </row>
    <row r="16" spans="1:18" s="24" customFormat="1" ht="17.5" customHeight="1" x14ac:dyDescent="0.35">
      <c r="A16" s="17" t="s">
        <v>55</v>
      </c>
      <c r="B16" s="5">
        <f t="shared" si="4"/>
        <v>10</v>
      </c>
      <c r="C16" s="18" t="s">
        <v>56</v>
      </c>
      <c r="D16" s="18"/>
      <c r="E16" s="112"/>
      <c r="F16" s="134" t="s">
        <v>57</v>
      </c>
      <c r="G16" s="18"/>
      <c r="H16" s="18" t="s">
        <v>58</v>
      </c>
      <c r="I16" s="20">
        <f>SUMIFS(I:I,$A:$A,"A")</f>
        <v>41466252.631983995</v>
      </c>
      <c r="J16" s="21"/>
      <c r="K16" s="20">
        <f>SUMIFS(K:K,$A:$A,"A")</f>
        <v>29415928.050000001</v>
      </c>
      <c r="L16" s="20">
        <f>SUMIFS(L:L,$A:$A,"A")</f>
        <v>29415928.050000001</v>
      </c>
      <c r="M16" s="20">
        <f>SUMIFS(M:M,$A:$A,"A")</f>
        <v>-12050324.581983998</v>
      </c>
      <c r="N16" s="22"/>
      <c r="O16" s="21"/>
      <c r="P16" s="21"/>
      <c r="Q16" s="23"/>
      <c r="R16" s="20">
        <f>SUMIFS(R:R,$A:$A,"A")</f>
        <v>25275673.789723001</v>
      </c>
    </row>
    <row r="17" spans="1:18" s="30" customFormat="1" x14ac:dyDescent="0.3">
      <c r="A17" s="25" t="s">
        <v>59</v>
      </c>
      <c r="B17" s="3">
        <f t="shared" si="4"/>
        <v>11</v>
      </c>
      <c r="C17" s="26"/>
      <c r="D17" s="26"/>
      <c r="E17" s="113"/>
      <c r="F17" s="26"/>
      <c r="G17" s="26"/>
      <c r="H17" s="26" t="s">
        <v>58</v>
      </c>
      <c r="I17" s="26"/>
      <c r="J17" s="27"/>
      <c r="K17" s="26"/>
      <c r="L17" s="26"/>
      <c r="M17" s="26"/>
      <c r="N17" s="28"/>
      <c r="O17" s="27"/>
      <c r="P17" s="27"/>
      <c r="Q17" s="29"/>
      <c r="R17" s="26"/>
    </row>
    <row r="18" spans="1:18" s="4" customFormat="1" x14ac:dyDescent="0.3">
      <c r="A18" s="1" t="s">
        <v>60</v>
      </c>
      <c r="B18" s="3">
        <f t="shared" si="4"/>
        <v>12</v>
      </c>
      <c r="C18" s="4" t="s">
        <v>61</v>
      </c>
      <c r="D18" s="4" t="s">
        <v>31</v>
      </c>
      <c r="E18" s="111" t="s">
        <v>731</v>
      </c>
      <c r="F18" s="7" t="s">
        <v>62</v>
      </c>
      <c r="G18" s="7" t="s">
        <v>63</v>
      </c>
      <c r="H18" s="31">
        <v>397.4</v>
      </c>
      <c r="I18" s="32">
        <v>398580.42</v>
      </c>
      <c r="J18" s="11" t="s">
        <v>644</v>
      </c>
      <c r="K18" s="10">
        <v>398580.42</v>
      </c>
      <c r="L18" s="10">
        <f t="shared" ref="L18:L80" si="5">K18</f>
        <v>398580.42</v>
      </c>
      <c r="M18" s="10">
        <f t="shared" ref="M18:M81" si="6">SUM(K18)-I18</f>
        <v>0</v>
      </c>
      <c r="N18" s="12">
        <f t="shared" ref="N18:N81" si="7">IFERROR(IF(AND(I18=0,M18=0),"NA",(M18/I18)),"")</f>
        <v>0</v>
      </c>
      <c r="O18" s="13" t="s">
        <v>34</v>
      </c>
      <c r="P18" s="13" t="s">
        <v>34</v>
      </c>
      <c r="Q18" s="14" t="s">
        <v>34</v>
      </c>
      <c r="R18" s="10">
        <f t="shared" ref="R18:R81" si="8">K18</f>
        <v>398580.42</v>
      </c>
    </row>
    <row r="19" spans="1:18" s="4" customFormat="1" x14ac:dyDescent="0.3">
      <c r="A19" s="1" t="s">
        <v>60</v>
      </c>
      <c r="B19" s="3">
        <f t="shared" si="4"/>
        <v>13</v>
      </c>
      <c r="C19" s="109" t="s">
        <v>61</v>
      </c>
      <c r="D19" s="109" t="s">
        <v>64</v>
      </c>
      <c r="E19" s="111" t="s">
        <v>733</v>
      </c>
      <c r="F19" s="116" t="s">
        <v>65</v>
      </c>
      <c r="G19" s="108" t="s">
        <v>66</v>
      </c>
      <c r="H19" s="107">
        <v>396.2</v>
      </c>
      <c r="I19" s="105">
        <v>2463904.4573269999</v>
      </c>
      <c r="J19" s="106" t="s">
        <v>643</v>
      </c>
      <c r="K19" s="105">
        <v>1493405.4499999997</v>
      </c>
      <c r="L19" s="105">
        <f t="shared" si="5"/>
        <v>1493405.4499999997</v>
      </c>
      <c r="M19" s="105">
        <f t="shared" si="6"/>
        <v>-970499.00732700014</v>
      </c>
      <c r="N19" s="104">
        <f t="shared" si="7"/>
        <v>-0.39388662350157</v>
      </c>
      <c r="O19" s="103" t="s">
        <v>38</v>
      </c>
      <c r="P19" s="103" t="s">
        <v>34</v>
      </c>
      <c r="Q19" s="102" t="s">
        <v>34</v>
      </c>
      <c r="R19" s="105">
        <f t="shared" si="8"/>
        <v>1493405.4499999997</v>
      </c>
    </row>
    <row r="20" spans="1:18" s="4" customFormat="1" x14ac:dyDescent="0.3">
      <c r="A20" s="1" t="s">
        <v>60</v>
      </c>
      <c r="B20" s="3">
        <f t="shared" si="4"/>
        <v>14</v>
      </c>
      <c r="C20" s="109" t="s">
        <v>61</v>
      </c>
      <c r="D20" s="109" t="s">
        <v>64</v>
      </c>
      <c r="E20" s="111" t="s">
        <v>734</v>
      </c>
      <c r="F20" s="116" t="s">
        <v>67</v>
      </c>
      <c r="G20" s="108" t="s">
        <v>68</v>
      </c>
      <c r="H20" s="107">
        <v>397.2</v>
      </c>
      <c r="I20" s="105">
        <v>87401.493662000037</v>
      </c>
      <c r="J20" s="106" t="s">
        <v>643</v>
      </c>
      <c r="K20" s="105">
        <v>60573.860000000008</v>
      </c>
      <c r="L20" s="105">
        <f t="shared" si="5"/>
        <v>60573.860000000008</v>
      </c>
      <c r="M20" s="105">
        <f t="shared" si="6"/>
        <v>-26827.633662000029</v>
      </c>
      <c r="N20" s="104">
        <f t="shared" si="7"/>
        <v>-0.3069470845172067</v>
      </c>
      <c r="O20" s="103" t="s">
        <v>38</v>
      </c>
      <c r="P20" s="103" t="s">
        <v>34</v>
      </c>
      <c r="Q20" s="102" t="s">
        <v>34</v>
      </c>
      <c r="R20" s="105">
        <f t="shared" si="8"/>
        <v>60573.860000000008</v>
      </c>
    </row>
    <row r="21" spans="1:18" s="4" customFormat="1" x14ac:dyDescent="0.3">
      <c r="A21" s="1" t="s">
        <v>60</v>
      </c>
      <c r="B21" s="3">
        <f t="shared" si="4"/>
        <v>15</v>
      </c>
      <c r="C21" s="4" t="s">
        <v>61</v>
      </c>
      <c r="D21" s="4" t="s">
        <v>64</v>
      </c>
      <c r="E21" s="111" t="s">
        <v>733</v>
      </c>
      <c r="F21" s="6" t="s">
        <v>69</v>
      </c>
      <c r="G21" s="7" t="s">
        <v>70</v>
      </c>
      <c r="H21" s="31">
        <v>376</v>
      </c>
      <c r="I21" s="15">
        <v>-2677.37</v>
      </c>
      <c r="J21" s="11" t="s">
        <v>645</v>
      </c>
      <c r="K21" s="33">
        <v>-2677.37</v>
      </c>
      <c r="L21" s="33">
        <f t="shared" si="5"/>
        <v>-2677.37</v>
      </c>
      <c r="M21" s="33">
        <f t="shared" si="6"/>
        <v>0</v>
      </c>
      <c r="N21" s="12">
        <f t="shared" si="7"/>
        <v>0</v>
      </c>
      <c r="O21" s="13" t="s">
        <v>34</v>
      </c>
      <c r="P21" s="13" t="s">
        <v>34</v>
      </c>
      <c r="Q21" s="14" t="s">
        <v>34</v>
      </c>
      <c r="R21" s="33">
        <f t="shared" si="8"/>
        <v>-2677.37</v>
      </c>
    </row>
    <row r="22" spans="1:18" s="4" customFormat="1" x14ac:dyDescent="0.3">
      <c r="A22" s="1" t="s">
        <v>60</v>
      </c>
      <c r="B22" s="3">
        <f t="shared" si="4"/>
        <v>16</v>
      </c>
      <c r="C22" s="4" t="s">
        <v>61</v>
      </c>
      <c r="D22" s="4" t="s">
        <v>35</v>
      </c>
      <c r="E22" s="111" t="s">
        <v>735</v>
      </c>
      <c r="F22" s="6" t="s">
        <v>71</v>
      </c>
      <c r="G22" s="7" t="s">
        <v>72</v>
      </c>
      <c r="H22" s="31">
        <v>378</v>
      </c>
      <c r="I22" s="15">
        <v>242320</v>
      </c>
      <c r="J22" s="11" t="s">
        <v>643</v>
      </c>
      <c r="K22" s="33">
        <v>34230.49</v>
      </c>
      <c r="L22" s="33">
        <f t="shared" si="5"/>
        <v>34230.49</v>
      </c>
      <c r="M22" s="33">
        <f t="shared" si="6"/>
        <v>-208089.51</v>
      </c>
      <c r="N22" s="12">
        <f t="shared" si="7"/>
        <v>-0.85873848629910865</v>
      </c>
      <c r="O22" s="13" t="s">
        <v>38</v>
      </c>
      <c r="P22" s="13" t="s">
        <v>34</v>
      </c>
      <c r="Q22" s="14" t="s">
        <v>34</v>
      </c>
      <c r="R22" s="33">
        <f t="shared" si="8"/>
        <v>34230.49</v>
      </c>
    </row>
    <row r="23" spans="1:18" s="4" customFormat="1" x14ac:dyDescent="0.3">
      <c r="A23" s="1" t="s">
        <v>60</v>
      </c>
      <c r="B23" s="3">
        <f t="shared" si="4"/>
        <v>17</v>
      </c>
      <c r="C23" s="4" t="s">
        <v>61</v>
      </c>
      <c r="D23" s="4" t="s">
        <v>35</v>
      </c>
      <c r="E23" s="111" t="s">
        <v>735</v>
      </c>
      <c r="F23" s="6" t="s">
        <v>73</v>
      </c>
      <c r="G23" s="7" t="s">
        <v>74</v>
      </c>
      <c r="H23" s="31">
        <v>378</v>
      </c>
      <c r="I23" s="15">
        <v>498617.41878399998</v>
      </c>
      <c r="J23" s="11" t="s">
        <v>643</v>
      </c>
      <c r="K23" s="33">
        <v>727679.96999999986</v>
      </c>
      <c r="L23" s="33">
        <f t="shared" si="5"/>
        <v>727679.96999999986</v>
      </c>
      <c r="M23" s="33">
        <f t="shared" si="6"/>
        <v>229062.55121599988</v>
      </c>
      <c r="N23" s="12">
        <f t="shared" si="7"/>
        <v>0.45939540534830231</v>
      </c>
      <c r="O23" s="13" t="s">
        <v>38</v>
      </c>
      <c r="P23" s="13" t="s">
        <v>38</v>
      </c>
      <c r="Q23" s="14" t="s">
        <v>34</v>
      </c>
      <c r="R23" s="33">
        <f t="shared" si="8"/>
        <v>727679.96999999986</v>
      </c>
    </row>
    <row r="24" spans="1:18" s="4" customFormat="1" x14ac:dyDescent="0.3">
      <c r="A24" s="1" t="s">
        <v>60</v>
      </c>
      <c r="B24" s="3">
        <f t="shared" si="4"/>
        <v>18</v>
      </c>
      <c r="C24" s="4" t="s">
        <v>61</v>
      </c>
      <c r="D24" s="4" t="s">
        <v>64</v>
      </c>
      <c r="E24" s="111" t="s">
        <v>733</v>
      </c>
      <c r="F24" s="6" t="s">
        <v>75</v>
      </c>
      <c r="G24" s="7" t="s">
        <v>76</v>
      </c>
      <c r="H24" s="31">
        <v>381</v>
      </c>
      <c r="I24" s="15">
        <v>5937987.0246250005</v>
      </c>
      <c r="J24" s="11" t="s">
        <v>643</v>
      </c>
      <c r="K24" s="33">
        <v>3564813.7799999993</v>
      </c>
      <c r="L24" s="33">
        <f t="shared" si="5"/>
        <v>3564813.7799999993</v>
      </c>
      <c r="M24" s="33">
        <f t="shared" si="6"/>
        <v>-2373173.2446250012</v>
      </c>
      <c r="N24" s="12">
        <f t="shared" si="7"/>
        <v>-0.3996595537820114</v>
      </c>
      <c r="O24" s="13" t="s">
        <v>38</v>
      </c>
      <c r="P24" s="13" t="s">
        <v>34</v>
      </c>
      <c r="Q24" s="14" t="s">
        <v>34</v>
      </c>
      <c r="R24" s="33">
        <f t="shared" si="8"/>
        <v>3564813.7799999993</v>
      </c>
    </row>
    <row r="25" spans="1:18" s="4" customFormat="1" x14ac:dyDescent="0.3">
      <c r="A25" s="1" t="s">
        <v>60</v>
      </c>
      <c r="B25" s="3">
        <f t="shared" si="4"/>
        <v>19</v>
      </c>
      <c r="C25" s="4" t="s">
        <v>61</v>
      </c>
      <c r="D25" s="4" t="s">
        <v>64</v>
      </c>
      <c r="E25" s="111" t="s">
        <v>733</v>
      </c>
      <c r="F25" s="6" t="s">
        <v>77</v>
      </c>
      <c r="G25" s="7" t="s">
        <v>78</v>
      </c>
      <c r="H25" s="31">
        <v>392.2</v>
      </c>
      <c r="I25" s="15">
        <v>1060664.9308400003</v>
      </c>
      <c r="J25" s="11" t="s">
        <v>643</v>
      </c>
      <c r="K25" s="33">
        <v>896387.9</v>
      </c>
      <c r="L25" s="33">
        <f t="shared" si="5"/>
        <v>896387.9</v>
      </c>
      <c r="M25" s="33">
        <f t="shared" si="6"/>
        <v>-164277.03084000025</v>
      </c>
      <c r="N25" s="12">
        <f t="shared" si="7"/>
        <v>-0.15488117506619176</v>
      </c>
      <c r="O25" s="13" t="s">
        <v>38</v>
      </c>
      <c r="P25" s="13" t="s">
        <v>34</v>
      </c>
      <c r="Q25" s="14" t="s">
        <v>34</v>
      </c>
      <c r="R25" s="33">
        <f t="shared" si="8"/>
        <v>896387.9</v>
      </c>
    </row>
    <row r="26" spans="1:18" s="4" customFormat="1" x14ac:dyDescent="0.3">
      <c r="A26" s="1" t="s">
        <v>60</v>
      </c>
      <c r="B26" s="3">
        <f t="shared" si="4"/>
        <v>20</v>
      </c>
      <c r="C26" s="4" t="s">
        <v>61</v>
      </c>
      <c r="D26" s="4" t="s">
        <v>64</v>
      </c>
      <c r="E26" s="111" t="s">
        <v>734</v>
      </c>
      <c r="F26" s="6" t="s">
        <v>79</v>
      </c>
      <c r="G26" s="7" t="s">
        <v>80</v>
      </c>
      <c r="H26" s="31">
        <v>383</v>
      </c>
      <c r="I26" s="15">
        <v>547264.69962499989</v>
      </c>
      <c r="J26" s="11" t="s">
        <v>643</v>
      </c>
      <c r="K26" s="33">
        <v>592019.65</v>
      </c>
      <c r="L26" s="33">
        <f t="shared" si="5"/>
        <v>592019.65</v>
      </c>
      <c r="M26" s="33">
        <f t="shared" si="6"/>
        <v>44754.950375000131</v>
      </c>
      <c r="N26" s="12">
        <f t="shared" si="7"/>
        <v>8.1779348102787183E-2</v>
      </c>
      <c r="O26" s="13" t="s">
        <v>34</v>
      </c>
      <c r="P26" s="13" t="s">
        <v>34</v>
      </c>
      <c r="Q26" s="14" t="s">
        <v>34</v>
      </c>
      <c r="R26" s="33">
        <f t="shared" si="8"/>
        <v>592019.65</v>
      </c>
    </row>
    <row r="27" spans="1:18" s="4" customFormat="1" x14ac:dyDescent="0.3">
      <c r="A27" s="1" t="s">
        <v>60</v>
      </c>
      <c r="B27" s="3">
        <f t="shared" si="4"/>
        <v>21</v>
      </c>
      <c r="C27" s="4" t="s">
        <v>61</v>
      </c>
      <c r="D27" s="4" t="s">
        <v>81</v>
      </c>
      <c r="E27" s="111" t="s">
        <v>736</v>
      </c>
      <c r="F27" s="6" t="s">
        <v>82</v>
      </c>
      <c r="G27" s="7" t="s">
        <v>83</v>
      </c>
      <c r="H27" s="31">
        <v>303</v>
      </c>
      <c r="I27" s="15">
        <v>148544.66490900001</v>
      </c>
      <c r="J27" s="11" t="s">
        <v>643</v>
      </c>
      <c r="K27" s="33">
        <v>121468.21</v>
      </c>
      <c r="L27" s="33">
        <f t="shared" si="5"/>
        <v>121468.21</v>
      </c>
      <c r="M27" s="33">
        <f t="shared" si="6"/>
        <v>-27076.454909000007</v>
      </c>
      <c r="N27" s="12">
        <f t="shared" si="7"/>
        <v>-0.18227820518217414</v>
      </c>
      <c r="O27" s="13" t="s">
        <v>38</v>
      </c>
      <c r="P27" s="13" t="s">
        <v>34</v>
      </c>
      <c r="Q27" s="14" t="s">
        <v>34</v>
      </c>
      <c r="R27" s="33">
        <f t="shared" si="8"/>
        <v>121468.21</v>
      </c>
    </row>
    <row r="28" spans="1:18" s="4" customFormat="1" x14ac:dyDescent="0.3">
      <c r="A28" s="1" t="s">
        <v>60</v>
      </c>
      <c r="B28" s="3">
        <f t="shared" si="4"/>
        <v>22</v>
      </c>
      <c r="C28" s="4" t="s">
        <v>61</v>
      </c>
      <c r="D28" s="4" t="s">
        <v>64</v>
      </c>
      <c r="E28" s="111" t="s">
        <v>734</v>
      </c>
      <c r="F28" s="6" t="s">
        <v>84</v>
      </c>
      <c r="G28" s="7" t="s">
        <v>85</v>
      </c>
      <c r="H28" s="31">
        <v>391.3</v>
      </c>
      <c r="I28" s="15">
        <v>113444.00484100005</v>
      </c>
      <c r="J28" s="11" t="s">
        <v>643</v>
      </c>
      <c r="K28" s="33">
        <v>68901.78</v>
      </c>
      <c r="L28" s="33">
        <f t="shared" si="5"/>
        <v>68901.78</v>
      </c>
      <c r="M28" s="33">
        <f t="shared" si="6"/>
        <v>-44542.224841000047</v>
      </c>
      <c r="N28" s="12">
        <f t="shared" si="7"/>
        <v>-0.39263621646140917</v>
      </c>
      <c r="O28" s="13" t="s">
        <v>38</v>
      </c>
      <c r="P28" s="13" t="s">
        <v>34</v>
      </c>
      <c r="Q28" s="14" t="s">
        <v>34</v>
      </c>
      <c r="R28" s="33">
        <f t="shared" si="8"/>
        <v>68901.78</v>
      </c>
    </row>
    <row r="29" spans="1:18" s="4" customFormat="1" x14ac:dyDescent="0.3">
      <c r="A29" s="1" t="s">
        <v>60</v>
      </c>
      <c r="B29" s="3">
        <f t="shared" si="4"/>
        <v>23</v>
      </c>
      <c r="C29" s="4" t="s">
        <v>61</v>
      </c>
      <c r="D29" s="4" t="s">
        <v>35</v>
      </c>
      <c r="E29" s="111" t="s">
        <v>735</v>
      </c>
      <c r="F29" s="6" t="s">
        <v>86</v>
      </c>
      <c r="G29" s="7" t="s">
        <v>87</v>
      </c>
      <c r="H29" s="31">
        <v>376.1</v>
      </c>
      <c r="I29" s="15">
        <v>602782.14000000013</v>
      </c>
      <c r="J29" s="11" t="s">
        <v>643</v>
      </c>
      <c r="K29" s="33">
        <v>75004.259999999995</v>
      </c>
      <c r="L29" s="33">
        <f t="shared" si="5"/>
        <v>75004.259999999995</v>
      </c>
      <c r="M29" s="33">
        <f t="shared" si="6"/>
        <v>-527777.88000000012</v>
      </c>
      <c r="N29" s="12">
        <f t="shared" si="7"/>
        <v>-0.87556987006947484</v>
      </c>
      <c r="O29" s="13" t="s">
        <v>38</v>
      </c>
      <c r="P29" s="13" t="s">
        <v>34</v>
      </c>
      <c r="Q29" s="14" t="s">
        <v>34</v>
      </c>
      <c r="R29" s="33">
        <f t="shared" si="8"/>
        <v>75004.259999999995</v>
      </c>
    </row>
    <row r="30" spans="1:18" s="4" customFormat="1" x14ac:dyDescent="0.3">
      <c r="A30" s="1" t="s">
        <v>60</v>
      </c>
      <c r="B30" s="3">
        <f t="shared" si="4"/>
        <v>24</v>
      </c>
      <c r="C30" s="4" t="s">
        <v>61</v>
      </c>
      <c r="D30" s="4" t="s">
        <v>35</v>
      </c>
      <c r="E30" s="111" t="s">
        <v>732</v>
      </c>
      <c r="F30" s="6" t="s">
        <v>88</v>
      </c>
      <c r="G30" s="7" t="s">
        <v>89</v>
      </c>
      <c r="H30" s="31">
        <v>376.2</v>
      </c>
      <c r="I30" s="15">
        <v>2430742.7749890001</v>
      </c>
      <c r="J30" s="11" t="s">
        <v>644</v>
      </c>
      <c r="K30" s="33">
        <v>2933025.9999999995</v>
      </c>
      <c r="L30" s="33">
        <f t="shared" si="5"/>
        <v>2933025.9999999995</v>
      </c>
      <c r="M30" s="33">
        <f t="shared" si="6"/>
        <v>502283.22501099948</v>
      </c>
      <c r="N30" s="12">
        <f t="shared" si="7"/>
        <v>0.20663775294499126</v>
      </c>
      <c r="O30" s="13" t="s">
        <v>38</v>
      </c>
      <c r="P30" s="13" t="s">
        <v>38</v>
      </c>
      <c r="Q30" s="14" t="s">
        <v>34</v>
      </c>
      <c r="R30" s="33">
        <f t="shared" si="8"/>
        <v>2933025.9999999995</v>
      </c>
    </row>
    <row r="31" spans="1:18" s="4" customFormat="1" x14ac:dyDescent="0.3">
      <c r="A31" s="1" t="s">
        <v>60</v>
      </c>
      <c r="B31" s="3">
        <f t="shared" si="4"/>
        <v>25</v>
      </c>
      <c r="C31" s="4" t="s">
        <v>61</v>
      </c>
      <c r="D31" s="4" t="s">
        <v>35</v>
      </c>
      <c r="E31" s="111"/>
      <c r="F31" s="6" t="s">
        <v>90</v>
      </c>
      <c r="G31" s="7" t="s">
        <v>91</v>
      </c>
      <c r="H31" s="31">
        <v>376</v>
      </c>
      <c r="I31" s="15">
        <v>-24677.119999999999</v>
      </c>
      <c r="J31" s="11" t="s">
        <v>644</v>
      </c>
      <c r="K31" s="33">
        <v>-24677.119999999999</v>
      </c>
      <c r="L31" s="33">
        <f t="shared" si="5"/>
        <v>-24677.119999999999</v>
      </c>
      <c r="M31" s="33">
        <f t="shared" si="6"/>
        <v>0</v>
      </c>
      <c r="N31" s="12">
        <f t="shared" si="7"/>
        <v>0</v>
      </c>
      <c r="O31" s="13" t="s">
        <v>34</v>
      </c>
      <c r="P31" s="13" t="s">
        <v>34</v>
      </c>
      <c r="Q31" s="14" t="s">
        <v>34</v>
      </c>
      <c r="R31" s="33">
        <f t="shared" si="8"/>
        <v>-24677.119999999999</v>
      </c>
    </row>
    <row r="32" spans="1:18" s="4" customFormat="1" x14ac:dyDescent="0.3">
      <c r="A32" s="1" t="s">
        <v>60</v>
      </c>
      <c r="B32" s="3">
        <f t="shared" si="4"/>
        <v>26</v>
      </c>
      <c r="C32" s="4" t="s">
        <v>61</v>
      </c>
      <c r="D32" s="4" t="s">
        <v>35</v>
      </c>
      <c r="E32" s="111" t="s">
        <v>735</v>
      </c>
      <c r="F32" s="6" t="s">
        <v>92</v>
      </c>
      <c r="G32" s="7" t="s">
        <v>93</v>
      </c>
      <c r="H32" s="31">
        <v>376.2</v>
      </c>
      <c r="I32" s="15">
        <v>427000</v>
      </c>
      <c r="J32" s="11" t="s">
        <v>646</v>
      </c>
      <c r="K32" s="33">
        <v>434558.10000000009</v>
      </c>
      <c r="L32" s="33">
        <f t="shared" si="5"/>
        <v>434558.10000000009</v>
      </c>
      <c r="M32" s="33">
        <f t="shared" si="6"/>
        <v>7558.1000000000931</v>
      </c>
      <c r="N32" s="12">
        <f t="shared" si="7"/>
        <v>1.7700468384075161E-2</v>
      </c>
      <c r="O32" s="13" t="s">
        <v>34</v>
      </c>
      <c r="P32" s="13" t="s">
        <v>34</v>
      </c>
      <c r="Q32" s="14" t="s">
        <v>34</v>
      </c>
      <c r="R32" s="33">
        <f t="shared" si="8"/>
        <v>434558.10000000009</v>
      </c>
    </row>
    <row r="33" spans="1:18" s="4" customFormat="1" x14ac:dyDescent="0.3">
      <c r="A33" s="1" t="s">
        <v>60</v>
      </c>
      <c r="B33" s="3">
        <f t="shared" si="4"/>
        <v>27</v>
      </c>
      <c r="C33" s="4" t="s">
        <v>61</v>
      </c>
      <c r="D33" s="4" t="s">
        <v>35</v>
      </c>
      <c r="E33" s="111"/>
      <c r="F33" s="6" t="s">
        <v>94</v>
      </c>
      <c r="G33" s="7" t="s">
        <v>95</v>
      </c>
      <c r="H33" s="31">
        <v>376</v>
      </c>
      <c r="I33" s="15">
        <v>3207.5600000000004</v>
      </c>
      <c r="J33" s="11" t="s">
        <v>646</v>
      </c>
      <c r="K33" s="33">
        <v>3207.5600000000004</v>
      </c>
      <c r="L33" s="33">
        <f t="shared" si="5"/>
        <v>3207.5600000000004</v>
      </c>
      <c r="M33" s="33">
        <f t="shared" si="6"/>
        <v>0</v>
      </c>
      <c r="N33" s="12">
        <f t="shared" si="7"/>
        <v>0</v>
      </c>
      <c r="O33" s="13" t="s">
        <v>34</v>
      </c>
      <c r="P33" s="13" t="s">
        <v>34</v>
      </c>
      <c r="Q33" s="14" t="s">
        <v>34</v>
      </c>
      <c r="R33" s="33">
        <f t="shared" si="8"/>
        <v>3207.5600000000004</v>
      </c>
    </row>
    <row r="34" spans="1:18" s="4" customFormat="1" x14ac:dyDescent="0.3">
      <c r="A34" s="1" t="s">
        <v>60</v>
      </c>
      <c r="B34" s="3">
        <f t="shared" si="4"/>
        <v>28</v>
      </c>
      <c r="C34" s="4" t="s">
        <v>61</v>
      </c>
      <c r="D34" s="4" t="s">
        <v>35</v>
      </c>
      <c r="E34" s="111" t="s">
        <v>732</v>
      </c>
      <c r="F34" s="6" t="s">
        <v>96</v>
      </c>
      <c r="G34" s="7" t="s">
        <v>97</v>
      </c>
      <c r="H34" s="31">
        <v>376</v>
      </c>
      <c r="I34" s="15">
        <v>22281.93</v>
      </c>
      <c r="J34" s="11" t="s">
        <v>641</v>
      </c>
      <c r="K34" s="33">
        <v>22345.96</v>
      </c>
      <c r="L34" s="33">
        <f t="shared" si="5"/>
        <v>22345.96</v>
      </c>
      <c r="M34" s="33">
        <f t="shared" si="6"/>
        <v>64.029999999998836</v>
      </c>
      <c r="N34" s="12">
        <f t="shared" si="7"/>
        <v>2.8736289899483048E-3</v>
      </c>
      <c r="O34" s="13" t="s">
        <v>34</v>
      </c>
      <c r="P34" s="13" t="s">
        <v>34</v>
      </c>
      <c r="Q34" s="14" t="s">
        <v>34</v>
      </c>
      <c r="R34" s="33">
        <f t="shared" si="8"/>
        <v>22345.96</v>
      </c>
    </row>
    <row r="35" spans="1:18" s="4" customFormat="1" x14ac:dyDescent="0.3">
      <c r="A35" s="1" t="s">
        <v>60</v>
      </c>
      <c r="B35" s="3">
        <f t="shared" si="4"/>
        <v>29</v>
      </c>
      <c r="C35" s="4" t="s">
        <v>61</v>
      </c>
      <c r="D35" s="4" t="s">
        <v>35</v>
      </c>
      <c r="E35" s="111" t="s">
        <v>735</v>
      </c>
      <c r="F35" s="6" t="s">
        <v>98</v>
      </c>
      <c r="G35" s="7" t="s">
        <v>99</v>
      </c>
      <c r="H35" s="31">
        <v>376.2</v>
      </c>
      <c r="I35" s="15">
        <v>750000</v>
      </c>
      <c r="J35" s="11" t="s">
        <v>645</v>
      </c>
      <c r="K35" s="33">
        <v>1089143.22</v>
      </c>
      <c r="L35" s="33">
        <f t="shared" si="5"/>
        <v>1089143.22</v>
      </c>
      <c r="M35" s="33">
        <f t="shared" si="6"/>
        <v>339143.22</v>
      </c>
      <c r="N35" s="12">
        <f t="shared" si="7"/>
        <v>0.45219095999999998</v>
      </c>
      <c r="O35" s="13" t="s">
        <v>38</v>
      </c>
      <c r="P35" s="13" t="s">
        <v>38</v>
      </c>
      <c r="Q35" s="16" t="s">
        <v>100</v>
      </c>
      <c r="R35" s="33">
        <f t="shared" si="8"/>
        <v>1089143.22</v>
      </c>
    </row>
    <row r="36" spans="1:18" s="4" customFormat="1" x14ac:dyDescent="0.3">
      <c r="A36" s="1" t="s">
        <v>60</v>
      </c>
      <c r="B36" s="3">
        <f t="shared" si="4"/>
        <v>30</v>
      </c>
      <c r="C36" s="4" t="s">
        <v>61</v>
      </c>
      <c r="D36" s="4" t="s">
        <v>64</v>
      </c>
      <c r="E36" s="111" t="s">
        <v>734</v>
      </c>
      <c r="F36" s="6" t="s">
        <v>101</v>
      </c>
      <c r="G36" s="7" t="s">
        <v>102</v>
      </c>
      <c r="H36" s="31">
        <v>391.3</v>
      </c>
      <c r="I36" s="15">
        <v>139476.66683600002</v>
      </c>
      <c r="J36" s="11" t="s">
        <v>643</v>
      </c>
      <c r="K36" s="33">
        <v>111863.98</v>
      </c>
      <c r="L36" s="33">
        <f t="shared" si="5"/>
        <v>111863.98</v>
      </c>
      <c r="M36" s="33">
        <f t="shared" si="6"/>
        <v>-27612.686836000023</v>
      </c>
      <c r="N36" s="12">
        <f t="shared" si="7"/>
        <v>-0.19797352103680307</v>
      </c>
      <c r="O36" s="13" t="s">
        <v>38</v>
      </c>
      <c r="P36" s="13" t="s">
        <v>34</v>
      </c>
      <c r="Q36" s="14" t="s">
        <v>34</v>
      </c>
      <c r="R36" s="33">
        <f t="shared" si="8"/>
        <v>111863.98</v>
      </c>
    </row>
    <row r="37" spans="1:18" s="4" customFormat="1" x14ac:dyDescent="0.3">
      <c r="A37" s="1" t="s">
        <v>60</v>
      </c>
      <c r="B37" s="3">
        <f t="shared" si="4"/>
        <v>31</v>
      </c>
      <c r="C37" s="4" t="s">
        <v>61</v>
      </c>
      <c r="D37" s="4" t="s">
        <v>103</v>
      </c>
      <c r="E37" s="111" t="s">
        <v>737</v>
      </c>
      <c r="F37" s="6" t="s">
        <v>104</v>
      </c>
      <c r="G37" s="7" t="s">
        <v>105</v>
      </c>
      <c r="H37" s="31">
        <v>303</v>
      </c>
      <c r="I37" s="15">
        <v>109304.12705800001</v>
      </c>
      <c r="J37" s="11" t="s">
        <v>58</v>
      </c>
      <c r="K37" s="33">
        <v>0</v>
      </c>
      <c r="L37" s="33">
        <f t="shared" si="5"/>
        <v>0</v>
      </c>
      <c r="M37" s="33">
        <f t="shared" si="6"/>
        <v>-109304.12705800001</v>
      </c>
      <c r="N37" s="12">
        <f t="shared" si="7"/>
        <v>-1</v>
      </c>
      <c r="O37" s="13" t="s">
        <v>38</v>
      </c>
      <c r="P37" s="13" t="s">
        <v>34</v>
      </c>
      <c r="Q37" s="14" t="s">
        <v>34</v>
      </c>
      <c r="R37" s="33">
        <f t="shared" si="8"/>
        <v>0</v>
      </c>
    </row>
    <row r="38" spans="1:18" s="4" customFormat="1" x14ac:dyDescent="0.3">
      <c r="A38" s="1" t="s">
        <v>60</v>
      </c>
      <c r="B38" s="3">
        <f t="shared" si="4"/>
        <v>32</v>
      </c>
      <c r="C38" s="4" t="s">
        <v>61</v>
      </c>
      <c r="D38" s="4" t="s">
        <v>64</v>
      </c>
      <c r="E38" s="111" t="s">
        <v>734</v>
      </c>
      <c r="F38" s="6" t="s">
        <v>106</v>
      </c>
      <c r="G38" s="7" t="s">
        <v>107</v>
      </c>
      <c r="H38" s="31">
        <v>391.5</v>
      </c>
      <c r="I38" s="15">
        <v>97895.851235000009</v>
      </c>
      <c r="J38" s="11" t="s">
        <v>647</v>
      </c>
      <c r="K38" s="33">
        <v>5778.75</v>
      </c>
      <c r="L38" s="33">
        <f t="shared" si="5"/>
        <v>5778.75</v>
      </c>
      <c r="M38" s="33">
        <f t="shared" si="6"/>
        <v>-92117.101235000009</v>
      </c>
      <c r="N38" s="12">
        <f t="shared" si="7"/>
        <v>-0.94097043003254499</v>
      </c>
      <c r="O38" s="13" t="s">
        <v>38</v>
      </c>
      <c r="P38" s="13" t="s">
        <v>34</v>
      </c>
      <c r="Q38" s="14" t="s">
        <v>34</v>
      </c>
      <c r="R38" s="33">
        <f t="shared" si="8"/>
        <v>5778.75</v>
      </c>
    </row>
    <row r="39" spans="1:18" s="4" customFormat="1" x14ac:dyDescent="0.3">
      <c r="A39" s="1" t="s">
        <v>60</v>
      </c>
      <c r="B39" s="3">
        <f t="shared" si="4"/>
        <v>33</v>
      </c>
      <c r="C39" s="4" t="s">
        <v>61</v>
      </c>
      <c r="D39" s="4" t="s">
        <v>35</v>
      </c>
      <c r="E39" s="111" t="s">
        <v>732</v>
      </c>
      <c r="F39" s="6" t="s">
        <v>108</v>
      </c>
      <c r="G39" s="7" t="s">
        <v>109</v>
      </c>
      <c r="H39" s="31">
        <v>379</v>
      </c>
      <c r="I39" s="15">
        <v>42890.189999999995</v>
      </c>
      <c r="J39" s="11" t="s">
        <v>646</v>
      </c>
      <c r="K39" s="33">
        <v>45153.599999999991</v>
      </c>
      <c r="L39" s="33">
        <f t="shared" si="5"/>
        <v>45153.599999999991</v>
      </c>
      <c r="M39" s="33">
        <f t="shared" si="6"/>
        <v>2263.4099999999962</v>
      </c>
      <c r="N39" s="12">
        <f t="shared" si="7"/>
        <v>5.2772207350911628E-2</v>
      </c>
      <c r="O39" s="13" t="s">
        <v>34</v>
      </c>
      <c r="P39" s="13" t="s">
        <v>34</v>
      </c>
      <c r="Q39" s="14" t="s">
        <v>34</v>
      </c>
      <c r="R39" s="33">
        <f t="shared" si="8"/>
        <v>45153.599999999991</v>
      </c>
    </row>
    <row r="40" spans="1:18" s="4" customFormat="1" x14ac:dyDescent="0.3">
      <c r="A40" s="1" t="s">
        <v>60</v>
      </c>
      <c r="B40" s="3">
        <f t="shared" si="4"/>
        <v>34</v>
      </c>
      <c r="C40" s="4" t="s">
        <v>61</v>
      </c>
      <c r="D40" s="4" t="s">
        <v>35</v>
      </c>
      <c r="E40" s="111" t="s">
        <v>732</v>
      </c>
      <c r="F40" s="6" t="s">
        <v>110</v>
      </c>
      <c r="G40" s="7" t="s">
        <v>111</v>
      </c>
      <c r="H40" s="31">
        <v>376</v>
      </c>
      <c r="I40" s="15">
        <v>297108.61</v>
      </c>
      <c r="J40" s="11" t="s">
        <v>646</v>
      </c>
      <c r="K40" s="33">
        <v>297108.61</v>
      </c>
      <c r="L40" s="33">
        <f t="shared" si="5"/>
        <v>297108.61</v>
      </c>
      <c r="M40" s="33">
        <f t="shared" si="6"/>
        <v>0</v>
      </c>
      <c r="N40" s="12">
        <f t="shared" si="7"/>
        <v>0</v>
      </c>
      <c r="O40" s="13" t="s">
        <v>34</v>
      </c>
      <c r="P40" s="13" t="s">
        <v>34</v>
      </c>
      <c r="Q40" s="14" t="s">
        <v>34</v>
      </c>
      <c r="R40" s="33">
        <f t="shared" si="8"/>
        <v>297108.61</v>
      </c>
    </row>
    <row r="41" spans="1:18" s="4" customFormat="1" x14ac:dyDescent="0.3">
      <c r="A41" s="1" t="s">
        <v>60</v>
      </c>
      <c r="B41" s="3">
        <f t="shared" si="4"/>
        <v>35</v>
      </c>
      <c r="C41" s="4" t="s">
        <v>61</v>
      </c>
      <c r="D41" s="4" t="s">
        <v>35</v>
      </c>
      <c r="E41" s="111" t="s">
        <v>732</v>
      </c>
      <c r="F41" s="6" t="s">
        <v>112</v>
      </c>
      <c r="G41" s="7" t="s">
        <v>113</v>
      </c>
      <c r="H41" s="31">
        <v>376</v>
      </c>
      <c r="I41" s="15">
        <v>148928.12</v>
      </c>
      <c r="J41" s="11" t="s">
        <v>646</v>
      </c>
      <c r="K41" s="33">
        <v>148928.12</v>
      </c>
      <c r="L41" s="33">
        <f t="shared" si="5"/>
        <v>148928.12</v>
      </c>
      <c r="M41" s="33">
        <f t="shared" si="6"/>
        <v>0</v>
      </c>
      <c r="N41" s="12">
        <f t="shared" si="7"/>
        <v>0</v>
      </c>
      <c r="O41" s="13" t="s">
        <v>34</v>
      </c>
      <c r="P41" s="13" t="s">
        <v>34</v>
      </c>
      <c r="Q41" s="16" t="s">
        <v>114</v>
      </c>
      <c r="R41" s="33">
        <f t="shared" si="8"/>
        <v>148928.12</v>
      </c>
    </row>
    <row r="42" spans="1:18" s="4" customFormat="1" x14ac:dyDescent="0.3">
      <c r="A42" s="1" t="s">
        <v>60</v>
      </c>
      <c r="B42" s="3">
        <f t="shared" si="4"/>
        <v>36</v>
      </c>
      <c r="C42" s="4" t="s">
        <v>61</v>
      </c>
      <c r="D42" s="4" t="s">
        <v>103</v>
      </c>
      <c r="E42" s="111" t="s">
        <v>731</v>
      </c>
      <c r="F42" s="6" t="s">
        <v>115</v>
      </c>
      <c r="G42" s="7" t="s">
        <v>116</v>
      </c>
      <c r="H42" s="31">
        <v>391.3</v>
      </c>
      <c r="I42" s="15">
        <v>136058.75</v>
      </c>
      <c r="J42" s="11" t="s">
        <v>58</v>
      </c>
      <c r="K42" s="33">
        <v>0</v>
      </c>
      <c r="L42" s="33">
        <f t="shared" si="5"/>
        <v>0</v>
      </c>
      <c r="M42" s="33">
        <f t="shared" si="6"/>
        <v>-136058.75</v>
      </c>
      <c r="N42" s="12">
        <f t="shared" si="7"/>
        <v>-1</v>
      </c>
      <c r="O42" s="13" t="s">
        <v>38</v>
      </c>
      <c r="P42" s="13" t="s">
        <v>34</v>
      </c>
      <c r="Q42" s="14" t="s">
        <v>34</v>
      </c>
      <c r="R42" s="33">
        <f t="shared" si="8"/>
        <v>0</v>
      </c>
    </row>
    <row r="43" spans="1:18" s="4" customFormat="1" x14ac:dyDescent="0.3">
      <c r="A43" s="1" t="s">
        <v>60</v>
      </c>
      <c r="B43" s="3">
        <f t="shared" si="4"/>
        <v>37</v>
      </c>
      <c r="C43" s="4" t="s">
        <v>61</v>
      </c>
      <c r="D43" s="4" t="s">
        <v>35</v>
      </c>
      <c r="E43" s="111"/>
      <c r="F43" s="6" t="s">
        <v>117</v>
      </c>
      <c r="G43" s="7" t="s">
        <v>118</v>
      </c>
      <c r="H43" s="31">
        <v>378</v>
      </c>
      <c r="I43" s="15">
        <v>26244.81</v>
      </c>
      <c r="J43" s="11" t="s">
        <v>646</v>
      </c>
      <c r="K43" s="33">
        <v>26320.240000000002</v>
      </c>
      <c r="L43" s="33">
        <f t="shared" si="5"/>
        <v>26320.240000000002</v>
      </c>
      <c r="M43" s="33">
        <f t="shared" si="6"/>
        <v>75.430000000000291</v>
      </c>
      <c r="N43" s="12">
        <f t="shared" si="7"/>
        <v>2.8740920585822601E-3</v>
      </c>
      <c r="O43" s="13" t="s">
        <v>34</v>
      </c>
      <c r="P43" s="13" t="s">
        <v>34</v>
      </c>
      <c r="Q43" s="14" t="s">
        <v>34</v>
      </c>
      <c r="R43" s="33">
        <f t="shared" si="8"/>
        <v>26320.240000000002</v>
      </c>
    </row>
    <row r="44" spans="1:18" s="4" customFormat="1" x14ac:dyDescent="0.3">
      <c r="A44" s="1" t="s">
        <v>60</v>
      </c>
      <c r="B44" s="3">
        <f t="shared" si="4"/>
        <v>38</v>
      </c>
      <c r="C44" s="4" t="s">
        <v>61</v>
      </c>
      <c r="D44" s="4" t="s">
        <v>64</v>
      </c>
      <c r="E44" s="111" t="s">
        <v>733</v>
      </c>
      <c r="F44" s="6" t="s">
        <v>119</v>
      </c>
      <c r="G44" s="7" t="s">
        <v>120</v>
      </c>
      <c r="H44" s="31">
        <v>376.3</v>
      </c>
      <c r="I44" s="15">
        <v>87598.680000000008</v>
      </c>
      <c r="J44" s="11" t="s">
        <v>643</v>
      </c>
      <c r="K44" s="33">
        <v>65680.240000000005</v>
      </c>
      <c r="L44" s="33">
        <f t="shared" si="5"/>
        <v>65680.240000000005</v>
      </c>
      <c r="M44" s="33">
        <f t="shared" si="6"/>
        <v>-21918.440000000002</v>
      </c>
      <c r="N44" s="12">
        <f t="shared" si="7"/>
        <v>-0.25021427263515844</v>
      </c>
      <c r="O44" s="13" t="s">
        <v>38</v>
      </c>
      <c r="P44" s="13" t="s">
        <v>34</v>
      </c>
      <c r="Q44" s="14" t="s">
        <v>34</v>
      </c>
      <c r="R44" s="33">
        <f t="shared" si="8"/>
        <v>65680.240000000005</v>
      </c>
    </row>
    <row r="45" spans="1:18" s="4" customFormat="1" x14ac:dyDescent="0.3">
      <c r="A45" s="1" t="s">
        <v>60</v>
      </c>
      <c r="B45" s="3">
        <f t="shared" si="4"/>
        <v>39</v>
      </c>
      <c r="C45" s="4" t="s">
        <v>61</v>
      </c>
      <c r="D45" s="4" t="s">
        <v>64</v>
      </c>
      <c r="E45" s="111" t="s">
        <v>733</v>
      </c>
      <c r="F45" s="6" t="s">
        <v>121</v>
      </c>
      <c r="G45" s="7" t="s">
        <v>122</v>
      </c>
      <c r="H45" s="31">
        <v>376.3</v>
      </c>
      <c r="I45" s="15">
        <v>260834.37784400009</v>
      </c>
      <c r="J45" s="11" t="s">
        <v>643</v>
      </c>
      <c r="K45" s="33">
        <v>85626.069999999992</v>
      </c>
      <c r="L45" s="33">
        <f t="shared" si="5"/>
        <v>85626.069999999992</v>
      </c>
      <c r="M45" s="33">
        <f t="shared" si="6"/>
        <v>-175208.30784400011</v>
      </c>
      <c r="N45" s="12">
        <f t="shared" si="7"/>
        <v>-0.67172245197214286</v>
      </c>
      <c r="O45" s="13" t="s">
        <v>38</v>
      </c>
      <c r="P45" s="13" t="s">
        <v>34</v>
      </c>
      <c r="Q45" s="14" t="s">
        <v>34</v>
      </c>
      <c r="R45" s="33">
        <f t="shared" si="8"/>
        <v>85626.069999999992</v>
      </c>
    </row>
    <row r="46" spans="1:18" s="4" customFormat="1" x14ac:dyDescent="0.3">
      <c r="A46" s="1" t="s">
        <v>60</v>
      </c>
      <c r="B46" s="3">
        <f t="shared" si="4"/>
        <v>40</v>
      </c>
      <c r="C46" s="4" t="s">
        <v>61</v>
      </c>
      <c r="D46" s="4" t="s">
        <v>64</v>
      </c>
      <c r="E46" s="111" t="s">
        <v>733</v>
      </c>
      <c r="F46" s="6" t="s">
        <v>123</v>
      </c>
      <c r="G46" s="7" t="s">
        <v>124</v>
      </c>
      <c r="H46" s="31">
        <v>380.3</v>
      </c>
      <c r="I46" s="15">
        <v>432802.92000000016</v>
      </c>
      <c r="J46" s="11" t="s">
        <v>643</v>
      </c>
      <c r="K46" s="33">
        <v>233367.50000000003</v>
      </c>
      <c r="L46" s="33">
        <f t="shared" si="5"/>
        <v>233367.50000000003</v>
      </c>
      <c r="M46" s="33">
        <f t="shared" si="6"/>
        <v>-199435.42000000013</v>
      </c>
      <c r="N46" s="12">
        <f t="shared" si="7"/>
        <v>-0.46079961752568593</v>
      </c>
      <c r="O46" s="13" t="s">
        <v>38</v>
      </c>
      <c r="P46" s="13" t="s">
        <v>34</v>
      </c>
      <c r="Q46" s="14" t="s">
        <v>34</v>
      </c>
      <c r="R46" s="33">
        <f t="shared" si="8"/>
        <v>233367.50000000003</v>
      </c>
    </row>
    <row r="47" spans="1:18" s="4" customFormat="1" x14ac:dyDescent="0.3">
      <c r="A47" s="1" t="s">
        <v>60</v>
      </c>
      <c r="B47" s="3">
        <f t="shared" si="4"/>
        <v>41</v>
      </c>
      <c r="C47" s="4" t="s">
        <v>61</v>
      </c>
      <c r="D47" s="4" t="s">
        <v>64</v>
      </c>
      <c r="E47" s="111" t="s">
        <v>733</v>
      </c>
      <c r="F47" s="6" t="s">
        <v>125</v>
      </c>
      <c r="G47" s="7" t="s">
        <v>126</v>
      </c>
      <c r="H47" s="31">
        <v>380.3</v>
      </c>
      <c r="I47" s="15">
        <v>230492.44047400006</v>
      </c>
      <c r="J47" s="11" t="s">
        <v>643</v>
      </c>
      <c r="K47" s="33">
        <v>160333.56</v>
      </c>
      <c r="L47" s="33">
        <f t="shared" si="5"/>
        <v>160333.56</v>
      </c>
      <c r="M47" s="33">
        <f t="shared" si="6"/>
        <v>-70158.880474000063</v>
      </c>
      <c r="N47" s="12">
        <f t="shared" si="7"/>
        <v>-0.30438690453240314</v>
      </c>
      <c r="O47" s="13" t="s">
        <v>38</v>
      </c>
      <c r="P47" s="13" t="s">
        <v>34</v>
      </c>
      <c r="Q47" s="14" t="s">
        <v>34</v>
      </c>
      <c r="R47" s="33">
        <f t="shared" si="8"/>
        <v>160333.56</v>
      </c>
    </row>
    <row r="48" spans="1:18" s="4" customFormat="1" x14ac:dyDescent="0.3">
      <c r="A48" s="1" t="s">
        <v>60</v>
      </c>
      <c r="B48" s="3">
        <f t="shared" si="4"/>
        <v>42</v>
      </c>
      <c r="C48" s="4" t="s">
        <v>61</v>
      </c>
      <c r="D48" s="4" t="s">
        <v>64</v>
      </c>
      <c r="E48" s="111" t="s">
        <v>733</v>
      </c>
      <c r="F48" s="6" t="s">
        <v>127</v>
      </c>
      <c r="G48" s="7" t="s">
        <v>128</v>
      </c>
      <c r="H48" s="31">
        <v>376.3</v>
      </c>
      <c r="I48" s="15">
        <v>14539.2</v>
      </c>
      <c r="J48" s="11" t="s">
        <v>643</v>
      </c>
      <c r="K48" s="33">
        <v>-13905.75</v>
      </c>
      <c r="L48" s="33">
        <f t="shared" si="5"/>
        <v>-13905.75</v>
      </c>
      <c r="M48" s="33">
        <f t="shared" si="6"/>
        <v>-28444.95</v>
      </c>
      <c r="N48" s="12">
        <f t="shared" si="7"/>
        <v>-1.9564315780785737</v>
      </c>
      <c r="O48" s="13" t="s">
        <v>38</v>
      </c>
      <c r="P48" s="13" t="s">
        <v>34</v>
      </c>
      <c r="Q48" s="14" t="s">
        <v>34</v>
      </c>
      <c r="R48" s="33">
        <f t="shared" si="8"/>
        <v>-13905.75</v>
      </c>
    </row>
    <row r="49" spans="1:18" s="4" customFormat="1" x14ac:dyDescent="0.3">
      <c r="A49" s="1" t="s">
        <v>60</v>
      </c>
      <c r="B49" s="3">
        <f t="shared" si="4"/>
        <v>43</v>
      </c>
      <c r="C49" s="4" t="s">
        <v>61</v>
      </c>
      <c r="D49" s="4" t="s">
        <v>64</v>
      </c>
      <c r="E49" s="111" t="s">
        <v>733</v>
      </c>
      <c r="F49" s="6" t="s">
        <v>129</v>
      </c>
      <c r="G49" s="7" t="s">
        <v>130</v>
      </c>
      <c r="H49" s="31">
        <v>376.3</v>
      </c>
      <c r="I49" s="15">
        <v>19699.351382000001</v>
      </c>
      <c r="J49" s="11" t="s">
        <v>643</v>
      </c>
      <c r="K49" s="33">
        <v>359.67999999999995</v>
      </c>
      <c r="L49" s="33">
        <f t="shared" si="5"/>
        <v>359.67999999999995</v>
      </c>
      <c r="M49" s="33">
        <f t="shared" si="6"/>
        <v>-19339.671382</v>
      </c>
      <c r="N49" s="12">
        <f t="shared" si="7"/>
        <v>-0.98174153082376847</v>
      </c>
      <c r="O49" s="13" t="s">
        <v>38</v>
      </c>
      <c r="P49" s="13" t="s">
        <v>34</v>
      </c>
      <c r="Q49" s="14" t="s">
        <v>34</v>
      </c>
      <c r="R49" s="33">
        <f t="shared" si="8"/>
        <v>359.67999999999995</v>
      </c>
    </row>
    <row r="50" spans="1:18" s="4" customFormat="1" x14ac:dyDescent="0.3">
      <c r="A50" s="1" t="s">
        <v>60</v>
      </c>
      <c r="B50" s="3">
        <f t="shared" si="4"/>
        <v>44</v>
      </c>
      <c r="C50" s="4" t="s">
        <v>61</v>
      </c>
      <c r="D50" s="4" t="s">
        <v>64</v>
      </c>
      <c r="E50" s="111" t="s">
        <v>733</v>
      </c>
      <c r="F50" s="6" t="s">
        <v>131</v>
      </c>
      <c r="G50" s="7" t="s">
        <v>132</v>
      </c>
      <c r="H50" s="31">
        <v>380.3</v>
      </c>
      <c r="I50" s="15">
        <v>54194.889999999992</v>
      </c>
      <c r="J50" s="11" t="s">
        <v>643</v>
      </c>
      <c r="K50" s="33">
        <v>69813.180000000008</v>
      </c>
      <c r="L50" s="33">
        <f t="shared" si="5"/>
        <v>69813.180000000008</v>
      </c>
      <c r="M50" s="33">
        <f t="shared" si="6"/>
        <v>15618.290000000015</v>
      </c>
      <c r="N50" s="12">
        <f t="shared" si="7"/>
        <v>0.28818750254867237</v>
      </c>
      <c r="O50" s="13" t="s">
        <v>38</v>
      </c>
      <c r="P50" s="13" t="s">
        <v>38</v>
      </c>
      <c r="Q50" s="14" t="s">
        <v>34</v>
      </c>
      <c r="R50" s="33">
        <f t="shared" si="8"/>
        <v>69813.180000000008</v>
      </c>
    </row>
    <row r="51" spans="1:18" s="4" customFormat="1" x14ac:dyDescent="0.3">
      <c r="A51" s="1" t="s">
        <v>60</v>
      </c>
      <c r="B51" s="3">
        <f t="shared" si="4"/>
        <v>45</v>
      </c>
      <c r="C51" s="4" t="s">
        <v>61</v>
      </c>
      <c r="D51" s="4" t="s">
        <v>64</v>
      </c>
      <c r="E51" s="111" t="s">
        <v>733</v>
      </c>
      <c r="F51" s="6" t="s">
        <v>133</v>
      </c>
      <c r="G51" s="7" t="s">
        <v>134</v>
      </c>
      <c r="H51" s="31">
        <v>380.3</v>
      </c>
      <c r="I51" s="15">
        <v>64673.637801999997</v>
      </c>
      <c r="J51" s="11" t="s">
        <v>643</v>
      </c>
      <c r="K51" s="33">
        <v>6819.3700000000008</v>
      </c>
      <c r="L51" s="33">
        <f t="shared" si="5"/>
        <v>6819.3700000000008</v>
      </c>
      <c r="M51" s="33">
        <f t="shared" si="6"/>
        <v>-57854.267801999995</v>
      </c>
      <c r="N51" s="12">
        <f t="shared" si="7"/>
        <v>-0.89455719158897973</v>
      </c>
      <c r="O51" s="13" t="s">
        <v>38</v>
      </c>
      <c r="P51" s="13" t="s">
        <v>34</v>
      </c>
      <c r="Q51" s="14" t="s">
        <v>34</v>
      </c>
      <c r="R51" s="33">
        <f t="shared" si="8"/>
        <v>6819.3700000000008</v>
      </c>
    </row>
    <row r="52" spans="1:18" s="4" customFormat="1" x14ac:dyDescent="0.3">
      <c r="A52" s="1" t="s">
        <v>60</v>
      </c>
      <c r="B52" s="3">
        <f t="shared" si="4"/>
        <v>46</v>
      </c>
      <c r="C52" s="4" t="s">
        <v>61</v>
      </c>
      <c r="D52" s="4" t="s">
        <v>64</v>
      </c>
      <c r="E52" s="111" t="s">
        <v>733</v>
      </c>
      <c r="F52" s="6" t="s">
        <v>135</v>
      </c>
      <c r="G52" s="7" t="s">
        <v>136</v>
      </c>
      <c r="H52" s="31">
        <v>376.3</v>
      </c>
      <c r="I52" s="15">
        <v>102137.88000000002</v>
      </c>
      <c r="J52" s="11" t="s">
        <v>643</v>
      </c>
      <c r="K52" s="33">
        <v>140580.85999999999</v>
      </c>
      <c r="L52" s="33">
        <f t="shared" si="5"/>
        <v>140580.85999999999</v>
      </c>
      <c r="M52" s="33">
        <f t="shared" si="6"/>
        <v>38442.979999999967</v>
      </c>
      <c r="N52" s="12">
        <f t="shared" si="7"/>
        <v>0.37638317928666581</v>
      </c>
      <c r="O52" s="13" t="s">
        <v>38</v>
      </c>
      <c r="P52" s="13" t="s">
        <v>38</v>
      </c>
      <c r="Q52" s="14" t="s">
        <v>34</v>
      </c>
      <c r="R52" s="33">
        <f t="shared" si="8"/>
        <v>140580.85999999999</v>
      </c>
    </row>
    <row r="53" spans="1:18" s="4" customFormat="1" x14ac:dyDescent="0.3">
      <c r="A53" s="1" t="s">
        <v>60</v>
      </c>
      <c r="B53" s="3">
        <f t="shared" si="4"/>
        <v>47</v>
      </c>
      <c r="C53" s="4" t="s">
        <v>61</v>
      </c>
      <c r="D53" s="4" t="s">
        <v>64</v>
      </c>
      <c r="E53" s="111" t="s">
        <v>733</v>
      </c>
      <c r="F53" s="6" t="s">
        <v>137</v>
      </c>
      <c r="G53" s="7" t="s">
        <v>138</v>
      </c>
      <c r="H53" s="31">
        <v>376.3</v>
      </c>
      <c r="I53" s="15">
        <v>183118.15119299997</v>
      </c>
      <c r="J53" s="11" t="s">
        <v>643</v>
      </c>
      <c r="K53" s="33">
        <v>26761.989999999998</v>
      </c>
      <c r="L53" s="33">
        <f t="shared" si="5"/>
        <v>26761.989999999998</v>
      </c>
      <c r="M53" s="33">
        <f t="shared" si="6"/>
        <v>-156356.16119299998</v>
      </c>
      <c r="N53" s="12">
        <f t="shared" si="7"/>
        <v>-0.85385397446595113</v>
      </c>
      <c r="O53" s="13" t="s">
        <v>38</v>
      </c>
      <c r="P53" s="13" t="s">
        <v>34</v>
      </c>
      <c r="Q53" s="14" t="s">
        <v>34</v>
      </c>
      <c r="R53" s="33">
        <f t="shared" si="8"/>
        <v>26761.989999999998</v>
      </c>
    </row>
    <row r="54" spans="1:18" s="4" customFormat="1" x14ac:dyDescent="0.3">
      <c r="A54" s="1" t="s">
        <v>60</v>
      </c>
      <c r="B54" s="3">
        <f t="shared" si="4"/>
        <v>48</v>
      </c>
      <c r="C54" s="4" t="s">
        <v>61</v>
      </c>
      <c r="D54" s="4" t="s">
        <v>64</v>
      </c>
      <c r="E54" s="111" t="s">
        <v>733</v>
      </c>
      <c r="F54" s="6" t="s">
        <v>139</v>
      </c>
      <c r="G54" s="7" t="s">
        <v>140</v>
      </c>
      <c r="H54" s="31">
        <v>380.3</v>
      </c>
      <c r="I54" s="15">
        <v>674851.56</v>
      </c>
      <c r="J54" s="11" t="s">
        <v>643</v>
      </c>
      <c r="K54" s="33">
        <v>462772.16</v>
      </c>
      <c r="L54" s="33">
        <f t="shared" si="5"/>
        <v>462772.16</v>
      </c>
      <c r="M54" s="33">
        <f t="shared" si="6"/>
        <v>-212079.40000000008</v>
      </c>
      <c r="N54" s="12">
        <f t="shared" si="7"/>
        <v>-0.3142608131483019</v>
      </c>
      <c r="O54" s="13" t="s">
        <v>38</v>
      </c>
      <c r="P54" s="13" t="s">
        <v>34</v>
      </c>
      <c r="Q54" s="14" t="s">
        <v>34</v>
      </c>
      <c r="R54" s="33">
        <f t="shared" si="8"/>
        <v>462772.16</v>
      </c>
    </row>
    <row r="55" spans="1:18" s="4" customFormat="1" x14ac:dyDescent="0.3">
      <c r="A55" s="1" t="s">
        <v>60</v>
      </c>
      <c r="B55" s="3">
        <f t="shared" si="4"/>
        <v>49</v>
      </c>
      <c r="C55" s="4" t="s">
        <v>61</v>
      </c>
      <c r="D55" s="4" t="s">
        <v>64</v>
      </c>
      <c r="E55" s="111" t="s">
        <v>733</v>
      </c>
      <c r="F55" s="6" t="s">
        <v>141</v>
      </c>
      <c r="G55" s="7" t="s">
        <v>142</v>
      </c>
      <c r="H55" s="31">
        <v>380.3</v>
      </c>
      <c r="I55" s="15">
        <v>315682.85518500005</v>
      </c>
      <c r="J55" s="11" t="s">
        <v>643</v>
      </c>
      <c r="K55" s="33">
        <v>11258.510000000002</v>
      </c>
      <c r="L55" s="33">
        <f t="shared" si="5"/>
        <v>11258.510000000002</v>
      </c>
      <c r="M55" s="33">
        <f t="shared" si="6"/>
        <v>-304424.34518500004</v>
      </c>
      <c r="N55" s="12">
        <f t="shared" si="7"/>
        <v>-0.96433601060341978</v>
      </c>
      <c r="O55" s="13" t="s">
        <v>38</v>
      </c>
      <c r="P55" s="13" t="s">
        <v>34</v>
      </c>
      <c r="Q55" s="14" t="s">
        <v>34</v>
      </c>
      <c r="R55" s="33">
        <f t="shared" si="8"/>
        <v>11258.510000000002</v>
      </c>
    </row>
    <row r="56" spans="1:18" s="4" customFormat="1" x14ac:dyDescent="0.3">
      <c r="A56" s="1" t="s">
        <v>60</v>
      </c>
      <c r="B56" s="3">
        <f t="shared" si="4"/>
        <v>50</v>
      </c>
      <c r="C56" s="4" t="s">
        <v>61</v>
      </c>
      <c r="D56" s="4" t="s">
        <v>64</v>
      </c>
      <c r="E56" s="111" t="s">
        <v>733</v>
      </c>
      <c r="F56" s="6" t="s">
        <v>143</v>
      </c>
      <c r="G56" s="7" t="s">
        <v>144</v>
      </c>
      <c r="H56" s="31">
        <v>376.3</v>
      </c>
      <c r="I56" s="15">
        <v>167040.84000000005</v>
      </c>
      <c r="J56" s="11" t="s">
        <v>643</v>
      </c>
      <c r="K56" s="33">
        <v>1587.5</v>
      </c>
      <c r="L56" s="33">
        <f t="shared" si="5"/>
        <v>1587.5</v>
      </c>
      <c r="M56" s="33">
        <f t="shared" si="6"/>
        <v>-165453.34000000005</v>
      </c>
      <c r="N56" s="12">
        <f t="shared" si="7"/>
        <v>-0.99049633610558951</v>
      </c>
      <c r="O56" s="13" t="s">
        <v>38</v>
      </c>
      <c r="P56" s="13" t="s">
        <v>34</v>
      </c>
      <c r="Q56" s="14" t="s">
        <v>34</v>
      </c>
      <c r="R56" s="33">
        <f t="shared" si="8"/>
        <v>1587.5</v>
      </c>
    </row>
    <row r="57" spans="1:18" s="4" customFormat="1" x14ac:dyDescent="0.3">
      <c r="A57" s="1" t="s">
        <v>60</v>
      </c>
      <c r="B57" s="3">
        <f t="shared" si="4"/>
        <v>51</v>
      </c>
      <c r="C57" s="4" t="s">
        <v>61</v>
      </c>
      <c r="D57" s="4" t="s">
        <v>64</v>
      </c>
      <c r="E57" s="111" t="s">
        <v>733</v>
      </c>
      <c r="F57" s="6" t="s">
        <v>145</v>
      </c>
      <c r="G57" s="7" t="s">
        <v>146</v>
      </c>
      <c r="H57" s="31">
        <v>376.3</v>
      </c>
      <c r="I57" s="15">
        <v>53179.953616999999</v>
      </c>
      <c r="J57" s="11" t="s">
        <v>643</v>
      </c>
      <c r="K57" s="33">
        <v>29809.43</v>
      </c>
      <c r="L57" s="33">
        <f t="shared" si="5"/>
        <v>29809.43</v>
      </c>
      <c r="M57" s="33">
        <f t="shared" si="6"/>
        <v>-23370.523616999999</v>
      </c>
      <c r="N57" s="12">
        <f t="shared" si="7"/>
        <v>-0.43946115081847609</v>
      </c>
      <c r="O57" s="13" t="s">
        <v>38</v>
      </c>
      <c r="P57" s="13" t="s">
        <v>34</v>
      </c>
      <c r="Q57" s="14" t="s">
        <v>34</v>
      </c>
      <c r="R57" s="33">
        <f t="shared" si="8"/>
        <v>29809.43</v>
      </c>
    </row>
    <row r="58" spans="1:18" s="4" customFormat="1" x14ac:dyDescent="0.3">
      <c r="A58" s="1" t="s">
        <v>60</v>
      </c>
      <c r="B58" s="3">
        <f t="shared" si="4"/>
        <v>52</v>
      </c>
      <c r="C58" s="4" t="s">
        <v>61</v>
      </c>
      <c r="D58" s="4" t="s">
        <v>64</v>
      </c>
      <c r="E58" s="111" t="s">
        <v>733</v>
      </c>
      <c r="F58" s="6" t="s">
        <v>147</v>
      </c>
      <c r="G58" s="7" t="s">
        <v>148</v>
      </c>
      <c r="H58" s="31">
        <v>380.3</v>
      </c>
      <c r="I58" s="15">
        <v>266465.95999999996</v>
      </c>
      <c r="J58" s="11" t="s">
        <v>643</v>
      </c>
      <c r="K58" s="33">
        <v>210481.63999999998</v>
      </c>
      <c r="L58" s="33">
        <f t="shared" si="5"/>
        <v>210481.63999999998</v>
      </c>
      <c r="M58" s="33">
        <f t="shared" si="6"/>
        <v>-55984.319999999978</v>
      </c>
      <c r="N58" s="12">
        <f t="shared" si="7"/>
        <v>-0.21009933126167404</v>
      </c>
      <c r="O58" s="13" t="s">
        <v>38</v>
      </c>
      <c r="P58" s="13" t="s">
        <v>34</v>
      </c>
      <c r="Q58" s="14" t="s">
        <v>34</v>
      </c>
      <c r="R58" s="33">
        <f t="shared" si="8"/>
        <v>210481.63999999998</v>
      </c>
    </row>
    <row r="59" spans="1:18" s="4" customFormat="1" x14ac:dyDescent="0.3">
      <c r="A59" s="1" t="s">
        <v>60</v>
      </c>
      <c r="B59" s="3">
        <f t="shared" si="4"/>
        <v>53</v>
      </c>
      <c r="C59" s="4" t="s">
        <v>61</v>
      </c>
      <c r="D59" s="4" t="s">
        <v>64</v>
      </c>
      <c r="E59" s="111" t="s">
        <v>733</v>
      </c>
      <c r="F59" s="6" t="s">
        <v>149</v>
      </c>
      <c r="G59" s="7" t="s">
        <v>150</v>
      </c>
      <c r="H59" s="31">
        <v>380.3</v>
      </c>
      <c r="I59" s="15">
        <v>282029.444426</v>
      </c>
      <c r="J59" s="11" t="s">
        <v>643</v>
      </c>
      <c r="K59" s="33">
        <v>15031.6</v>
      </c>
      <c r="L59" s="33">
        <f t="shared" si="5"/>
        <v>15031.6</v>
      </c>
      <c r="M59" s="33">
        <f t="shared" si="6"/>
        <v>-266997.84442600003</v>
      </c>
      <c r="N59" s="12">
        <f t="shared" si="7"/>
        <v>-0.94670201889525041</v>
      </c>
      <c r="O59" s="13" t="s">
        <v>38</v>
      </c>
      <c r="P59" s="13" t="s">
        <v>34</v>
      </c>
      <c r="Q59" s="14" t="s">
        <v>34</v>
      </c>
      <c r="R59" s="33">
        <f t="shared" si="8"/>
        <v>15031.6</v>
      </c>
    </row>
    <row r="60" spans="1:18" s="4" customFormat="1" x14ac:dyDescent="0.3">
      <c r="A60" s="1" t="s">
        <v>60</v>
      </c>
      <c r="B60" s="3">
        <f t="shared" si="4"/>
        <v>54</v>
      </c>
      <c r="C60" s="4" t="s">
        <v>61</v>
      </c>
      <c r="D60" s="4" t="s">
        <v>64</v>
      </c>
      <c r="E60" s="111" t="s">
        <v>733</v>
      </c>
      <c r="F60" s="6" t="s">
        <v>151</v>
      </c>
      <c r="G60" s="7" t="s">
        <v>152</v>
      </c>
      <c r="H60" s="31">
        <v>376.3</v>
      </c>
      <c r="I60" s="15">
        <v>808875.54000000015</v>
      </c>
      <c r="J60" s="11" t="s">
        <v>643</v>
      </c>
      <c r="K60" s="33">
        <v>129412.29000000001</v>
      </c>
      <c r="L60" s="33">
        <f t="shared" si="5"/>
        <v>129412.29000000001</v>
      </c>
      <c r="M60" s="33">
        <f t="shared" si="6"/>
        <v>-679463.25000000012</v>
      </c>
      <c r="N60" s="12">
        <f t="shared" si="7"/>
        <v>-0.84000963856565625</v>
      </c>
      <c r="O60" s="13" t="s">
        <v>38</v>
      </c>
      <c r="P60" s="13" t="s">
        <v>34</v>
      </c>
      <c r="Q60" s="14" t="s">
        <v>34</v>
      </c>
      <c r="R60" s="33">
        <f t="shared" si="8"/>
        <v>129412.29000000001</v>
      </c>
    </row>
    <row r="61" spans="1:18" s="4" customFormat="1" x14ac:dyDescent="0.3">
      <c r="A61" s="1" t="s">
        <v>60</v>
      </c>
      <c r="B61" s="3">
        <f t="shared" si="4"/>
        <v>55</v>
      </c>
      <c r="C61" s="4" t="s">
        <v>61</v>
      </c>
      <c r="D61" s="4" t="s">
        <v>64</v>
      </c>
      <c r="E61" s="111" t="s">
        <v>733</v>
      </c>
      <c r="F61" s="6" t="s">
        <v>153</v>
      </c>
      <c r="G61" s="7" t="s">
        <v>154</v>
      </c>
      <c r="H61" s="31">
        <v>376.3</v>
      </c>
      <c r="I61" s="15">
        <v>386986.508164</v>
      </c>
      <c r="J61" s="11" t="s">
        <v>643</v>
      </c>
      <c r="K61" s="33">
        <v>250431.07999999996</v>
      </c>
      <c r="L61" s="33">
        <f t="shared" si="5"/>
        <v>250431.07999999996</v>
      </c>
      <c r="M61" s="33">
        <f t="shared" si="6"/>
        <v>-136555.42816400004</v>
      </c>
      <c r="N61" s="12">
        <f t="shared" si="7"/>
        <v>-0.35286870545401439</v>
      </c>
      <c r="O61" s="13" t="s">
        <v>38</v>
      </c>
      <c r="P61" s="13" t="s">
        <v>34</v>
      </c>
      <c r="Q61" s="14" t="s">
        <v>34</v>
      </c>
      <c r="R61" s="33">
        <f t="shared" si="8"/>
        <v>250431.07999999996</v>
      </c>
    </row>
    <row r="62" spans="1:18" s="4" customFormat="1" x14ac:dyDescent="0.3">
      <c r="A62" s="1" t="s">
        <v>60</v>
      </c>
      <c r="B62" s="3">
        <f t="shared" si="4"/>
        <v>56</v>
      </c>
      <c r="C62" s="4" t="s">
        <v>61</v>
      </c>
      <c r="D62" s="4" t="s">
        <v>64</v>
      </c>
      <c r="E62" s="111" t="s">
        <v>733</v>
      </c>
      <c r="F62" s="6" t="s">
        <v>155</v>
      </c>
      <c r="G62" s="7" t="s">
        <v>156</v>
      </c>
      <c r="H62" s="31">
        <v>380.3</v>
      </c>
      <c r="I62" s="15">
        <v>1278711.4899999998</v>
      </c>
      <c r="J62" s="11" t="s">
        <v>643</v>
      </c>
      <c r="K62" s="33">
        <v>813234.75000000012</v>
      </c>
      <c r="L62" s="33">
        <f t="shared" si="5"/>
        <v>813234.75000000012</v>
      </c>
      <c r="M62" s="33">
        <f t="shared" si="6"/>
        <v>-465476.73999999964</v>
      </c>
      <c r="N62" s="12">
        <f t="shared" si="7"/>
        <v>-0.36402014343360578</v>
      </c>
      <c r="O62" s="13" t="s">
        <v>38</v>
      </c>
      <c r="P62" s="13" t="s">
        <v>34</v>
      </c>
      <c r="Q62" s="14" t="s">
        <v>34</v>
      </c>
      <c r="R62" s="33">
        <f t="shared" si="8"/>
        <v>813234.75000000012</v>
      </c>
    </row>
    <row r="63" spans="1:18" s="4" customFormat="1" x14ac:dyDescent="0.3">
      <c r="A63" s="1" t="s">
        <v>60</v>
      </c>
      <c r="B63" s="3">
        <f t="shared" si="4"/>
        <v>57</v>
      </c>
      <c r="C63" s="4" t="s">
        <v>61</v>
      </c>
      <c r="D63" s="4" t="s">
        <v>64</v>
      </c>
      <c r="E63" s="111" t="s">
        <v>733</v>
      </c>
      <c r="F63" s="6" t="s">
        <v>157</v>
      </c>
      <c r="G63" s="7" t="s">
        <v>158</v>
      </c>
      <c r="H63" s="31">
        <v>380.3</v>
      </c>
      <c r="I63" s="15">
        <v>338345.28705900005</v>
      </c>
      <c r="J63" s="11" t="s">
        <v>643</v>
      </c>
      <c r="K63" s="33">
        <v>131757.91000000003</v>
      </c>
      <c r="L63" s="33">
        <f t="shared" si="5"/>
        <v>131757.91000000003</v>
      </c>
      <c r="M63" s="33">
        <f t="shared" si="6"/>
        <v>-206587.37705900002</v>
      </c>
      <c r="N63" s="12">
        <f t="shared" si="7"/>
        <v>-0.61058151232050617</v>
      </c>
      <c r="O63" s="13" t="s">
        <v>38</v>
      </c>
      <c r="P63" s="13" t="s">
        <v>34</v>
      </c>
      <c r="Q63" s="14" t="s">
        <v>34</v>
      </c>
      <c r="R63" s="33">
        <f t="shared" si="8"/>
        <v>131757.91000000003</v>
      </c>
    </row>
    <row r="64" spans="1:18" s="4" customFormat="1" x14ac:dyDescent="0.3">
      <c r="A64" s="1" t="s">
        <v>60</v>
      </c>
      <c r="B64" s="3">
        <f t="shared" si="4"/>
        <v>58</v>
      </c>
      <c r="C64" s="4" t="s">
        <v>61</v>
      </c>
      <c r="D64" s="4" t="s">
        <v>64</v>
      </c>
      <c r="E64" s="111" t="s">
        <v>733</v>
      </c>
      <c r="F64" s="6" t="s">
        <v>159</v>
      </c>
      <c r="G64" s="7" t="s">
        <v>160</v>
      </c>
      <c r="H64" s="31">
        <v>376.3</v>
      </c>
      <c r="I64" s="15">
        <v>910308.31000000029</v>
      </c>
      <c r="J64" s="11" t="s">
        <v>643</v>
      </c>
      <c r="K64" s="33">
        <v>256081.35</v>
      </c>
      <c r="L64" s="33">
        <f t="shared" si="5"/>
        <v>256081.35</v>
      </c>
      <c r="M64" s="33">
        <f t="shared" si="6"/>
        <v>-654226.96000000031</v>
      </c>
      <c r="N64" s="12">
        <f t="shared" si="7"/>
        <v>-0.71868723246083532</v>
      </c>
      <c r="O64" s="13" t="s">
        <v>38</v>
      </c>
      <c r="P64" s="13" t="s">
        <v>34</v>
      </c>
      <c r="Q64" s="14" t="s">
        <v>34</v>
      </c>
      <c r="R64" s="33">
        <f t="shared" si="8"/>
        <v>256081.35</v>
      </c>
    </row>
    <row r="65" spans="1:18" s="4" customFormat="1" x14ac:dyDescent="0.3">
      <c r="A65" s="1" t="s">
        <v>60</v>
      </c>
      <c r="B65" s="3">
        <f t="shared" si="4"/>
        <v>59</v>
      </c>
      <c r="C65" s="4" t="s">
        <v>61</v>
      </c>
      <c r="D65" s="4" t="s">
        <v>64</v>
      </c>
      <c r="E65" s="111" t="s">
        <v>733</v>
      </c>
      <c r="F65" s="6" t="s">
        <v>161</v>
      </c>
      <c r="G65" s="7" t="s">
        <v>162</v>
      </c>
      <c r="H65" s="31">
        <v>376.3</v>
      </c>
      <c r="I65" s="15">
        <v>209100.09783299998</v>
      </c>
      <c r="J65" s="11" t="s">
        <v>643</v>
      </c>
      <c r="K65" s="33">
        <v>-13895.339999999998</v>
      </c>
      <c r="L65" s="33">
        <f t="shared" si="5"/>
        <v>-13895.339999999998</v>
      </c>
      <c r="M65" s="33">
        <f t="shared" si="6"/>
        <v>-222995.43783299997</v>
      </c>
      <c r="N65" s="12">
        <f t="shared" si="7"/>
        <v>-1.0664530535566639</v>
      </c>
      <c r="O65" s="13" t="s">
        <v>38</v>
      </c>
      <c r="P65" s="13" t="s">
        <v>34</v>
      </c>
      <c r="Q65" s="14" t="s">
        <v>34</v>
      </c>
      <c r="R65" s="33">
        <f t="shared" si="8"/>
        <v>-13895.339999999998</v>
      </c>
    </row>
    <row r="66" spans="1:18" s="4" customFormat="1" x14ac:dyDescent="0.3">
      <c r="A66" s="1" t="s">
        <v>60</v>
      </c>
      <c r="B66" s="3">
        <f t="shared" si="4"/>
        <v>60</v>
      </c>
      <c r="C66" s="4" t="s">
        <v>61</v>
      </c>
      <c r="D66" s="4" t="s">
        <v>64</v>
      </c>
      <c r="E66" s="111" t="s">
        <v>733</v>
      </c>
      <c r="F66" s="6" t="s">
        <v>163</v>
      </c>
      <c r="G66" s="7" t="s">
        <v>164</v>
      </c>
      <c r="H66" s="31">
        <v>380.3</v>
      </c>
      <c r="I66" s="15">
        <v>1179967.52</v>
      </c>
      <c r="J66" s="11" t="s">
        <v>643</v>
      </c>
      <c r="K66" s="33">
        <v>1660822.13</v>
      </c>
      <c r="L66" s="33">
        <f t="shared" si="5"/>
        <v>1660822.13</v>
      </c>
      <c r="M66" s="33">
        <f t="shared" si="6"/>
        <v>480854.60999999987</v>
      </c>
      <c r="N66" s="12">
        <f t="shared" si="7"/>
        <v>0.40751512380611954</v>
      </c>
      <c r="O66" s="13" t="s">
        <v>38</v>
      </c>
      <c r="P66" s="13" t="s">
        <v>38</v>
      </c>
      <c r="Q66" s="14" t="s">
        <v>34</v>
      </c>
      <c r="R66" s="33">
        <f t="shared" si="8"/>
        <v>1660822.13</v>
      </c>
    </row>
    <row r="67" spans="1:18" s="4" customFormat="1" x14ac:dyDescent="0.3">
      <c r="A67" s="1" t="s">
        <v>60</v>
      </c>
      <c r="B67" s="3">
        <f t="shared" si="4"/>
        <v>61</v>
      </c>
      <c r="C67" s="4" t="s">
        <v>61</v>
      </c>
      <c r="D67" s="4" t="s">
        <v>64</v>
      </c>
      <c r="E67" s="111" t="s">
        <v>733</v>
      </c>
      <c r="F67" s="6" t="s">
        <v>165</v>
      </c>
      <c r="G67" s="7" t="s">
        <v>166</v>
      </c>
      <c r="H67" s="31">
        <v>380.3</v>
      </c>
      <c r="I67" s="15">
        <v>127046.58327200002</v>
      </c>
      <c r="J67" s="11" t="s">
        <v>643</v>
      </c>
      <c r="K67" s="33">
        <v>7239.87</v>
      </c>
      <c r="L67" s="33">
        <f t="shared" si="5"/>
        <v>7239.87</v>
      </c>
      <c r="M67" s="33">
        <f t="shared" si="6"/>
        <v>-119806.71327200002</v>
      </c>
      <c r="N67" s="12">
        <f t="shared" si="7"/>
        <v>-0.94301405190488419</v>
      </c>
      <c r="O67" s="13" t="s">
        <v>38</v>
      </c>
      <c r="P67" s="13" t="s">
        <v>34</v>
      </c>
      <c r="Q67" s="14" t="s">
        <v>34</v>
      </c>
      <c r="R67" s="33">
        <f t="shared" si="8"/>
        <v>7239.87</v>
      </c>
    </row>
    <row r="68" spans="1:18" s="4" customFormat="1" x14ac:dyDescent="0.3">
      <c r="A68" s="1" t="s">
        <v>60</v>
      </c>
      <c r="B68" s="3">
        <f t="shared" si="4"/>
        <v>62</v>
      </c>
      <c r="C68" s="4" t="s">
        <v>61</v>
      </c>
      <c r="D68" s="4" t="s">
        <v>64</v>
      </c>
      <c r="E68" s="111" t="s">
        <v>733</v>
      </c>
      <c r="F68" s="6" t="s">
        <v>167</v>
      </c>
      <c r="G68" s="7" t="s">
        <v>168</v>
      </c>
      <c r="H68" s="31">
        <v>376.3</v>
      </c>
      <c r="I68" s="15">
        <v>6249.8099999999995</v>
      </c>
      <c r="J68" s="11" t="s">
        <v>643</v>
      </c>
      <c r="K68" s="33">
        <v>97870.670000000013</v>
      </c>
      <c r="L68" s="33">
        <f t="shared" si="5"/>
        <v>97870.670000000013</v>
      </c>
      <c r="M68" s="33">
        <f t="shared" si="6"/>
        <v>91620.860000000015</v>
      </c>
      <c r="N68" s="12">
        <f t="shared" si="7"/>
        <v>14.659783257411029</v>
      </c>
      <c r="O68" s="13" t="s">
        <v>38</v>
      </c>
      <c r="P68" s="13" t="s">
        <v>38</v>
      </c>
      <c r="Q68" s="14" t="s">
        <v>34</v>
      </c>
      <c r="R68" s="33">
        <f t="shared" si="8"/>
        <v>97870.670000000013</v>
      </c>
    </row>
    <row r="69" spans="1:18" s="4" customFormat="1" x14ac:dyDescent="0.3">
      <c r="A69" s="1" t="s">
        <v>60</v>
      </c>
      <c r="B69" s="3">
        <f t="shared" si="4"/>
        <v>63</v>
      </c>
      <c r="C69" s="4" t="s">
        <v>61</v>
      </c>
      <c r="D69" s="4" t="s">
        <v>64</v>
      </c>
      <c r="E69" s="111" t="s">
        <v>733</v>
      </c>
      <c r="F69" s="6" t="s">
        <v>169</v>
      </c>
      <c r="G69" s="7" t="s">
        <v>170</v>
      </c>
      <c r="H69" s="31">
        <v>376.3</v>
      </c>
      <c r="I69" s="15">
        <v>294068.29199999996</v>
      </c>
      <c r="J69" s="11" t="s">
        <v>643</v>
      </c>
      <c r="K69" s="33">
        <v>125805.92000000001</v>
      </c>
      <c r="L69" s="33">
        <f t="shared" si="5"/>
        <v>125805.92000000001</v>
      </c>
      <c r="M69" s="33">
        <f t="shared" si="6"/>
        <v>-168262.37199999994</v>
      </c>
      <c r="N69" s="12">
        <f t="shared" si="7"/>
        <v>-0.57218808207992711</v>
      </c>
      <c r="O69" s="13" t="s">
        <v>38</v>
      </c>
      <c r="P69" s="13" t="s">
        <v>34</v>
      </c>
      <c r="Q69" s="14" t="s">
        <v>34</v>
      </c>
      <c r="R69" s="33">
        <f t="shared" si="8"/>
        <v>125805.92000000001</v>
      </c>
    </row>
    <row r="70" spans="1:18" s="4" customFormat="1" x14ac:dyDescent="0.3">
      <c r="A70" s="1" t="s">
        <v>60</v>
      </c>
      <c r="B70" s="3">
        <f t="shared" si="4"/>
        <v>64</v>
      </c>
      <c r="C70" s="4" t="s">
        <v>61</v>
      </c>
      <c r="D70" s="4" t="s">
        <v>64</v>
      </c>
      <c r="E70" s="111" t="s">
        <v>733</v>
      </c>
      <c r="F70" s="6" t="s">
        <v>171</v>
      </c>
      <c r="G70" s="7" t="s">
        <v>172</v>
      </c>
      <c r="H70" s="31">
        <v>380.3</v>
      </c>
      <c r="I70" s="15">
        <v>344511.1700000001</v>
      </c>
      <c r="J70" s="11" t="s">
        <v>643</v>
      </c>
      <c r="K70" s="33">
        <v>377482.83999999997</v>
      </c>
      <c r="L70" s="33">
        <f t="shared" si="5"/>
        <v>377482.83999999997</v>
      </c>
      <c r="M70" s="33">
        <f t="shared" si="6"/>
        <v>32971.669999999867</v>
      </c>
      <c r="N70" s="12">
        <f t="shared" si="7"/>
        <v>9.5705663186479148E-2</v>
      </c>
      <c r="O70" s="13" t="s">
        <v>34</v>
      </c>
      <c r="P70" s="13" t="s">
        <v>34</v>
      </c>
      <c r="Q70" s="14" t="s">
        <v>34</v>
      </c>
      <c r="R70" s="33">
        <f t="shared" si="8"/>
        <v>377482.83999999997</v>
      </c>
    </row>
    <row r="71" spans="1:18" s="4" customFormat="1" x14ac:dyDescent="0.3">
      <c r="A71" s="1" t="s">
        <v>60</v>
      </c>
      <c r="B71" s="3">
        <f t="shared" si="4"/>
        <v>65</v>
      </c>
      <c r="C71" s="4" t="s">
        <v>61</v>
      </c>
      <c r="D71" s="4" t="s">
        <v>64</v>
      </c>
      <c r="E71" s="111" t="s">
        <v>733</v>
      </c>
      <c r="F71" s="6" t="s">
        <v>173</v>
      </c>
      <c r="G71" s="7" t="s">
        <v>174</v>
      </c>
      <c r="H71" s="31">
        <v>380.3</v>
      </c>
      <c r="I71" s="15">
        <v>100146.05000999998</v>
      </c>
      <c r="J71" s="11" t="s">
        <v>643</v>
      </c>
      <c r="K71" s="33">
        <v>4333.09</v>
      </c>
      <c r="L71" s="33">
        <f t="shared" si="5"/>
        <v>4333.09</v>
      </c>
      <c r="M71" s="33">
        <f t="shared" si="6"/>
        <v>-95812.960009999981</v>
      </c>
      <c r="N71" s="12">
        <f t="shared" si="7"/>
        <v>-0.95673229249114344</v>
      </c>
      <c r="O71" s="13" t="s">
        <v>38</v>
      </c>
      <c r="P71" s="13" t="s">
        <v>34</v>
      </c>
      <c r="Q71" s="14" t="s">
        <v>34</v>
      </c>
      <c r="R71" s="33">
        <f t="shared" si="8"/>
        <v>4333.09</v>
      </c>
    </row>
    <row r="72" spans="1:18" s="4" customFormat="1" x14ac:dyDescent="0.3">
      <c r="A72" s="1" t="s">
        <v>60</v>
      </c>
      <c r="B72" s="3">
        <f t="shared" ref="B72:B135" si="9">B71+1</f>
        <v>66</v>
      </c>
      <c r="C72" s="4" t="s">
        <v>61</v>
      </c>
      <c r="D72" s="4" t="s">
        <v>64</v>
      </c>
      <c r="E72" s="111" t="s">
        <v>733</v>
      </c>
      <c r="F72" s="6" t="s">
        <v>175</v>
      </c>
      <c r="G72" s="7" t="s">
        <v>176</v>
      </c>
      <c r="H72" s="31">
        <v>376.3</v>
      </c>
      <c r="I72" s="15">
        <v>502438.18999999989</v>
      </c>
      <c r="J72" s="11" t="s">
        <v>643</v>
      </c>
      <c r="K72" s="33">
        <v>76485.48</v>
      </c>
      <c r="L72" s="33">
        <f t="shared" si="5"/>
        <v>76485.48</v>
      </c>
      <c r="M72" s="33">
        <f t="shared" si="6"/>
        <v>-425952.7099999999</v>
      </c>
      <c r="N72" s="12">
        <f t="shared" si="7"/>
        <v>-0.84777136467273717</v>
      </c>
      <c r="O72" s="13" t="s">
        <v>38</v>
      </c>
      <c r="P72" s="13" t="s">
        <v>34</v>
      </c>
      <c r="Q72" s="14" t="s">
        <v>34</v>
      </c>
      <c r="R72" s="33">
        <f t="shared" si="8"/>
        <v>76485.48</v>
      </c>
    </row>
    <row r="73" spans="1:18" s="4" customFormat="1" x14ac:dyDescent="0.3">
      <c r="A73" s="1" t="s">
        <v>60</v>
      </c>
      <c r="B73" s="3">
        <f t="shared" si="9"/>
        <v>67</v>
      </c>
      <c r="C73" s="4" t="s">
        <v>61</v>
      </c>
      <c r="D73" s="4" t="s">
        <v>64</v>
      </c>
      <c r="E73" s="111" t="s">
        <v>733</v>
      </c>
      <c r="F73" s="6" t="s">
        <v>177</v>
      </c>
      <c r="G73" s="7" t="s">
        <v>178</v>
      </c>
      <c r="H73" s="31">
        <v>376.3</v>
      </c>
      <c r="I73" s="15">
        <v>270192.07960999996</v>
      </c>
      <c r="J73" s="11" t="s">
        <v>643</v>
      </c>
      <c r="K73" s="33">
        <v>143756.74</v>
      </c>
      <c r="L73" s="33">
        <f t="shared" si="5"/>
        <v>143756.74</v>
      </c>
      <c r="M73" s="33">
        <f t="shared" si="6"/>
        <v>-126435.33960999997</v>
      </c>
      <c r="N73" s="12">
        <f t="shared" si="7"/>
        <v>-0.46794613592115275</v>
      </c>
      <c r="O73" s="13" t="s">
        <v>38</v>
      </c>
      <c r="P73" s="13" t="s">
        <v>34</v>
      </c>
      <c r="Q73" s="14" t="s">
        <v>34</v>
      </c>
      <c r="R73" s="33">
        <f t="shared" si="8"/>
        <v>143756.74</v>
      </c>
    </row>
    <row r="74" spans="1:18" s="4" customFormat="1" x14ac:dyDescent="0.3">
      <c r="A74" s="1" t="s">
        <v>60</v>
      </c>
      <c r="B74" s="3">
        <f t="shared" si="9"/>
        <v>68</v>
      </c>
      <c r="C74" s="4" t="s">
        <v>61</v>
      </c>
      <c r="D74" s="4" t="s">
        <v>64</v>
      </c>
      <c r="E74" s="111" t="s">
        <v>733</v>
      </c>
      <c r="F74" s="6" t="s">
        <v>179</v>
      </c>
      <c r="G74" s="7" t="s">
        <v>180</v>
      </c>
      <c r="H74" s="31">
        <v>380.3</v>
      </c>
      <c r="I74" s="15">
        <v>1103684.1000000003</v>
      </c>
      <c r="J74" s="11" t="s">
        <v>643</v>
      </c>
      <c r="K74" s="33">
        <v>917933.96</v>
      </c>
      <c r="L74" s="33">
        <f t="shared" si="5"/>
        <v>917933.96</v>
      </c>
      <c r="M74" s="33">
        <f t="shared" si="6"/>
        <v>-185750.14000000036</v>
      </c>
      <c r="N74" s="12">
        <f t="shared" si="7"/>
        <v>-0.16830009601479293</v>
      </c>
      <c r="O74" s="13" t="s">
        <v>38</v>
      </c>
      <c r="P74" s="13" t="s">
        <v>34</v>
      </c>
      <c r="Q74" s="14" t="s">
        <v>34</v>
      </c>
      <c r="R74" s="33">
        <f t="shared" si="8"/>
        <v>917933.96</v>
      </c>
    </row>
    <row r="75" spans="1:18" s="4" customFormat="1" x14ac:dyDescent="0.3">
      <c r="A75" s="1" t="s">
        <v>60</v>
      </c>
      <c r="B75" s="3">
        <f t="shared" si="9"/>
        <v>69</v>
      </c>
      <c r="C75" s="4" t="s">
        <v>61</v>
      </c>
      <c r="D75" s="4" t="s">
        <v>64</v>
      </c>
      <c r="E75" s="111" t="s">
        <v>733</v>
      </c>
      <c r="F75" s="6" t="s">
        <v>181</v>
      </c>
      <c r="G75" s="7" t="s">
        <v>182</v>
      </c>
      <c r="H75" s="31">
        <v>380.3</v>
      </c>
      <c r="I75" s="15">
        <v>231192.58399599997</v>
      </c>
      <c r="J75" s="11" t="s">
        <v>643</v>
      </c>
      <c r="K75" s="33">
        <v>61431.03</v>
      </c>
      <c r="L75" s="33">
        <f t="shared" si="5"/>
        <v>61431.03</v>
      </c>
      <c r="M75" s="33">
        <f t="shared" si="6"/>
        <v>-169761.55399599997</v>
      </c>
      <c r="N75" s="12">
        <f t="shared" si="7"/>
        <v>-0.73428632987179698</v>
      </c>
      <c r="O75" s="13" t="s">
        <v>38</v>
      </c>
      <c r="P75" s="13" t="s">
        <v>34</v>
      </c>
      <c r="Q75" s="14" t="s">
        <v>34</v>
      </c>
      <c r="R75" s="33">
        <f t="shared" si="8"/>
        <v>61431.03</v>
      </c>
    </row>
    <row r="76" spans="1:18" s="4" customFormat="1" x14ac:dyDescent="0.3">
      <c r="A76" s="1" t="s">
        <v>60</v>
      </c>
      <c r="B76" s="3">
        <f t="shared" si="9"/>
        <v>70</v>
      </c>
      <c r="C76" s="4" t="s">
        <v>61</v>
      </c>
      <c r="D76" s="4" t="s">
        <v>35</v>
      </c>
      <c r="E76" s="111" t="s">
        <v>735</v>
      </c>
      <c r="F76" s="6" t="s">
        <v>183</v>
      </c>
      <c r="G76" s="7" t="s">
        <v>184</v>
      </c>
      <c r="H76" s="31">
        <v>394.1</v>
      </c>
      <c r="I76" s="15">
        <v>163538.84</v>
      </c>
      <c r="J76" s="11" t="s">
        <v>648</v>
      </c>
      <c r="K76" s="33">
        <v>40625.550000000003</v>
      </c>
      <c r="L76" s="33">
        <f t="shared" si="5"/>
        <v>40625.550000000003</v>
      </c>
      <c r="M76" s="33">
        <f t="shared" si="6"/>
        <v>-122913.29</v>
      </c>
      <c r="N76" s="12">
        <f t="shared" si="7"/>
        <v>-0.75158470000154087</v>
      </c>
      <c r="O76" s="13" t="s">
        <v>38</v>
      </c>
      <c r="P76" s="13" t="s">
        <v>34</v>
      </c>
      <c r="Q76" s="14" t="s">
        <v>34</v>
      </c>
      <c r="R76" s="33">
        <f t="shared" si="8"/>
        <v>40625.550000000003</v>
      </c>
    </row>
    <row r="77" spans="1:18" s="4" customFormat="1" x14ac:dyDescent="0.3">
      <c r="A77" s="1" t="s">
        <v>60</v>
      </c>
      <c r="B77" s="3">
        <f t="shared" si="9"/>
        <v>71</v>
      </c>
      <c r="C77" s="4" t="s">
        <v>61</v>
      </c>
      <c r="D77" s="4" t="s">
        <v>64</v>
      </c>
      <c r="E77" s="111" t="s">
        <v>733</v>
      </c>
      <c r="F77" s="6" t="s">
        <v>185</v>
      </c>
      <c r="G77" s="7" t="s">
        <v>186</v>
      </c>
      <c r="H77" s="31">
        <v>376.3</v>
      </c>
      <c r="I77" s="15">
        <v>1222711.9900000002</v>
      </c>
      <c r="J77" s="11" t="s">
        <v>643</v>
      </c>
      <c r="K77" s="33">
        <v>933263.28</v>
      </c>
      <c r="L77" s="33">
        <f t="shared" si="5"/>
        <v>933263.28</v>
      </c>
      <c r="M77" s="33">
        <f t="shared" si="6"/>
        <v>-289448.7100000002</v>
      </c>
      <c r="N77" s="12">
        <f t="shared" si="7"/>
        <v>-0.23672681086573802</v>
      </c>
      <c r="O77" s="13" t="s">
        <v>38</v>
      </c>
      <c r="P77" s="13" t="s">
        <v>34</v>
      </c>
      <c r="Q77" s="14" t="s">
        <v>34</v>
      </c>
      <c r="R77" s="33">
        <f t="shared" si="8"/>
        <v>933263.28</v>
      </c>
    </row>
    <row r="78" spans="1:18" s="4" customFormat="1" x14ac:dyDescent="0.3">
      <c r="A78" s="1" t="s">
        <v>60</v>
      </c>
      <c r="B78" s="3">
        <f t="shared" si="9"/>
        <v>72</v>
      </c>
      <c r="C78" s="4" t="s">
        <v>61</v>
      </c>
      <c r="D78" s="4" t="s">
        <v>64</v>
      </c>
      <c r="E78" s="111" t="s">
        <v>733</v>
      </c>
      <c r="F78" s="6" t="s">
        <v>187</v>
      </c>
      <c r="G78" s="7" t="s">
        <v>188</v>
      </c>
      <c r="H78" s="31">
        <v>376.3</v>
      </c>
      <c r="I78" s="15">
        <v>121240.83308500001</v>
      </c>
      <c r="J78" s="11" t="s">
        <v>643</v>
      </c>
      <c r="K78" s="33">
        <v>50078.880000000005</v>
      </c>
      <c r="L78" s="33">
        <f t="shared" si="5"/>
        <v>50078.880000000005</v>
      </c>
      <c r="M78" s="33">
        <f t="shared" si="6"/>
        <v>-71161.953085000001</v>
      </c>
      <c r="N78" s="12">
        <f t="shared" si="7"/>
        <v>-0.58694708106393079</v>
      </c>
      <c r="O78" s="13" t="s">
        <v>38</v>
      </c>
      <c r="P78" s="13" t="s">
        <v>34</v>
      </c>
      <c r="Q78" s="14" t="s">
        <v>34</v>
      </c>
      <c r="R78" s="33">
        <f t="shared" si="8"/>
        <v>50078.880000000005</v>
      </c>
    </row>
    <row r="79" spans="1:18" s="4" customFormat="1" x14ac:dyDescent="0.3">
      <c r="A79" s="1" t="s">
        <v>60</v>
      </c>
      <c r="B79" s="3">
        <f t="shared" si="9"/>
        <v>73</v>
      </c>
      <c r="C79" s="4" t="s">
        <v>61</v>
      </c>
      <c r="D79" s="4" t="s">
        <v>64</v>
      </c>
      <c r="E79" s="111" t="s">
        <v>733</v>
      </c>
      <c r="F79" s="6" t="s">
        <v>189</v>
      </c>
      <c r="G79" s="7" t="s">
        <v>190</v>
      </c>
      <c r="H79" s="31">
        <v>380.3</v>
      </c>
      <c r="I79" s="15">
        <v>1692514.2700000005</v>
      </c>
      <c r="J79" s="11" t="s">
        <v>643</v>
      </c>
      <c r="K79" s="33">
        <v>1434558.88</v>
      </c>
      <c r="L79" s="33">
        <f t="shared" si="5"/>
        <v>1434558.88</v>
      </c>
      <c r="M79" s="33">
        <f t="shared" si="6"/>
        <v>-257955.3900000006</v>
      </c>
      <c r="N79" s="12">
        <f t="shared" si="7"/>
        <v>-0.15240958057033133</v>
      </c>
      <c r="O79" s="13" t="s">
        <v>38</v>
      </c>
      <c r="P79" s="13" t="s">
        <v>34</v>
      </c>
      <c r="Q79" s="14" t="s">
        <v>34</v>
      </c>
      <c r="R79" s="33">
        <f t="shared" si="8"/>
        <v>1434558.88</v>
      </c>
    </row>
    <row r="80" spans="1:18" s="4" customFormat="1" x14ac:dyDescent="0.3">
      <c r="A80" s="1" t="s">
        <v>60</v>
      </c>
      <c r="B80" s="3">
        <f t="shared" si="9"/>
        <v>74</v>
      </c>
      <c r="C80" s="4" t="s">
        <v>61</v>
      </c>
      <c r="D80" s="4" t="s">
        <v>64</v>
      </c>
      <c r="E80" s="111" t="s">
        <v>733</v>
      </c>
      <c r="F80" s="6" t="s">
        <v>191</v>
      </c>
      <c r="G80" s="7" t="s">
        <v>192</v>
      </c>
      <c r="H80" s="31">
        <v>380.3</v>
      </c>
      <c r="I80" s="15">
        <v>88759.269398000004</v>
      </c>
      <c r="J80" s="11" t="s">
        <v>58</v>
      </c>
      <c r="K80" s="33">
        <v>0</v>
      </c>
      <c r="L80" s="33">
        <f t="shared" si="5"/>
        <v>0</v>
      </c>
      <c r="M80" s="33">
        <f t="shared" si="6"/>
        <v>-88759.269398000004</v>
      </c>
      <c r="N80" s="12">
        <f t="shared" si="7"/>
        <v>-1</v>
      </c>
      <c r="O80" s="13" t="s">
        <v>38</v>
      </c>
      <c r="P80" s="13" t="s">
        <v>34</v>
      </c>
      <c r="Q80" s="14" t="s">
        <v>34</v>
      </c>
      <c r="R80" s="33">
        <f t="shared" si="8"/>
        <v>0</v>
      </c>
    </row>
    <row r="81" spans="1:18" s="4" customFormat="1" x14ac:dyDescent="0.3">
      <c r="A81" s="1" t="s">
        <v>60</v>
      </c>
      <c r="B81" s="3">
        <f t="shared" si="9"/>
        <v>75</v>
      </c>
      <c r="C81" s="4" t="s">
        <v>61</v>
      </c>
      <c r="D81" s="4" t="s">
        <v>35</v>
      </c>
      <c r="E81" s="111" t="s">
        <v>735</v>
      </c>
      <c r="F81" s="6" t="s">
        <v>193</v>
      </c>
      <c r="G81" s="7" t="s">
        <v>194</v>
      </c>
      <c r="H81" s="31">
        <v>376.3</v>
      </c>
      <c r="I81" s="15">
        <v>111603.304754</v>
      </c>
      <c r="J81" s="11" t="s">
        <v>644</v>
      </c>
      <c r="K81" s="33">
        <v>41537.53</v>
      </c>
      <c r="L81" s="33">
        <f t="shared" ref="L81:L144" si="10">K81</f>
        <v>41537.53</v>
      </c>
      <c r="M81" s="33">
        <f t="shared" si="6"/>
        <v>-70065.774753999998</v>
      </c>
      <c r="N81" s="12">
        <f t="shared" si="7"/>
        <v>-0.62781093183971115</v>
      </c>
      <c r="O81" s="13" t="s">
        <v>38</v>
      </c>
      <c r="P81" s="13" t="s">
        <v>34</v>
      </c>
      <c r="Q81" s="14" t="s">
        <v>34</v>
      </c>
      <c r="R81" s="33">
        <f t="shared" si="8"/>
        <v>41537.53</v>
      </c>
    </row>
    <row r="82" spans="1:18" s="4" customFormat="1" x14ac:dyDescent="0.3">
      <c r="A82" s="1" t="s">
        <v>60</v>
      </c>
      <c r="B82" s="3">
        <f t="shared" si="9"/>
        <v>76</v>
      </c>
      <c r="C82" s="4" t="s">
        <v>61</v>
      </c>
      <c r="D82" s="4" t="s">
        <v>35</v>
      </c>
      <c r="E82" s="111" t="s">
        <v>732</v>
      </c>
      <c r="F82" s="6" t="s">
        <v>195</v>
      </c>
      <c r="G82" s="7" t="s">
        <v>196</v>
      </c>
      <c r="H82" s="31">
        <v>397.2</v>
      </c>
      <c r="I82" s="15">
        <v>1387227.5384</v>
      </c>
      <c r="J82" s="11" t="s">
        <v>643</v>
      </c>
      <c r="K82" s="33">
        <v>269043.69</v>
      </c>
      <c r="L82" s="33">
        <f t="shared" si="10"/>
        <v>269043.69</v>
      </c>
      <c r="M82" s="33">
        <f t="shared" ref="M82:M145" si="11">SUM(K82)-I82</f>
        <v>-1118183.8484</v>
      </c>
      <c r="N82" s="12">
        <f t="shared" ref="N82:N145" si="12">IFERROR(IF(AND(I82=0,M82=0),"NA",(M82/I82)),"")</f>
        <v>-0.80605655341133908</v>
      </c>
      <c r="O82" s="13" t="s">
        <v>38</v>
      </c>
      <c r="P82" s="13" t="s">
        <v>34</v>
      </c>
      <c r="Q82" s="14" t="s">
        <v>34</v>
      </c>
      <c r="R82" s="33">
        <f t="shared" ref="R82:R145" si="13">K82</f>
        <v>269043.69</v>
      </c>
    </row>
    <row r="83" spans="1:18" s="4" customFormat="1" x14ac:dyDescent="0.3">
      <c r="A83" s="1" t="s">
        <v>60</v>
      </c>
      <c r="B83" s="3">
        <f t="shared" si="9"/>
        <v>77</v>
      </c>
      <c r="C83" s="4" t="s">
        <v>61</v>
      </c>
      <c r="D83" s="4" t="s">
        <v>35</v>
      </c>
      <c r="E83" s="111" t="s">
        <v>735</v>
      </c>
      <c r="F83" s="6" t="s">
        <v>197</v>
      </c>
      <c r="G83" s="7" t="s">
        <v>198</v>
      </c>
      <c r="H83" s="31">
        <v>397.2</v>
      </c>
      <c r="I83" s="15">
        <v>52022.181260999998</v>
      </c>
      <c r="J83" s="11" t="s">
        <v>641</v>
      </c>
      <c r="K83" s="33">
        <v>32650.5</v>
      </c>
      <c r="L83" s="33">
        <f t="shared" si="10"/>
        <v>32650.5</v>
      </c>
      <c r="M83" s="33">
        <f t="shared" si="11"/>
        <v>-19371.681260999998</v>
      </c>
      <c r="N83" s="12">
        <f t="shared" si="12"/>
        <v>-0.37237349129615532</v>
      </c>
      <c r="O83" s="13" t="s">
        <v>38</v>
      </c>
      <c r="P83" s="13" t="s">
        <v>34</v>
      </c>
      <c r="Q83" s="14" t="s">
        <v>34</v>
      </c>
      <c r="R83" s="33">
        <f t="shared" si="13"/>
        <v>32650.5</v>
      </c>
    </row>
    <row r="84" spans="1:18" s="4" customFormat="1" x14ac:dyDescent="0.3">
      <c r="A84" s="1" t="s">
        <v>60</v>
      </c>
      <c r="B84" s="3">
        <f t="shared" si="9"/>
        <v>78</v>
      </c>
      <c r="C84" s="4" t="s">
        <v>61</v>
      </c>
      <c r="D84" s="4" t="s">
        <v>64</v>
      </c>
      <c r="E84" s="111" t="s">
        <v>734</v>
      </c>
      <c r="F84" s="6" t="s">
        <v>199</v>
      </c>
      <c r="G84" s="7" t="s">
        <v>200</v>
      </c>
      <c r="H84" s="31">
        <v>397.2</v>
      </c>
      <c r="I84" s="15">
        <v>72377.088960000008</v>
      </c>
      <c r="J84" s="11" t="s">
        <v>649</v>
      </c>
      <c r="K84" s="33">
        <v>54793.87</v>
      </c>
      <c r="L84" s="33">
        <f t="shared" si="10"/>
        <v>54793.87</v>
      </c>
      <c r="M84" s="33">
        <f t="shared" si="11"/>
        <v>-17583.218960000006</v>
      </c>
      <c r="N84" s="12">
        <f t="shared" si="12"/>
        <v>-0.24293901858525374</v>
      </c>
      <c r="O84" s="13" t="s">
        <v>38</v>
      </c>
      <c r="P84" s="13" t="s">
        <v>34</v>
      </c>
      <c r="Q84" s="14" t="s">
        <v>34</v>
      </c>
      <c r="R84" s="33">
        <f t="shared" si="13"/>
        <v>54793.87</v>
      </c>
    </row>
    <row r="85" spans="1:18" s="4" customFormat="1" x14ac:dyDescent="0.3">
      <c r="A85" s="1" t="s">
        <v>60</v>
      </c>
      <c r="B85" s="3">
        <f t="shared" si="9"/>
        <v>79</v>
      </c>
      <c r="C85" s="4" t="s">
        <v>61</v>
      </c>
      <c r="D85" s="4" t="s">
        <v>35</v>
      </c>
      <c r="E85" s="111"/>
      <c r="F85" s="6" t="s">
        <v>201</v>
      </c>
      <c r="G85" s="7" t="s">
        <v>202</v>
      </c>
      <c r="H85" s="31">
        <v>378</v>
      </c>
      <c r="I85" s="15">
        <v>3845.46</v>
      </c>
      <c r="J85" s="11" t="s">
        <v>641</v>
      </c>
      <c r="K85" s="33">
        <v>3856.51</v>
      </c>
      <c r="L85" s="33">
        <f t="shared" si="10"/>
        <v>3856.51</v>
      </c>
      <c r="M85" s="33">
        <f t="shared" si="11"/>
        <v>11.050000000000182</v>
      </c>
      <c r="N85" s="12">
        <f t="shared" si="12"/>
        <v>2.8735183827162895E-3</v>
      </c>
      <c r="O85" s="13" t="s">
        <v>34</v>
      </c>
      <c r="P85" s="13" t="s">
        <v>34</v>
      </c>
      <c r="Q85" s="14" t="s">
        <v>34</v>
      </c>
      <c r="R85" s="33">
        <f t="shared" si="13"/>
        <v>3856.51</v>
      </c>
    </row>
    <row r="86" spans="1:18" s="4" customFormat="1" x14ac:dyDescent="0.3">
      <c r="A86" s="1" t="s">
        <v>60</v>
      </c>
      <c r="B86" s="3">
        <f t="shared" si="9"/>
        <v>80</v>
      </c>
      <c r="C86" s="4" t="s">
        <v>61</v>
      </c>
      <c r="D86" s="4" t="s">
        <v>35</v>
      </c>
      <c r="E86" s="111" t="s">
        <v>732</v>
      </c>
      <c r="F86" s="6" t="s">
        <v>203</v>
      </c>
      <c r="G86" s="7" t="s">
        <v>204</v>
      </c>
      <c r="H86" s="31">
        <v>376.3</v>
      </c>
      <c r="I86" s="15">
        <v>1403134.75</v>
      </c>
      <c r="J86" s="11" t="s">
        <v>648</v>
      </c>
      <c r="K86" s="33">
        <v>1099492.23</v>
      </c>
      <c r="L86" s="33">
        <f t="shared" si="10"/>
        <v>1099492.23</v>
      </c>
      <c r="M86" s="33">
        <f t="shared" si="11"/>
        <v>-303642.52</v>
      </c>
      <c r="N86" s="12">
        <f t="shared" si="12"/>
        <v>-0.21640296486135777</v>
      </c>
      <c r="O86" s="13" t="s">
        <v>38</v>
      </c>
      <c r="P86" s="13" t="s">
        <v>34</v>
      </c>
      <c r="Q86" s="14" t="s">
        <v>34</v>
      </c>
      <c r="R86" s="33">
        <f t="shared" si="13"/>
        <v>1099492.23</v>
      </c>
    </row>
    <row r="87" spans="1:18" s="4" customFormat="1" x14ac:dyDescent="0.3">
      <c r="A87" s="1" t="s">
        <v>60</v>
      </c>
      <c r="B87" s="3">
        <f t="shared" si="9"/>
        <v>81</v>
      </c>
      <c r="C87" s="4" t="s">
        <v>61</v>
      </c>
      <c r="D87" s="4" t="s">
        <v>35</v>
      </c>
      <c r="E87" s="111" t="s">
        <v>732</v>
      </c>
      <c r="F87" s="6" t="s">
        <v>205</v>
      </c>
      <c r="G87" s="7" t="s">
        <v>206</v>
      </c>
      <c r="H87" s="31">
        <v>376</v>
      </c>
      <c r="I87" s="15">
        <v>-63.6</v>
      </c>
      <c r="J87" s="11" t="s">
        <v>646</v>
      </c>
      <c r="K87" s="33">
        <v>-63.6</v>
      </c>
      <c r="L87" s="33">
        <f t="shared" si="10"/>
        <v>-63.6</v>
      </c>
      <c r="M87" s="33">
        <f t="shared" si="11"/>
        <v>0</v>
      </c>
      <c r="N87" s="12">
        <f t="shared" si="12"/>
        <v>0</v>
      </c>
      <c r="O87" s="13" t="s">
        <v>34</v>
      </c>
      <c r="P87" s="13" t="s">
        <v>34</v>
      </c>
      <c r="Q87" s="14" t="s">
        <v>34</v>
      </c>
      <c r="R87" s="33">
        <f t="shared" si="13"/>
        <v>-63.6</v>
      </c>
    </row>
    <row r="88" spans="1:18" s="4" customFormat="1" x14ac:dyDescent="0.3">
      <c r="A88" s="1" t="s">
        <v>60</v>
      </c>
      <c r="B88" s="3">
        <f t="shared" si="9"/>
        <v>82</v>
      </c>
      <c r="C88" s="4" t="s">
        <v>61</v>
      </c>
      <c r="D88" s="4" t="s">
        <v>35</v>
      </c>
      <c r="E88" s="111" t="s">
        <v>732</v>
      </c>
      <c r="F88" s="6" t="s">
        <v>207</v>
      </c>
      <c r="G88" s="7" t="s">
        <v>208</v>
      </c>
      <c r="H88" s="31">
        <v>379</v>
      </c>
      <c r="I88" s="15">
        <v>-322.59000000000003</v>
      </c>
      <c r="J88" s="11" t="s">
        <v>644</v>
      </c>
      <c r="K88" s="33">
        <v>-322.59000000000003</v>
      </c>
      <c r="L88" s="33">
        <f t="shared" si="10"/>
        <v>-322.59000000000003</v>
      </c>
      <c r="M88" s="33">
        <f t="shared" si="11"/>
        <v>0</v>
      </c>
      <c r="N88" s="12">
        <f t="shared" si="12"/>
        <v>0</v>
      </c>
      <c r="O88" s="13" t="s">
        <v>34</v>
      </c>
      <c r="P88" s="13" t="s">
        <v>34</v>
      </c>
      <c r="Q88" s="14" t="s">
        <v>34</v>
      </c>
      <c r="R88" s="33">
        <f t="shared" si="13"/>
        <v>-322.59000000000003</v>
      </c>
    </row>
    <row r="89" spans="1:18" s="4" customFormat="1" x14ac:dyDescent="0.3">
      <c r="A89" s="1" t="s">
        <v>60</v>
      </c>
      <c r="B89" s="3">
        <f t="shared" si="9"/>
        <v>83</v>
      </c>
      <c r="C89" s="4" t="s">
        <v>61</v>
      </c>
      <c r="D89" s="4" t="s">
        <v>35</v>
      </c>
      <c r="E89" s="111" t="s">
        <v>735</v>
      </c>
      <c r="F89" s="6" t="s">
        <v>209</v>
      </c>
      <c r="G89" s="7" t="s">
        <v>210</v>
      </c>
      <c r="H89" s="31">
        <v>367.1</v>
      </c>
      <c r="I89" s="15">
        <v>533956.21821900003</v>
      </c>
      <c r="J89" s="11" t="s">
        <v>58</v>
      </c>
      <c r="K89" s="33">
        <v>0</v>
      </c>
      <c r="L89" s="33">
        <f t="shared" si="10"/>
        <v>0</v>
      </c>
      <c r="M89" s="33">
        <f t="shared" si="11"/>
        <v>-533956.21821900003</v>
      </c>
      <c r="N89" s="12">
        <f t="shared" si="12"/>
        <v>-1</v>
      </c>
      <c r="O89" s="13" t="s">
        <v>38</v>
      </c>
      <c r="P89" s="13" t="s">
        <v>34</v>
      </c>
      <c r="Q89" s="14" t="s">
        <v>34</v>
      </c>
      <c r="R89" s="33">
        <f t="shared" si="13"/>
        <v>0</v>
      </c>
    </row>
    <row r="90" spans="1:18" s="4" customFormat="1" x14ac:dyDescent="0.3">
      <c r="A90" s="1" t="s">
        <v>60</v>
      </c>
      <c r="B90" s="3">
        <f t="shared" si="9"/>
        <v>84</v>
      </c>
      <c r="C90" s="4" t="s">
        <v>61</v>
      </c>
      <c r="D90" s="4" t="s">
        <v>35</v>
      </c>
      <c r="E90" s="111"/>
      <c r="F90" s="6" t="s">
        <v>211</v>
      </c>
      <c r="G90" s="7" t="s">
        <v>212</v>
      </c>
      <c r="H90" s="31">
        <v>385</v>
      </c>
      <c r="I90" s="15">
        <v>45815.19</v>
      </c>
      <c r="J90" s="11" t="s">
        <v>650</v>
      </c>
      <c r="K90" s="33">
        <v>33632.090000000004</v>
      </c>
      <c r="L90" s="33">
        <f t="shared" si="10"/>
        <v>33632.090000000004</v>
      </c>
      <c r="M90" s="33">
        <f t="shared" si="11"/>
        <v>-12183.099999999999</v>
      </c>
      <c r="N90" s="12">
        <f t="shared" si="12"/>
        <v>-0.26591835589899326</v>
      </c>
      <c r="O90" s="13" t="s">
        <v>38</v>
      </c>
      <c r="P90" s="13" t="s">
        <v>34</v>
      </c>
      <c r="Q90" s="14" t="s">
        <v>34</v>
      </c>
      <c r="R90" s="33">
        <f t="shared" si="13"/>
        <v>33632.090000000004</v>
      </c>
    </row>
    <row r="91" spans="1:18" s="4" customFormat="1" x14ac:dyDescent="0.3">
      <c r="A91" s="1" t="s">
        <v>60</v>
      </c>
      <c r="B91" s="3">
        <f t="shared" si="9"/>
        <v>85</v>
      </c>
      <c r="C91" s="4" t="s">
        <v>61</v>
      </c>
      <c r="D91" s="4" t="s">
        <v>35</v>
      </c>
      <c r="E91" s="111" t="s">
        <v>732</v>
      </c>
      <c r="F91" s="6" t="s">
        <v>213</v>
      </c>
      <c r="G91" s="7" t="s">
        <v>214</v>
      </c>
      <c r="H91" s="31">
        <v>376</v>
      </c>
      <c r="I91" s="15">
        <v>175039.2</v>
      </c>
      <c r="J91" s="11" t="s">
        <v>646</v>
      </c>
      <c r="K91" s="33">
        <v>175039.2</v>
      </c>
      <c r="L91" s="33">
        <f t="shared" si="10"/>
        <v>175039.2</v>
      </c>
      <c r="M91" s="33">
        <f t="shared" si="11"/>
        <v>0</v>
      </c>
      <c r="N91" s="12">
        <f t="shared" si="12"/>
        <v>0</v>
      </c>
      <c r="O91" s="13" t="s">
        <v>34</v>
      </c>
      <c r="P91" s="13" t="s">
        <v>34</v>
      </c>
      <c r="Q91" s="14" t="s">
        <v>34</v>
      </c>
      <c r="R91" s="33">
        <f t="shared" si="13"/>
        <v>175039.2</v>
      </c>
    </row>
    <row r="92" spans="1:18" s="4" customFormat="1" x14ac:dyDescent="0.3">
      <c r="A92" s="1" t="s">
        <v>60</v>
      </c>
      <c r="B92" s="3">
        <f t="shared" si="9"/>
        <v>86</v>
      </c>
      <c r="C92" s="4" t="s">
        <v>61</v>
      </c>
      <c r="D92" s="4" t="s">
        <v>35</v>
      </c>
      <c r="E92" s="111" t="s">
        <v>732</v>
      </c>
      <c r="F92" s="6" t="s">
        <v>215</v>
      </c>
      <c r="G92" s="7" t="s">
        <v>216</v>
      </c>
      <c r="H92" s="31">
        <v>380.3</v>
      </c>
      <c r="I92" s="15">
        <v>375340.57199999999</v>
      </c>
      <c r="J92" s="11" t="s">
        <v>641</v>
      </c>
      <c r="K92" s="33">
        <v>49044.42</v>
      </c>
      <c r="L92" s="33">
        <f t="shared" si="10"/>
        <v>49044.42</v>
      </c>
      <c r="M92" s="33">
        <f t="shared" si="11"/>
        <v>-326296.152</v>
      </c>
      <c r="N92" s="12">
        <f t="shared" si="12"/>
        <v>-0.86933355022435466</v>
      </c>
      <c r="O92" s="13" t="s">
        <v>38</v>
      </c>
      <c r="P92" s="13" t="s">
        <v>34</v>
      </c>
      <c r="Q92" s="14" t="s">
        <v>34</v>
      </c>
      <c r="R92" s="33">
        <f t="shared" si="13"/>
        <v>49044.42</v>
      </c>
    </row>
    <row r="93" spans="1:18" s="4" customFormat="1" x14ac:dyDescent="0.3">
      <c r="A93" s="1" t="s">
        <v>60</v>
      </c>
      <c r="B93" s="3">
        <f t="shared" si="9"/>
        <v>87</v>
      </c>
      <c r="C93" s="4" t="s">
        <v>61</v>
      </c>
      <c r="D93" s="4" t="s">
        <v>35</v>
      </c>
      <c r="E93" s="111"/>
      <c r="F93" s="6" t="s">
        <v>217</v>
      </c>
      <c r="G93" s="7" t="s">
        <v>218</v>
      </c>
      <c r="H93" s="31">
        <v>377</v>
      </c>
      <c r="I93" s="15">
        <v>27618.03</v>
      </c>
      <c r="J93" s="11" t="s">
        <v>646</v>
      </c>
      <c r="K93" s="33">
        <v>27697.39</v>
      </c>
      <c r="L93" s="33">
        <f t="shared" si="10"/>
        <v>27697.39</v>
      </c>
      <c r="M93" s="33">
        <f t="shared" si="11"/>
        <v>79.360000000000582</v>
      </c>
      <c r="N93" s="12">
        <f t="shared" si="12"/>
        <v>2.8734851834110032E-3</v>
      </c>
      <c r="O93" s="13" t="s">
        <v>34</v>
      </c>
      <c r="P93" s="13" t="s">
        <v>34</v>
      </c>
      <c r="Q93" s="14" t="s">
        <v>34</v>
      </c>
      <c r="R93" s="33">
        <f t="shared" si="13"/>
        <v>27697.39</v>
      </c>
    </row>
    <row r="94" spans="1:18" s="4" customFormat="1" x14ac:dyDescent="0.3">
      <c r="A94" s="1" t="s">
        <v>60</v>
      </c>
      <c r="B94" s="3">
        <f t="shared" si="9"/>
        <v>88</v>
      </c>
      <c r="C94" s="4" t="s">
        <v>61</v>
      </c>
      <c r="D94" s="4" t="s">
        <v>35</v>
      </c>
      <c r="E94" s="111" t="s">
        <v>732</v>
      </c>
      <c r="F94" s="6" t="s">
        <v>219</v>
      </c>
      <c r="G94" s="7" t="s">
        <v>220</v>
      </c>
      <c r="H94" s="31">
        <v>376.2</v>
      </c>
      <c r="I94" s="15">
        <v>1069397.6491989999</v>
      </c>
      <c r="J94" s="11" t="s">
        <v>58</v>
      </c>
      <c r="K94" s="33">
        <v>0</v>
      </c>
      <c r="L94" s="33">
        <f t="shared" si="10"/>
        <v>0</v>
      </c>
      <c r="M94" s="33">
        <f t="shared" si="11"/>
        <v>-1069397.6491989999</v>
      </c>
      <c r="N94" s="12">
        <f t="shared" si="12"/>
        <v>-1</v>
      </c>
      <c r="O94" s="13" t="s">
        <v>38</v>
      </c>
      <c r="P94" s="13" t="s">
        <v>34</v>
      </c>
      <c r="Q94" s="14" t="s">
        <v>34</v>
      </c>
      <c r="R94" s="33">
        <f t="shared" si="13"/>
        <v>0</v>
      </c>
    </row>
    <row r="95" spans="1:18" s="4" customFormat="1" x14ac:dyDescent="0.3">
      <c r="A95" s="1" t="s">
        <v>60</v>
      </c>
      <c r="B95" s="3">
        <f t="shared" si="9"/>
        <v>89</v>
      </c>
      <c r="C95" s="4" t="s">
        <v>61</v>
      </c>
      <c r="D95" s="4" t="s">
        <v>35</v>
      </c>
      <c r="E95" s="111" t="s">
        <v>735</v>
      </c>
      <c r="F95" s="6" t="s">
        <v>221</v>
      </c>
      <c r="G95" s="7" t="s">
        <v>222</v>
      </c>
      <c r="H95" s="31">
        <v>376.2</v>
      </c>
      <c r="I95" s="15">
        <v>930867.84602499998</v>
      </c>
      <c r="J95" s="11" t="s">
        <v>58</v>
      </c>
      <c r="K95" s="33">
        <v>0</v>
      </c>
      <c r="L95" s="33">
        <f t="shared" si="10"/>
        <v>0</v>
      </c>
      <c r="M95" s="33">
        <f t="shared" si="11"/>
        <v>-930867.84602499998</v>
      </c>
      <c r="N95" s="12">
        <f t="shared" si="12"/>
        <v>-1</v>
      </c>
      <c r="O95" s="13" t="s">
        <v>38</v>
      </c>
      <c r="P95" s="13" t="s">
        <v>34</v>
      </c>
      <c r="Q95" s="14" t="s">
        <v>34</v>
      </c>
      <c r="R95" s="33">
        <f t="shared" si="13"/>
        <v>0</v>
      </c>
    </row>
    <row r="96" spans="1:18" s="4" customFormat="1" x14ac:dyDescent="0.3">
      <c r="A96" s="1" t="s">
        <v>60</v>
      </c>
      <c r="B96" s="3">
        <f t="shared" si="9"/>
        <v>90</v>
      </c>
      <c r="C96" s="4" t="s">
        <v>61</v>
      </c>
      <c r="D96" s="4" t="s">
        <v>35</v>
      </c>
      <c r="E96" s="111" t="s">
        <v>732</v>
      </c>
      <c r="F96" s="6" t="s">
        <v>223</v>
      </c>
      <c r="G96" s="7" t="s">
        <v>224</v>
      </c>
      <c r="H96" s="31">
        <v>367</v>
      </c>
      <c r="I96" s="15">
        <v>115.01</v>
      </c>
      <c r="J96" s="11" t="s">
        <v>644</v>
      </c>
      <c r="K96" s="33">
        <v>114.79</v>
      </c>
      <c r="L96" s="33">
        <f t="shared" si="10"/>
        <v>114.79</v>
      </c>
      <c r="M96" s="33">
        <f t="shared" si="11"/>
        <v>-0.21999999999999886</v>
      </c>
      <c r="N96" s="12">
        <f t="shared" si="12"/>
        <v>-1.9128771411181537E-3</v>
      </c>
      <c r="O96" s="13" t="s">
        <v>34</v>
      </c>
      <c r="P96" s="13" t="s">
        <v>34</v>
      </c>
      <c r="Q96" s="14" t="s">
        <v>34</v>
      </c>
      <c r="R96" s="33">
        <f t="shared" si="13"/>
        <v>114.79</v>
      </c>
    </row>
    <row r="97" spans="1:18" s="4" customFormat="1" x14ac:dyDescent="0.3">
      <c r="A97" s="1" t="s">
        <v>60</v>
      </c>
      <c r="B97" s="3">
        <f t="shared" si="9"/>
        <v>91</v>
      </c>
      <c r="C97" s="4" t="s">
        <v>61</v>
      </c>
      <c r="D97" s="4" t="s">
        <v>35</v>
      </c>
      <c r="E97" s="111" t="s">
        <v>732</v>
      </c>
      <c r="F97" s="6" t="s">
        <v>225</v>
      </c>
      <c r="G97" s="7" t="s">
        <v>226</v>
      </c>
      <c r="H97" s="31">
        <v>376.2</v>
      </c>
      <c r="I97" s="15">
        <v>1829249.22</v>
      </c>
      <c r="J97" s="11" t="s">
        <v>58</v>
      </c>
      <c r="K97" s="33">
        <v>0</v>
      </c>
      <c r="L97" s="33">
        <f t="shared" si="10"/>
        <v>0</v>
      </c>
      <c r="M97" s="33">
        <f t="shared" si="11"/>
        <v>-1829249.22</v>
      </c>
      <c r="N97" s="12">
        <f t="shared" si="12"/>
        <v>-1</v>
      </c>
      <c r="O97" s="13" t="s">
        <v>38</v>
      </c>
      <c r="P97" s="13" t="s">
        <v>34</v>
      </c>
      <c r="Q97" s="16" t="s">
        <v>227</v>
      </c>
      <c r="R97" s="33">
        <f t="shared" si="13"/>
        <v>0</v>
      </c>
    </row>
    <row r="98" spans="1:18" s="4" customFormat="1" x14ac:dyDescent="0.3">
      <c r="A98" s="1" t="s">
        <v>60</v>
      </c>
      <c r="B98" s="3">
        <f t="shared" si="9"/>
        <v>92</v>
      </c>
      <c r="C98" s="4" t="s">
        <v>61</v>
      </c>
      <c r="D98" s="4" t="s">
        <v>35</v>
      </c>
      <c r="E98" s="111" t="s">
        <v>735</v>
      </c>
      <c r="F98" s="6" t="s">
        <v>228</v>
      </c>
      <c r="G98" s="7" t="s">
        <v>229</v>
      </c>
      <c r="H98" s="31">
        <v>378</v>
      </c>
      <c r="I98" s="15">
        <v>240690.43274999998</v>
      </c>
      <c r="J98" s="11" t="s">
        <v>58</v>
      </c>
      <c r="K98" s="33">
        <v>0</v>
      </c>
      <c r="L98" s="33">
        <f t="shared" si="10"/>
        <v>0</v>
      </c>
      <c r="M98" s="33">
        <f t="shared" si="11"/>
        <v>-240690.43274999998</v>
      </c>
      <c r="N98" s="12">
        <f t="shared" si="12"/>
        <v>-1</v>
      </c>
      <c r="O98" s="13" t="s">
        <v>38</v>
      </c>
      <c r="P98" s="13" t="s">
        <v>34</v>
      </c>
      <c r="Q98" s="14" t="s">
        <v>34</v>
      </c>
      <c r="R98" s="33">
        <f t="shared" si="13"/>
        <v>0</v>
      </c>
    </row>
    <row r="99" spans="1:18" s="4" customFormat="1" x14ac:dyDescent="0.3">
      <c r="A99" s="1" t="s">
        <v>60</v>
      </c>
      <c r="B99" s="3">
        <f t="shared" si="9"/>
        <v>93</v>
      </c>
      <c r="C99" s="4" t="s">
        <v>61</v>
      </c>
      <c r="D99" s="4" t="s">
        <v>35</v>
      </c>
      <c r="E99" s="111"/>
      <c r="F99" s="6" t="s">
        <v>230</v>
      </c>
      <c r="G99" s="7" t="s">
        <v>231</v>
      </c>
      <c r="H99" s="31">
        <v>378</v>
      </c>
      <c r="I99" s="15">
        <v>13898.34</v>
      </c>
      <c r="J99" s="11" t="s">
        <v>646</v>
      </c>
      <c r="K99" s="33">
        <v>13938.28</v>
      </c>
      <c r="L99" s="33">
        <f t="shared" si="10"/>
        <v>13938.28</v>
      </c>
      <c r="M99" s="33">
        <f t="shared" si="11"/>
        <v>39.940000000000509</v>
      </c>
      <c r="N99" s="12">
        <f t="shared" si="12"/>
        <v>2.8737244879604691E-3</v>
      </c>
      <c r="O99" s="13" t="s">
        <v>34</v>
      </c>
      <c r="P99" s="13" t="s">
        <v>34</v>
      </c>
      <c r="Q99" s="14" t="s">
        <v>34</v>
      </c>
      <c r="R99" s="33">
        <f t="shared" si="13"/>
        <v>13938.28</v>
      </c>
    </row>
    <row r="100" spans="1:18" s="4" customFormat="1" x14ac:dyDescent="0.3">
      <c r="A100" s="1" t="s">
        <v>60</v>
      </c>
      <c r="B100" s="3">
        <f t="shared" si="9"/>
        <v>94</v>
      </c>
      <c r="C100" s="4" t="s">
        <v>61</v>
      </c>
      <c r="D100" s="4" t="s">
        <v>35</v>
      </c>
      <c r="E100" s="111" t="s">
        <v>735</v>
      </c>
      <c r="F100" s="6" t="s">
        <v>232</v>
      </c>
      <c r="G100" s="7" t="s">
        <v>233</v>
      </c>
      <c r="H100" s="31">
        <v>385</v>
      </c>
      <c r="I100" s="15">
        <v>63609</v>
      </c>
      <c r="J100" s="11" t="s">
        <v>58</v>
      </c>
      <c r="K100" s="33">
        <v>0</v>
      </c>
      <c r="L100" s="33">
        <f t="shared" si="10"/>
        <v>0</v>
      </c>
      <c r="M100" s="33">
        <f t="shared" si="11"/>
        <v>-63609</v>
      </c>
      <c r="N100" s="12">
        <f t="shared" si="12"/>
        <v>-1</v>
      </c>
      <c r="O100" s="13" t="s">
        <v>38</v>
      </c>
      <c r="P100" s="13" t="s">
        <v>34</v>
      </c>
      <c r="Q100" s="14" t="s">
        <v>34</v>
      </c>
      <c r="R100" s="33">
        <f t="shared" si="13"/>
        <v>0</v>
      </c>
    </row>
    <row r="101" spans="1:18" s="4" customFormat="1" x14ac:dyDescent="0.3">
      <c r="A101" s="1" t="s">
        <v>60</v>
      </c>
      <c r="B101" s="3">
        <f t="shared" si="9"/>
        <v>95</v>
      </c>
      <c r="C101" s="4" t="s">
        <v>61</v>
      </c>
      <c r="D101" s="4" t="s">
        <v>35</v>
      </c>
      <c r="E101" s="111" t="s">
        <v>735</v>
      </c>
      <c r="F101" s="6" t="s">
        <v>234</v>
      </c>
      <c r="G101" s="7" t="s">
        <v>235</v>
      </c>
      <c r="H101" s="31">
        <v>385</v>
      </c>
      <c r="I101" s="15">
        <v>60676.625099999997</v>
      </c>
      <c r="J101" s="11" t="s">
        <v>644</v>
      </c>
      <c r="K101" s="33">
        <v>4212.4799999999996</v>
      </c>
      <c r="L101" s="33">
        <f t="shared" si="10"/>
        <v>4212.4799999999996</v>
      </c>
      <c r="M101" s="33">
        <f t="shared" si="11"/>
        <v>-56464.145099999994</v>
      </c>
      <c r="N101" s="12">
        <f t="shared" si="12"/>
        <v>-0.93057491261161118</v>
      </c>
      <c r="O101" s="13" t="s">
        <v>38</v>
      </c>
      <c r="P101" s="13" t="s">
        <v>34</v>
      </c>
      <c r="Q101" s="14" t="s">
        <v>34</v>
      </c>
      <c r="R101" s="33">
        <f t="shared" si="13"/>
        <v>4212.4799999999996</v>
      </c>
    </row>
    <row r="102" spans="1:18" s="4" customFormat="1" x14ac:dyDescent="0.3">
      <c r="A102" s="1" t="s">
        <v>60</v>
      </c>
      <c r="B102" s="3">
        <f t="shared" si="9"/>
        <v>96</v>
      </c>
      <c r="C102" s="4" t="s">
        <v>61</v>
      </c>
      <c r="D102" s="4" t="s">
        <v>35</v>
      </c>
      <c r="E102" s="111"/>
      <c r="F102" s="6" t="s">
        <v>236</v>
      </c>
      <c r="G102" s="7" t="s">
        <v>237</v>
      </c>
      <c r="H102" s="31">
        <v>376</v>
      </c>
      <c r="I102" s="15">
        <v>61497.130000000005</v>
      </c>
      <c r="J102" s="11" t="s">
        <v>644</v>
      </c>
      <c r="K102" s="33">
        <v>61497.130000000005</v>
      </c>
      <c r="L102" s="33">
        <f t="shared" si="10"/>
        <v>61497.130000000005</v>
      </c>
      <c r="M102" s="33">
        <f t="shared" si="11"/>
        <v>0</v>
      </c>
      <c r="N102" s="12">
        <f t="shared" si="12"/>
        <v>0</v>
      </c>
      <c r="O102" s="13" t="s">
        <v>34</v>
      </c>
      <c r="P102" s="13" t="s">
        <v>34</v>
      </c>
      <c r="Q102" s="14" t="s">
        <v>34</v>
      </c>
      <c r="R102" s="33">
        <f t="shared" si="13"/>
        <v>61497.130000000005</v>
      </c>
    </row>
    <row r="103" spans="1:18" s="4" customFormat="1" x14ac:dyDescent="0.3">
      <c r="A103" s="1" t="s">
        <v>60</v>
      </c>
      <c r="B103" s="3">
        <f t="shared" si="9"/>
        <v>97</v>
      </c>
      <c r="C103" s="4" t="s">
        <v>61</v>
      </c>
      <c r="D103" s="4" t="s">
        <v>31</v>
      </c>
      <c r="E103" s="111" t="s">
        <v>737</v>
      </c>
      <c r="F103" s="6" t="s">
        <v>238</v>
      </c>
      <c r="G103" s="7" t="s">
        <v>239</v>
      </c>
      <c r="H103" s="31">
        <v>394.1</v>
      </c>
      <c r="I103" s="15">
        <v>16945.670000000002</v>
      </c>
      <c r="J103" s="11" t="s">
        <v>643</v>
      </c>
      <c r="K103" s="33">
        <v>19814.57</v>
      </c>
      <c r="L103" s="33">
        <f t="shared" si="10"/>
        <v>19814.57</v>
      </c>
      <c r="M103" s="33">
        <f t="shared" si="11"/>
        <v>2868.8999999999978</v>
      </c>
      <c r="N103" s="12">
        <f t="shared" si="12"/>
        <v>0.16929988604758606</v>
      </c>
      <c r="O103" s="13" t="s">
        <v>38</v>
      </c>
      <c r="P103" s="13" t="s">
        <v>38</v>
      </c>
      <c r="Q103" s="14" t="s">
        <v>34</v>
      </c>
      <c r="R103" s="33">
        <f t="shared" si="13"/>
        <v>19814.57</v>
      </c>
    </row>
    <row r="104" spans="1:18" s="4" customFormat="1" x14ac:dyDescent="0.3">
      <c r="A104" s="1" t="s">
        <v>60</v>
      </c>
      <c r="B104" s="3">
        <f t="shared" si="9"/>
        <v>98</v>
      </c>
      <c r="C104" s="4" t="s">
        <v>61</v>
      </c>
      <c r="D104" s="4" t="s">
        <v>31</v>
      </c>
      <c r="E104" s="111" t="s">
        <v>737</v>
      </c>
      <c r="F104" s="6" t="s">
        <v>240</v>
      </c>
      <c r="G104" s="7" t="s">
        <v>241</v>
      </c>
      <c r="H104" s="31">
        <v>394.1</v>
      </c>
      <c r="I104" s="15">
        <v>14987.11</v>
      </c>
      <c r="J104" s="11" t="s">
        <v>58</v>
      </c>
      <c r="K104" s="33">
        <v>0</v>
      </c>
      <c r="L104" s="33">
        <f t="shared" si="10"/>
        <v>0</v>
      </c>
      <c r="M104" s="33">
        <f t="shared" si="11"/>
        <v>-14987.11</v>
      </c>
      <c r="N104" s="12">
        <f t="shared" si="12"/>
        <v>-1</v>
      </c>
      <c r="O104" s="13" t="s">
        <v>38</v>
      </c>
      <c r="P104" s="13" t="s">
        <v>34</v>
      </c>
      <c r="Q104" s="14" t="s">
        <v>34</v>
      </c>
      <c r="R104" s="33">
        <f t="shared" si="13"/>
        <v>0</v>
      </c>
    </row>
    <row r="105" spans="1:18" s="4" customFormat="1" x14ac:dyDescent="0.3">
      <c r="A105" s="1" t="s">
        <v>60</v>
      </c>
      <c r="B105" s="3">
        <f t="shared" si="9"/>
        <v>99</v>
      </c>
      <c r="C105" s="4" t="s">
        <v>61</v>
      </c>
      <c r="D105" s="4" t="s">
        <v>64</v>
      </c>
      <c r="E105" s="111" t="s">
        <v>734</v>
      </c>
      <c r="F105" s="6" t="s">
        <v>242</v>
      </c>
      <c r="G105" s="7" t="s">
        <v>243</v>
      </c>
      <c r="H105" s="31">
        <v>303</v>
      </c>
      <c r="I105" s="15">
        <v>44563.436257000001</v>
      </c>
      <c r="J105" s="11" t="s">
        <v>643</v>
      </c>
      <c r="K105" s="33">
        <v>38077.89</v>
      </c>
      <c r="L105" s="33">
        <f t="shared" si="10"/>
        <v>38077.89</v>
      </c>
      <c r="M105" s="33">
        <f t="shared" si="11"/>
        <v>-6485.5462570000018</v>
      </c>
      <c r="N105" s="12">
        <f t="shared" si="12"/>
        <v>-0.14553514723589692</v>
      </c>
      <c r="O105" s="13" t="s">
        <v>38</v>
      </c>
      <c r="P105" s="13" t="s">
        <v>34</v>
      </c>
      <c r="Q105" s="14" t="s">
        <v>34</v>
      </c>
      <c r="R105" s="33">
        <f t="shared" si="13"/>
        <v>38077.89</v>
      </c>
    </row>
    <row r="106" spans="1:18" s="4" customFormat="1" x14ac:dyDescent="0.3">
      <c r="A106" s="1" t="s">
        <v>60</v>
      </c>
      <c r="B106" s="3">
        <f t="shared" si="9"/>
        <v>100</v>
      </c>
      <c r="C106" s="4" t="s">
        <v>61</v>
      </c>
      <c r="D106" s="4" t="s">
        <v>35</v>
      </c>
      <c r="E106" s="111"/>
      <c r="F106" s="6" t="s">
        <v>244</v>
      </c>
      <c r="G106" s="7" t="s">
        <v>245</v>
      </c>
      <c r="H106" s="31">
        <v>376</v>
      </c>
      <c r="I106" s="15">
        <v>-48387.109999999979</v>
      </c>
      <c r="J106" s="11" t="s">
        <v>646</v>
      </c>
      <c r="K106" s="33">
        <v>-49144.119999999981</v>
      </c>
      <c r="L106" s="33">
        <f t="shared" si="10"/>
        <v>-49144.119999999981</v>
      </c>
      <c r="M106" s="33">
        <f t="shared" si="11"/>
        <v>-757.01000000000204</v>
      </c>
      <c r="N106" s="12">
        <f t="shared" si="12"/>
        <v>1.5644869057069175E-2</v>
      </c>
      <c r="O106" s="13" t="s">
        <v>34</v>
      </c>
      <c r="P106" s="13" t="s">
        <v>34</v>
      </c>
      <c r="Q106" s="14" t="s">
        <v>34</v>
      </c>
      <c r="R106" s="33">
        <f t="shared" si="13"/>
        <v>-49144.119999999981</v>
      </c>
    </row>
    <row r="107" spans="1:18" s="4" customFormat="1" x14ac:dyDescent="0.3">
      <c r="A107" s="1" t="s">
        <v>60</v>
      </c>
      <c r="B107" s="3">
        <f t="shared" si="9"/>
        <v>101</v>
      </c>
      <c r="C107" s="4" t="s">
        <v>61</v>
      </c>
      <c r="D107" s="4" t="s">
        <v>246</v>
      </c>
      <c r="E107" s="111" t="s">
        <v>738</v>
      </c>
      <c r="F107" s="6" t="s">
        <v>247</v>
      </c>
      <c r="G107" s="7" t="s">
        <v>248</v>
      </c>
      <c r="H107" s="31">
        <v>303</v>
      </c>
      <c r="I107" s="15">
        <v>395808.65443899995</v>
      </c>
      <c r="J107" s="11" t="s">
        <v>643</v>
      </c>
      <c r="K107" s="33">
        <v>294221.67</v>
      </c>
      <c r="L107" s="33">
        <f t="shared" si="10"/>
        <v>294221.67</v>
      </c>
      <c r="M107" s="33">
        <f t="shared" si="11"/>
        <v>-101586.98443899996</v>
      </c>
      <c r="N107" s="12">
        <f t="shared" si="12"/>
        <v>-0.25665680449303069</v>
      </c>
      <c r="O107" s="13" t="s">
        <v>38</v>
      </c>
      <c r="P107" s="13" t="s">
        <v>34</v>
      </c>
      <c r="Q107" s="14" t="s">
        <v>34</v>
      </c>
      <c r="R107" s="33">
        <f t="shared" si="13"/>
        <v>294221.67</v>
      </c>
    </row>
    <row r="108" spans="1:18" s="4" customFormat="1" x14ac:dyDescent="0.3">
      <c r="A108" s="1" t="s">
        <v>60</v>
      </c>
      <c r="B108" s="3">
        <f t="shared" si="9"/>
        <v>102</v>
      </c>
      <c r="C108" s="4" t="s">
        <v>61</v>
      </c>
      <c r="D108" s="4" t="s">
        <v>35</v>
      </c>
      <c r="E108" s="111" t="s">
        <v>732</v>
      </c>
      <c r="F108" s="6" t="s">
        <v>249</v>
      </c>
      <c r="G108" s="7" t="s">
        <v>250</v>
      </c>
      <c r="H108" s="31">
        <v>376.2</v>
      </c>
      <c r="I108" s="15">
        <v>1111422.142954</v>
      </c>
      <c r="J108" s="11" t="s">
        <v>646</v>
      </c>
      <c r="K108" s="33">
        <v>1920683.51</v>
      </c>
      <c r="L108" s="33">
        <f t="shared" si="10"/>
        <v>1920683.51</v>
      </c>
      <c r="M108" s="33">
        <f t="shared" si="11"/>
        <v>809261.36704599997</v>
      </c>
      <c r="N108" s="12">
        <f t="shared" si="12"/>
        <v>0.72813140549377553</v>
      </c>
      <c r="O108" s="13" t="s">
        <v>38</v>
      </c>
      <c r="P108" s="13" t="s">
        <v>38</v>
      </c>
      <c r="Q108" s="14" t="s">
        <v>34</v>
      </c>
      <c r="R108" s="33">
        <f t="shared" si="13"/>
        <v>1920683.51</v>
      </c>
    </row>
    <row r="109" spans="1:18" s="4" customFormat="1" x14ac:dyDescent="0.3">
      <c r="A109" s="1" t="s">
        <v>60</v>
      </c>
      <c r="B109" s="3">
        <f t="shared" si="9"/>
        <v>103</v>
      </c>
      <c r="C109" s="4" t="s">
        <v>61</v>
      </c>
      <c r="D109" s="4" t="s">
        <v>251</v>
      </c>
      <c r="E109" s="111"/>
      <c r="F109" s="6" t="s">
        <v>252</v>
      </c>
      <c r="G109" s="7" t="s">
        <v>253</v>
      </c>
      <c r="H109" s="31">
        <v>397</v>
      </c>
      <c r="I109" s="15">
        <v>49077.560000000005</v>
      </c>
      <c r="J109" s="11" t="s">
        <v>646</v>
      </c>
      <c r="K109" s="33">
        <v>49345.220000000008</v>
      </c>
      <c r="L109" s="33">
        <f t="shared" si="10"/>
        <v>49345.220000000008</v>
      </c>
      <c r="M109" s="33">
        <f t="shared" si="11"/>
        <v>267.66000000000349</v>
      </c>
      <c r="N109" s="12">
        <f t="shared" si="12"/>
        <v>5.4538163673989387E-3</v>
      </c>
      <c r="O109" s="13" t="s">
        <v>34</v>
      </c>
      <c r="P109" s="13" t="s">
        <v>34</v>
      </c>
      <c r="Q109" s="14" t="s">
        <v>34</v>
      </c>
      <c r="R109" s="33">
        <f t="shared" si="13"/>
        <v>49345.220000000008</v>
      </c>
    </row>
    <row r="110" spans="1:18" s="4" customFormat="1" x14ac:dyDescent="0.3">
      <c r="A110" s="1" t="s">
        <v>60</v>
      </c>
      <c r="B110" s="3">
        <f t="shared" si="9"/>
        <v>104</v>
      </c>
      <c r="C110" s="4" t="s">
        <v>61</v>
      </c>
      <c r="D110" s="4" t="s">
        <v>246</v>
      </c>
      <c r="E110" s="111" t="s">
        <v>738</v>
      </c>
      <c r="F110" s="6" t="s">
        <v>254</v>
      </c>
      <c r="G110" s="7" t="s">
        <v>255</v>
      </c>
      <c r="H110" s="31">
        <v>303</v>
      </c>
      <c r="I110" s="15">
        <v>249076.76</v>
      </c>
      <c r="J110" s="11" t="s">
        <v>643</v>
      </c>
      <c r="K110" s="33">
        <v>140350.87</v>
      </c>
      <c r="L110" s="33">
        <f t="shared" si="10"/>
        <v>140350.87</v>
      </c>
      <c r="M110" s="33">
        <f t="shared" si="11"/>
        <v>-108725.89000000001</v>
      </c>
      <c r="N110" s="12">
        <f t="shared" si="12"/>
        <v>-0.43651559463034612</v>
      </c>
      <c r="O110" s="13" t="s">
        <v>38</v>
      </c>
      <c r="P110" s="13" t="s">
        <v>34</v>
      </c>
      <c r="Q110" s="14" t="s">
        <v>34</v>
      </c>
      <c r="R110" s="33">
        <f t="shared" si="13"/>
        <v>140350.87</v>
      </c>
    </row>
    <row r="111" spans="1:18" s="4" customFormat="1" x14ac:dyDescent="0.3">
      <c r="A111" s="1" t="s">
        <v>60</v>
      </c>
      <c r="B111" s="3">
        <f t="shared" si="9"/>
        <v>105</v>
      </c>
      <c r="C111" s="4" t="s">
        <v>61</v>
      </c>
      <c r="D111" s="4" t="s">
        <v>35</v>
      </c>
      <c r="E111" s="111"/>
      <c r="F111" s="6" t="s">
        <v>256</v>
      </c>
      <c r="G111" s="7" t="s">
        <v>257</v>
      </c>
      <c r="H111" s="31">
        <v>376</v>
      </c>
      <c r="I111" s="15">
        <v>-277894.65000000002</v>
      </c>
      <c r="J111" s="11" t="s">
        <v>646</v>
      </c>
      <c r="K111" s="33">
        <v>-277894.65000000002</v>
      </c>
      <c r="L111" s="33">
        <f t="shared" si="10"/>
        <v>-277894.65000000002</v>
      </c>
      <c r="M111" s="33">
        <f t="shared" si="11"/>
        <v>0</v>
      </c>
      <c r="N111" s="12">
        <f t="shared" si="12"/>
        <v>0</v>
      </c>
      <c r="O111" s="13" t="s">
        <v>34</v>
      </c>
      <c r="P111" s="13" t="s">
        <v>34</v>
      </c>
      <c r="Q111" s="14" t="s">
        <v>34</v>
      </c>
      <c r="R111" s="33">
        <f t="shared" si="13"/>
        <v>-277894.65000000002</v>
      </c>
    </row>
    <row r="112" spans="1:18" s="4" customFormat="1" x14ac:dyDescent="0.3">
      <c r="A112" s="1" t="s">
        <v>60</v>
      </c>
      <c r="B112" s="3">
        <f t="shared" si="9"/>
        <v>106</v>
      </c>
      <c r="C112" s="4" t="s">
        <v>61</v>
      </c>
      <c r="D112" s="4" t="s">
        <v>64</v>
      </c>
      <c r="E112" s="111" t="s">
        <v>734</v>
      </c>
      <c r="F112" s="6" t="s">
        <v>258</v>
      </c>
      <c r="G112" s="7" t="s">
        <v>259</v>
      </c>
      <c r="H112" s="31">
        <v>376.1</v>
      </c>
      <c r="I112" s="15">
        <v>166245.634766</v>
      </c>
      <c r="J112" s="11" t="s">
        <v>646</v>
      </c>
      <c r="K112" s="33">
        <v>130702.5</v>
      </c>
      <c r="L112" s="33">
        <f t="shared" si="10"/>
        <v>130702.5</v>
      </c>
      <c r="M112" s="33">
        <f t="shared" si="11"/>
        <v>-35543.134766000003</v>
      </c>
      <c r="N112" s="12">
        <f t="shared" si="12"/>
        <v>-0.21379890555339359</v>
      </c>
      <c r="O112" s="13" t="s">
        <v>38</v>
      </c>
      <c r="P112" s="13" t="s">
        <v>34</v>
      </c>
      <c r="Q112" s="14" t="s">
        <v>34</v>
      </c>
      <c r="R112" s="33">
        <f t="shared" si="13"/>
        <v>130702.5</v>
      </c>
    </row>
    <row r="113" spans="1:18" s="4" customFormat="1" x14ac:dyDescent="0.3">
      <c r="A113" s="1" t="s">
        <v>60</v>
      </c>
      <c r="B113" s="3">
        <f t="shared" si="9"/>
        <v>107</v>
      </c>
      <c r="C113" s="4" t="s">
        <v>61</v>
      </c>
      <c r="D113" s="4" t="s">
        <v>64</v>
      </c>
      <c r="E113" s="111"/>
      <c r="F113" s="6" t="s">
        <v>260</v>
      </c>
      <c r="G113" s="7" t="s">
        <v>261</v>
      </c>
      <c r="H113" s="31">
        <v>376</v>
      </c>
      <c r="I113" s="15">
        <v>-15113.56</v>
      </c>
      <c r="J113" s="11" t="s">
        <v>651</v>
      </c>
      <c r="K113" s="33">
        <v>-15113.56</v>
      </c>
      <c r="L113" s="33">
        <f t="shared" si="10"/>
        <v>-15113.56</v>
      </c>
      <c r="M113" s="33">
        <f t="shared" si="11"/>
        <v>0</v>
      </c>
      <c r="N113" s="12">
        <f t="shared" si="12"/>
        <v>0</v>
      </c>
      <c r="O113" s="13" t="s">
        <v>34</v>
      </c>
      <c r="P113" s="13" t="s">
        <v>34</v>
      </c>
      <c r="Q113" s="14" t="s">
        <v>34</v>
      </c>
      <c r="R113" s="33">
        <f t="shared" si="13"/>
        <v>-15113.56</v>
      </c>
    </row>
    <row r="114" spans="1:18" s="4" customFormat="1" x14ac:dyDescent="0.3">
      <c r="A114" s="1" t="s">
        <v>60</v>
      </c>
      <c r="B114" s="3">
        <f t="shared" si="9"/>
        <v>108</v>
      </c>
      <c r="C114" s="4" t="s">
        <v>61</v>
      </c>
      <c r="D114" s="4" t="s">
        <v>64</v>
      </c>
      <c r="E114" s="111" t="s">
        <v>734</v>
      </c>
      <c r="F114" s="6" t="s">
        <v>262</v>
      </c>
      <c r="G114" s="7" t="s">
        <v>263</v>
      </c>
      <c r="H114" s="31">
        <v>376.3</v>
      </c>
      <c r="I114" s="15">
        <v>31306.04</v>
      </c>
      <c r="J114" s="11" t="s">
        <v>58</v>
      </c>
      <c r="K114" s="33">
        <v>0</v>
      </c>
      <c r="L114" s="33">
        <f t="shared" si="10"/>
        <v>0</v>
      </c>
      <c r="M114" s="33">
        <f t="shared" si="11"/>
        <v>-31306.04</v>
      </c>
      <c r="N114" s="12">
        <f t="shared" si="12"/>
        <v>-1</v>
      </c>
      <c r="O114" s="13" t="s">
        <v>38</v>
      </c>
      <c r="P114" s="13" t="s">
        <v>34</v>
      </c>
      <c r="Q114" s="14" t="s">
        <v>34</v>
      </c>
      <c r="R114" s="33">
        <f t="shared" si="13"/>
        <v>0</v>
      </c>
    </row>
    <row r="115" spans="1:18" s="4" customFormat="1" x14ac:dyDescent="0.3">
      <c r="A115" s="1" t="s">
        <v>60</v>
      </c>
      <c r="B115" s="3">
        <f t="shared" si="9"/>
        <v>109</v>
      </c>
      <c r="C115" s="4" t="s">
        <v>61</v>
      </c>
      <c r="D115" s="4" t="s">
        <v>64</v>
      </c>
      <c r="E115" s="111" t="s">
        <v>734</v>
      </c>
      <c r="F115" s="6" t="s">
        <v>264</v>
      </c>
      <c r="G115" s="7" t="s">
        <v>265</v>
      </c>
      <c r="H115" s="31">
        <v>376.3</v>
      </c>
      <c r="I115" s="15">
        <v>20447.11</v>
      </c>
      <c r="J115" s="11" t="s">
        <v>651</v>
      </c>
      <c r="K115" s="33">
        <v>92590.24</v>
      </c>
      <c r="L115" s="33">
        <f t="shared" si="10"/>
        <v>92590.24</v>
      </c>
      <c r="M115" s="33">
        <f t="shared" si="11"/>
        <v>72143.13</v>
      </c>
      <c r="N115" s="12">
        <f t="shared" si="12"/>
        <v>3.5282800356627417</v>
      </c>
      <c r="O115" s="13" t="s">
        <v>38</v>
      </c>
      <c r="P115" s="13" t="s">
        <v>38</v>
      </c>
      <c r="Q115" s="14" t="s">
        <v>34</v>
      </c>
      <c r="R115" s="33">
        <f t="shared" si="13"/>
        <v>92590.24</v>
      </c>
    </row>
    <row r="116" spans="1:18" s="4" customFormat="1" x14ac:dyDescent="0.3">
      <c r="A116" s="1" t="s">
        <v>60</v>
      </c>
      <c r="B116" s="3">
        <f t="shared" si="9"/>
        <v>110</v>
      </c>
      <c r="C116" s="4" t="s">
        <v>61</v>
      </c>
      <c r="D116" s="4" t="s">
        <v>64</v>
      </c>
      <c r="E116" s="111"/>
      <c r="F116" s="6" t="s">
        <v>266</v>
      </c>
      <c r="G116" s="7" t="s">
        <v>267</v>
      </c>
      <c r="H116" s="31">
        <v>376</v>
      </c>
      <c r="I116" s="15">
        <v>133.69</v>
      </c>
      <c r="J116" s="11" t="s">
        <v>644</v>
      </c>
      <c r="K116" s="33">
        <v>133.43</v>
      </c>
      <c r="L116" s="33">
        <f t="shared" si="10"/>
        <v>133.43</v>
      </c>
      <c r="M116" s="33">
        <f t="shared" si="11"/>
        <v>-0.25999999999999091</v>
      </c>
      <c r="N116" s="12">
        <f t="shared" si="12"/>
        <v>-1.9447976662427325E-3</v>
      </c>
      <c r="O116" s="13" t="s">
        <v>34</v>
      </c>
      <c r="P116" s="13" t="s">
        <v>34</v>
      </c>
      <c r="Q116" s="14" t="s">
        <v>34</v>
      </c>
      <c r="R116" s="33">
        <f t="shared" si="13"/>
        <v>133.43</v>
      </c>
    </row>
    <row r="117" spans="1:18" s="4" customFormat="1" x14ac:dyDescent="0.3">
      <c r="A117" s="1" t="s">
        <v>60</v>
      </c>
      <c r="B117" s="3">
        <f t="shared" si="9"/>
        <v>111</v>
      </c>
      <c r="C117" s="4" t="s">
        <v>61</v>
      </c>
      <c r="D117" s="4" t="s">
        <v>35</v>
      </c>
      <c r="E117" s="111" t="s">
        <v>735</v>
      </c>
      <c r="F117" s="6" t="s">
        <v>268</v>
      </c>
      <c r="G117" s="7" t="s">
        <v>269</v>
      </c>
      <c r="H117" s="31">
        <v>376.2</v>
      </c>
      <c r="I117" s="15">
        <v>340437.40915599995</v>
      </c>
      <c r="J117" s="11" t="s">
        <v>58</v>
      </c>
      <c r="K117" s="33">
        <v>0</v>
      </c>
      <c r="L117" s="33">
        <f t="shared" si="10"/>
        <v>0</v>
      </c>
      <c r="M117" s="33">
        <f t="shared" si="11"/>
        <v>-340437.40915599995</v>
      </c>
      <c r="N117" s="12">
        <f t="shared" si="12"/>
        <v>-1</v>
      </c>
      <c r="O117" s="13" t="s">
        <v>38</v>
      </c>
      <c r="P117" s="13" t="s">
        <v>34</v>
      </c>
      <c r="Q117" s="14" t="s">
        <v>34</v>
      </c>
      <c r="R117" s="33">
        <f t="shared" si="13"/>
        <v>0</v>
      </c>
    </row>
    <row r="118" spans="1:18" s="4" customFormat="1" x14ac:dyDescent="0.3">
      <c r="A118" s="1" t="s">
        <v>60</v>
      </c>
      <c r="B118" s="3">
        <f t="shared" si="9"/>
        <v>112</v>
      </c>
      <c r="C118" s="4" t="s">
        <v>61</v>
      </c>
      <c r="D118" s="4" t="s">
        <v>35</v>
      </c>
      <c r="E118" s="111" t="s">
        <v>735</v>
      </c>
      <c r="F118" s="6" t="s">
        <v>270</v>
      </c>
      <c r="G118" s="7" t="s">
        <v>271</v>
      </c>
      <c r="H118" s="31">
        <v>376.3</v>
      </c>
      <c r="I118" s="15">
        <v>377277.10000000003</v>
      </c>
      <c r="J118" s="11" t="s">
        <v>58</v>
      </c>
      <c r="K118" s="33">
        <v>0</v>
      </c>
      <c r="L118" s="33">
        <f t="shared" si="10"/>
        <v>0</v>
      </c>
      <c r="M118" s="33">
        <f t="shared" si="11"/>
        <v>-377277.10000000003</v>
      </c>
      <c r="N118" s="12">
        <f t="shared" si="12"/>
        <v>-1</v>
      </c>
      <c r="O118" s="13" t="s">
        <v>38</v>
      </c>
      <c r="P118" s="13" t="s">
        <v>34</v>
      </c>
      <c r="Q118" s="14" t="s">
        <v>34</v>
      </c>
      <c r="R118" s="33">
        <f t="shared" si="13"/>
        <v>0</v>
      </c>
    </row>
    <row r="119" spans="1:18" s="4" customFormat="1" x14ac:dyDescent="0.3">
      <c r="A119" s="1" t="s">
        <v>60</v>
      </c>
      <c r="B119" s="3">
        <f t="shared" si="9"/>
        <v>113</v>
      </c>
      <c r="C119" s="4" t="s">
        <v>61</v>
      </c>
      <c r="D119" s="4" t="s">
        <v>35</v>
      </c>
      <c r="E119" s="111" t="s">
        <v>735</v>
      </c>
      <c r="F119" s="6" t="s">
        <v>272</v>
      </c>
      <c r="G119" s="7" t="s">
        <v>273</v>
      </c>
      <c r="H119" s="31">
        <v>378</v>
      </c>
      <c r="I119" s="15">
        <v>103522.560301</v>
      </c>
      <c r="J119" s="11" t="s">
        <v>58</v>
      </c>
      <c r="K119" s="33">
        <v>0</v>
      </c>
      <c r="L119" s="33">
        <f t="shared" si="10"/>
        <v>0</v>
      </c>
      <c r="M119" s="33">
        <f t="shared" si="11"/>
        <v>-103522.560301</v>
      </c>
      <c r="N119" s="12">
        <f t="shared" si="12"/>
        <v>-1</v>
      </c>
      <c r="O119" s="13" t="s">
        <v>38</v>
      </c>
      <c r="P119" s="13" t="s">
        <v>34</v>
      </c>
      <c r="Q119" s="14" t="s">
        <v>34</v>
      </c>
      <c r="R119" s="33">
        <f t="shared" si="13"/>
        <v>0</v>
      </c>
    </row>
    <row r="120" spans="1:18" s="4" customFormat="1" x14ac:dyDescent="0.3">
      <c r="A120" s="1" t="s">
        <v>60</v>
      </c>
      <c r="B120" s="3">
        <f t="shared" si="9"/>
        <v>114</v>
      </c>
      <c r="C120" s="4" t="s">
        <v>61</v>
      </c>
      <c r="D120" s="4" t="s">
        <v>35</v>
      </c>
      <c r="E120" s="111" t="s">
        <v>735</v>
      </c>
      <c r="F120" s="6" t="s">
        <v>274</v>
      </c>
      <c r="G120" s="7" t="s">
        <v>275</v>
      </c>
      <c r="H120" s="31">
        <v>378</v>
      </c>
      <c r="I120" s="15">
        <v>200464.85</v>
      </c>
      <c r="J120" s="11" t="s">
        <v>58</v>
      </c>
      <c r="K120" s="33">
        <v>0</v>
      </c>
      <c r="L120" s="33">
        <f t="shared" si="10"/>
        <v>0</v>
      </c>
      <c r="M120" s="33">
        <f t="shared" si="11"/>
        <v>-200464.85</v>
      </c>
      <c r="N120" s="12">
        <f t="shared" si="12"/>
        <v>-1</v>
      </c>
      <c r="O120" s="13" t="s">
        <v>38</v>
      </c>
      <c r="P120" s="13" t="s">
        <v>34</v>
      </c>
      <c r="Q120" s="14" t="s">
        <v>34</v>
      </c>
      <c r="R120" s="33">
        <f t="shared" si="13"/>
        <v>0</v>
      </c>
    </row>
    <row r="121" spans="1:18" s="34" customFormat="1" x14ac:dyDescent="0.3">
      <c r="A121" s="1" t="s">
        <v>60</v>
      </c>
      <c r="B121" s="3">
        <f t="shared" si="9"/>
        <v>115</v>
      </c>
      <c r="C121" s="4" t="s">
        <v>61</v>
      </c>
      <c r="D121" s="4" t="s">
        <v>35</v>
      </c>
      <c r="E121" s="111"/>
      <c r="F121" s="6" t="s">
        <v>276</v>
      </c>
      <c r="G121" s="7" t="s">
        <v>277</v>
      </c>
      <c r="H121" s="31">
        <v>376</v>
      </c>
      <c r="I121" s="15">
        <v>49.230000000000004</v>
      </c>
      <c r="J121" s="11" t="s">
        <v>650</v>
      </c>
      <c r="K121" s="33">
        <v>49.14</v>
      </c>
      <c r="L121" s="33">
        <f t="shared" si="10"/>
        <v>49.14</v>
      </c>
      <c r="M121" s="33">
        <f t="shared" si="11"/>
        <v>-9.0000000000003411E-2</v>
      </c>
      <c r="N121" s="12">
        <f t="shared" si="12"/>
        <v>-1.8281535648995207E-3</v>
      </c>
      <c r="O121" s="13" t="s">
        <v>34</v>
      </c>
      <c r="P121" s="13" t="s">
        <v>34</v>
      </c>
      <c r="Q121" s="14" t="s">
        <v>34</v>
      </c>
      <c r="R121" s="33">
        <f t="shared" si="13"/>
        <v>49.14</v>
      </c>
    </row>
    <row r="122" spans="1:18" s="34" customFormat="1" x14ac:dyDescent="0.3">
      <c r="A122" s="1" t="s">
        <v>60</v>
      </c>
      <c r="B122" s="3">
        <f t="shared" si="9"/>
        <v>116</v>
      </c>
      <c r="C122" s="4" t="s">
        <v>61</v>
      </c>
      <c r="D122" s="4" t="s">
        <v>64</v>
      </c>
      <c r="E122" s="111"/>
      <c r="F122" s="6" t="s">
        <v>278</v>
      </c>
      <c r="G122" s="7" t="s">
        <v>279</v>
      </c>
      <c r="H122" s="31">
        <v>376</v>
      </c>
      <c r="I122" s="15">
        <v>612.91</v>
      </c>
      <c r="J122" s="11" t="s">
        <v>646</v>
      </c>
      <c r="K122" s="33">
        <v>614.66999999999996</v>
      </c>
      <c r="L122" s="33">
        <f t="shared" si="10"/>
        <v>614.66999999999996</v>
      </c>
      <c r="M122" s="33">
        <f t="shared" si="11"/>
        <v>1.7599999999999909</v>
      </c>
      <c r="N122" s="12">
        <f t="shared" si="12"/>
        <v>2.8715472092150415E-3</v>
      </c>
      <c r="O122" s="13" t="s">
        <v>34</v>
      </c>
      <c r="P122" s="13" t="s">
        <v>34</v>
      </c>
      <c r="Q122" s="14" t="s">
        <v>34</v>
      </c>
      <c r="R122" s="33">
        <f t="shared" si="13"/>
        <v>614.66999999999996</v>
      </c>
    </row>
    <row r="123" spans="1:18" s="34" customFormat="1" x14ac:dyDescent="0.3">
      <c r="A123" s="1" t="s">
        <v>60</v>
      </c>
      <c r="B123" s="3">
        <f t="shared" si="9"/>
        <v>117</v>
      </c>
      <c r="C123" s="4" t="s">
        <v>61</v>
      </c>
      <c r="D123" s="4" t="s">
        <v>35</v>
      </c>
      <c r="E123" s="111"/>
      <c r="F123" s="6" t="s">
        <v>280</v>
      </c>
      <c r="G123" s="7" t="s">
        <v>281</v>
      </c>
      <c r="H123" s="31">
        <v>378</v>
      </c>
      <c r="I123" s="15">
        <v>19701.02</v>
      </c>
      <c r="J123" s="11" t="s">
        <v>646</v>
      </c>
      <c r="K123" s="33">
        <v>19757.63</v>
      </c>
      <c r="L123" s="33">
        <f t="shared" si="10"/>
        <v>19757.63</v>
      </c>
      <c r="M123" s="33">
        <f t="shared" si="11"/>
        <v>56.610000000000582</v>
      </c>
      <c r="N123" s="12">
        <f t="shared" si="12"/>
        <v>2.8734552830259846E-3</v>
      </c>
      <c r="O123" s="13" t="s">
        <v>34</v>
      </c>
      <c r="P123" s="13" t="s">
        <v>34</v>
      </c>
      <c r="Q123" s="14" t="s">
        <v>34</v>
      </c>
      <c r="R123" s="33">
        <f t="shared" si="13"/>
        <v>19757.63</v>
      </c>
    </row>
    <row r="124" spans="1:18" s="34" customFormat="1" x14ac:dyDescent="0.3">
      <c r="A124" s="1" t="s">
        <v>60</v>
      </c>
      <c r="B124" s="3">
        <f t="shared" si="9"/>
        <v>118</v>
      </c>
      <c r="C124" s="4" t="s">
        <v>61</v>
      </c>
      <c r="D124" s="4" t="s">
        <v>64</v>
      </c>
      <c r="E124" s="111"/>
      <c r="F124" s="6" t="s">
        <v>282</v>
      </c>
      <c r="G124" s="7" t="s">
        <v>283</v>
      </c>
      <c r="H124" s="31">
        <v>376</v>
      </c>
      <c r="I124" s="15">
        <v>11630.78</v>
      </c>
      <c r="J124" s="11" t="s">
        <v>645</v>
      </c>
      <c r="K124" s="33">
        <v>11664.210000000001</v>
      </c>
      <c r="L124" s="33">
        <f t="shared" si="10"/>
        <v>11664.210000000001</v>
      </c>
      <c r="M124" s="33">
        <f t="shared" si="11"/>
        <v>33.430000000000291</v>
      </c>
      <c r="N124" s="12">
        <f t="shared" si="12"/>
        <v>2.8742698254115621E-3</v>
      </c>
      <c r="O124" s="13" t="s">
        <v>34</v>
      </c>
      <c r="P124" s="13" t="s">
        <v>34</v>
      </c>
      <c r="Q124" s="14" t="s">
        <v>34</v>
      </c>
      <c r="R124" s="33">
        <f t="shared" si="13"/>
        <v>11664.210000000001</v>
      </c>
    </row>
    <row r="125" spans="1:18" s="34" customFormat="1" x14ac:dyDescent="0.3">
      <c r="A125" s="1" t="s">
        <v>60</v>
      </c>
      <c r="B125" s="3">
        <f t="shared" si="9"/>
        <v>119</v>
      </c>
      <c r="C125" s="4" t="s">
        <v>61</v>
      </c>
      <c r="D125" s="4" t="s">
        <v>64</v>
      </c>
      <c r="E125" s="111" t="s">
        <v>734</v>
      </c>
      <c r="F125" s="6" t="s">
        <v>284</v>
      </c>
      <c r="G125" s="7" t="s">
        <v>285</v>
      </c>
      <c r="H125" s="31">
        <v>394.1</v>
      </c>
      <c r="I125" s="15">
        <v>16755.97</v>
      </c>
      <c r="J125" s="11" t="s">
        <v>58</v>
      </c>
      <c r="K125" s="33">
        <v>0</v>
      </c>
      <c r="L125" s="33">
        <f t="shared" si="10"/>
        <v>0</v>
      </c>
      <c r="M125" s="33">
        <f t="shared" si="11"/>
        <v>-16755.97</v>
      </c>
      <c r="N125" s="12">
        <f t="shared" si="12"/>
        <v>-1</v>
      </c>
      <c r="O125" s="13" t="s">
        <v>38</v>
      </c>
      <c r="P125" s="13" t="s">
        <v>34</v>
      </c>
      <c r="Q125" s="14" t="s">
        <v>34</v>
      </c>
      <c r="R125" s="33">
        <f t="shared" si="13"/>
        <v>0</v>
      </c>
    </row>
    <row r="126" spans="1:18" s="34" customFormat="1" x14ac:dyDescent="0.3">
      <c r="A126" s="1" t="s">
        <v>60</v>
      </c>
      <c r="B126" s="3">
        <f t="shared" si="9"/>
        <v>120</v>
      </c>
      <c r="C126" s="4" t="s">
        <v>61</v>
      </c>
      <c r="D126" s="4" t="s">
        <v>64</v>
      </c>
      <c r="E126" s="111" t="s">
        <v>734</v>
      </c>
      <c r="F126" s="6" t="s">
        <v>286</v>
      </c>
      <c r="G126" s="7" t="s">
        <v>287</v>
      </c>
      <c r="H126" s="31">
        <v>394.1</v>
      </c>
      <c r="I126" s="15">
        <v>3970.1</v>
      </c>
      <c r="J126" s="11" t="s">
        <v>58</v>
      </c>
      <c r="K126" s="33">
        <v>0</v>
      </c>
      <c r="L126" s="33">
        <f t="shared" si="10"/>
        <v>0</v>
      </c>
      <c r="M126" s="33">
        <f t="shared" si="11"/>
        <v>-3970.1</v>
      </c>
      <c r="N126" s="12">
        <f t="shared" si="12"/>
        <v>-1</v>
      </c>
      <c r="O126" s="13" t="s">
        <v>38</v>
      </c>
      <c r="P126" s="13" t="s">
        <v>34</v>
      </c>
      <c r="Q126" s="14" t="s">
        <v>34</v>
      </c>
      <c r="R126" s="33">
        <f t="shared" si="13"/>
        <v>0</v>
      </c>
    </row>
    <row r="127" spans="1:18" s="34" customFormat="1" x14ac:dyDescent="0.3">
      <c r="A127" s="1" t="s">
        <v>60</v>
      </c>
      <c r="B127" s="3">
        <f t="shared" si="9"/>
        <v>121</v>
      </c>
      <c r="C127" s="4" t="s">
        <v>61</v>
      </c>
      <c r="D127" s="4" t="s">
        <v>35</v>
      </c>
      <c r="E127" s="111" t="s">
        <v>735</v>
      </c>
      <c r="F127" s="6" t="s">
        <v>288</v>
      </c>
      <c r="G127" s="7" t="s">
        <v>289</v>
      </c>
      <c r="H127" s="31">
        <v>376.2</v>
      </c>
      <c r="I127" s="15">
        <v>212141.98</v>
      </c>
      <c r="J127" s="11" t="s">
        <v>58</v>
      </c>
      <c r="K127" s="33">
        <v>0</v>
      </c>
      <c r="L127" s="33">
        <f t="shared" si="10"/>
        <v>0</v>
      </c>
      <c r="M127" s="33">
        <f t="shared" si="11"/>
        <v>-212141.98</v>
      </c>
      <c r="N127" s="12">
        <f t="shared" si="12"/>
        <v>-1</v>
      </c>
      <c r="O127" s="13" t="s">
        <v>38</v>
      </c>
      <c r="P127" s="13" t="s">
        <v>34</v>
      </c>
      <c r="Q127" s="14" t="s">
        <v>34</v>
      </c>
      <c r="R127" s="33">
        <f t="shared" si="13"/>
        <v>0</v>
      </c>
    </row>
    <row r="128" spans="1:18" s="34" customFormat="1" x14ac:dyDescent="0.3">
      <c r="A128" s="1" t="s">
        <v>60</v>
      </c>
      <c r="B128" s="3">
        <f t="shared" si="9"/>
        <v>122</v>
      </c>
      <c r="C128" s="4" t="s">
        <v>61</v>
      </c>
      <c r="D128" s="4" t="s">
        <v>64</v>
      </c>
      <c r="E128" s="111" t="s">
        <v>734</v>
      </c>
      <c r="F128" s="6" t="s">
        <v>290</v>
      </c>
      <c r="G128" s="7" t="s">
        <v>291</v>
      </c>
      <c r="H128" s="31">
        <v>394.1</v>
      </c>
      <c r="I128" s="15">
        <v>10597.83</v>
      </c>
      <c r="J128" s="11" t="s">
        <v>58</v>
      </c>
      <c r="K128" s="33">
        <v>0</v>
      </c>
      <c r="L128" s="33">
        <f t="shared" si="10"/>
        <v>0</v>
      </c>
      <c r="M128" s="33">
        <f t="shared" si="11"/>
        <v>-10597.83</v>
      </c>
      <c r="N128" s="12">
        <f t="shared" si="12"/>
        <v>-1</v>
      </c>
      <c r="O128" s="13" t="s">
        <v>38</v>
      </c>
      <c r="P128" s="13" t="s">
        <v>34</v>
      </c>
      <c r="Q128" s="14" t="s">
        <v>34</v>
      </c>
      <c r="R128" s="33">
        <f t="shared" si="13"/>
        <v>0</v>
      </c>
    </row>
    <row r="129" spans="1:18" s="34" customFormat="1" x14ac:dyDescent="0.3">
      <c r="A129" s="1" t="s">
        <v>60</v>
      </c>
      <c r="B129" s="3">
        <f t="shared" si="9"/>
        <v>123</v>
      </c>
      <c r="C129" s="4" t="s">
        <v>61</v>
      </c>
      <c r="D129" s="4" t="s">
        <v>64</v>
      </c>
      <c r="E129" s="111" t="s">
        <v>734</v>
      </c>
      <c r="F129" s="6" t="s">
        <v>292</v>
      </c>
      <c r="G129" s="7" t="s">
        <v>293</v>
      </c>
      <c r="H129" s="31">
        <v>390.1</v>
      </c>
      <c r="I129" s="15">
        <v>126212.5</v>
      </c>
      <c r="J129" s="11" t="s">
        <v>58</v>
      </c>
      <c r="K129" s="33">
        <v>0</v>
      </c>
      <c r="L129" s="33">
        <f t="shared" si="10"/>
        <v>0</v>
      </c>
      <c r="M129" s="33">
        <f t="shared" si="11"/>
        <v>-126212.5</v>
      </c>
      <c r="N129" s="12">
        <f t="shared" si="12"/>
        <v>-1</v>
      </c>
      <c r="O129" s="13" t="s">
        <v>38</v>
      </c>
      <c r="P129" s="13" t="s">
        <v>34</v>
      </c>
      <c r="Q129" s="14" t="s">
        <v>34</v>
      </c>
      <c r="R129" s="33">
        <f t="shared" si="13"/>
        <v>0</v>
      </c>
    </row>
    <row r="130" spans="1:18" s="34" customFormat="1" x14ac:dyDescent="0.3">
      <c r="A130" s="1" t="s">
        <v>60</v>
      </c>
      <c r="B130" s="3">
        <f t="shared" si="9"/>
        <v>124</v>
      </c>
      <c r="C130" s="4" t="s">
        <v>61</v>
      </c>
      <c r="D130" s="4" t="s">
        <v>64</v>
      </c>
      <c r="E130" s="111"/>
      <c r="F130" s="6" t="s">
        <v>294</v>
      </c>
      <c r="G130" s="7" t="s">
        <v>295</v>
      </c>
      <c r="H130" s="31">
        <v>394</v>
      </c>
      <c r="I130" s="15">
        <v>76.239999999999995</v>
      </c>
      <c r="J130" s="11" t="s">
        <v>644</v>
      </c>
      <c r="K130" s="33">
        <v>76.239999999999995</v>
      </c>
      <c r="L130" s="33">
        <f t="shared" si="10"/>
        <v>76.239999999999995</v>
      </c>
      <c r="M130" s="33">
        <f t="shared" si="11"/>
        <v>0</v>
      </c>
      <c r="N130" s="12">
        <f t="shared" si="12"/>
        <v>0</v>
      </c>
      <c r="O130" s="13" t="s">
        <v>34</v>
      </c>
      <c r="P130" s="13" t="s">
        <v>34</v>
      </c>
      <c r="Q130" s="14" t="s">
        <v>34</v>
      </c>
      <c r="R130" s="33">
        <f t="shared" si="13"/>
        <v>76.239999999999995</v>
      </c>
    </row>
    <row r="131" spans="1:18" s="34" customFormat="1" x14ac:dyDescent="0.3">
      <c r="A131" s="1" t="s">
        <v>60</v>
      </c>
      <c r="B131" s="3">
        <f t="shared" si="9"/>
        <v>125</v>
      </c>
      <c r="C131" s="4" t="s">
        <v>61</v>
      </c>
      <c r="D131" s="4" t="s">
        <v>64</v>
      </c>
      <c r="E131" s="111" t="s">
        <v>734</v>
      </c>
      <c r="F131" s="6" t="s">
        <v>296</v>
      </c>
      <c r="G131" s="7" t="s">
        <v>297</v>
      </c>
      <c r="H131" s="31">
        <v>394.1</v>
      </c>
      <c r="I131" s="15">
        <v>20141.350000000002</v>
      </c>
      <c r="J131" s="11" t="s">
        <v>651</v>
      </c>
      <c r="K131" s="33">
        <v>23377.5</v>
      </c>
      <c r="L131" s="33">
        <f t="shared" si="10"/>
        <v>23377.5</v>
      </c>
      <c r="M131" s="33">
        <f t="shared" si="11"/>
        <v>3236.1499999999978</v>
      </c>
      <c r="N131" s="12">
        <f t="shared" si="12"/>
        <v>0.16067195098640347</v>
      </c>
      <c r="O131" s="13" t="s">
        <v>38</v>
      </c>
      <c r="P131" s="13" t="s">
        <v>38</v>
      </c>
      <c r="Q131" s="14" t="s">
        <v>34</v>
      </c>
      <c r="R131" s="33">
        <f t="shared" si="13"/>
        <v>23377.5</v>
      </c>
    </row>
    <row r="132" spans="1:18" s="34" customFormat="1" x14ac:dyDescent="0.3">
      <c r="A132" s="1" t="s">
        <v>60</v>
      </c>
      <c r="B132" s="3">
        <f t="shared" si="9"/>
        <v>126</v>
      </c>
      <c r="C132" s="4" t="s">
        <v>61</v>
      </c>
      <c r="D132" s="4" t="s">
        <v>35</v>
      </c>
      <c r="E132" s="111" t="s">
        <v>732</v>
      </c>
      <c r="F132" s="6" t="s">
        <v>298</v>
      </c>
      <c r="G132" s="7" t="s">
        <v>299</v>
      </c>
      <c r="H132" s="31">
        <v>376</v>
      </c>
      <c r="I132" s="15">
        <v>558.35</v>
      </c>
      <c r="J132" s="11" t="s">
        <v>650</v>
      </c>
      <c r="K132" s="33">
        <v>559.96</v>
      </c>
      <c r="L132" s="33">
        <f t="shared" si="10"/>
        <v>559.96</v>
      </c>
      <c r="M132" s="33">
        <f t="shared" si="11"/>
        <v>1.6100000000000136</v>
      </c>
      <c r="N132" s="12">
        <f t="shared" si="12"/>
        <v>2.8834960150443513E-3</v>
      </c>
      <c r="O132" s="13" t="s">
        <v>34</v>
      </c>
      <c r="P132" s="13" t="s">
        <v>34</v>
      </c>
      <c r="Q132" s="14" t="s">
        <v>34</v>
      </c>
      <c r="R132" s="33">
        <f t="shared" si="13"/>
        <v>559.96</v>
      </c>
    </row>
    <row r="133" spans="1:18" s="34" customFormat="1" x14ac:dyDescent="0.3">
      <c r="A133" s="1" t="s">
        <v>60</v>
      </c>
      <c r="B133" s="3">
        <f t="shared" si="9"/>
        <v>127</v>
      </c>
      <c r="C133" s="4" t="s">
        <v>61</v>
      </c>
      <c r="D133" s="4" t="s">
        <v>35</v>
      </c>
      <c r="E133" s="111" t="s">
        <v>732</v>
      </c>
      <c r="F133" s="6" t="s">
        <v>300</v>
      </c>
      <c r="G133" s="7" t="s">
        <v>301</v>
      </c>
      <c r="H133" s="31">
        <v>374.1</v>
      </c>
      <c r="I133" s="15">
        <v>119146.94</v>
      </c>
      <c r="J133" s="11" t="s">
        <v>58</v>
      </c>
      <c r="K133" s="33">
        <v>0</v>
      </c>
      <c r="L133" s="33">
        <f t="shared" si="10"/>
        <v>0</v>
      </c>
      <c r="M133" s="33">
        <f t="shared" si="11"/>
        <v>-119146.94</v>
      </c>
      <c r="N133" s="12">
        <f t="shared" si="12"/>
        <v>-1</v>
      </c>
      <c r="O133" s="13" t="s">
        <v>38</v>
      </c>
      <c r="P133" s="13" t="s">
        <v>34</v>
      </c>
      <c r="Q133" s="14" t="s">
        <v>34</v>
      </c>
      <c r="R133" s="33">
        <f t="shared" si="13"/>
        <v>0</v>
      </c>
    </row>
    <row r="134" spans="1:18" s="34" customFormat="1" x14ac:dyDescent="0.3">
      <c r="A134" s="1" t="s">
        <v>60</v>
      </c>
      <c r="B134" s="3">
        <f t="shared" si="9"/>
        <v>128</v>
      </c>
      <c r="C134" s="4" t="s">
        <v>61</v>
      </c>
      <c r="D134" s="4" t="s">
        <v>35</v>
      </c>
      <c r="E134" s="111" t="s">
        <v>732</v>
      </c>
      <c r="F134" s="6" t="s">
        <v>302</v>
      </c>
      <c r="G134" s="7" t="s">
        <v>303</v>
      </c>
      <c r="H134" s="31">
        <v>378</v>
      </c>
      <c r="I134" s="15">
        <v>498151.91000000003</v>
      </c>
      <c r="J134" s="11" t="s">
        <v>58</v>
      </c>
      <c r="K134" s="33">
        <v>0</v>
      </c>
      <c r="L134" s="33">
        <f t="shared" si="10"/>
        <v>0</v>
      </c>
      <c r="M134" s="33">
        <f t="shared" si="11"/>
        <v>-498151.91000000003</v>
      </c>
      <c r="N134" s="12">
        <f t="shared" si="12"/>
        <v>-1</v>
      </c>
      <c r="O134" s="13" t="s">
        <v>38</v>
      </c>
      <c r="P134" s="13" t="s">
        <v>34</v>
      </c>
      <c r="Q134" s="14" t="s">
        <v>34</v>
      </c>
      <c r="R134" s="33">
        <f t="shared" si="13"/>
        <v>0</v>
      </c>
    </row>
    <row r="135" spans="1:18" s="34" customFormat="1" x14ac:dyDescent="0.3">
      <c r="A135" s="1" t="s">
        <v>60</v>
      </c>
      <c r="B135" s="3">
        <f t="shared" si="9"/>
        <v>129</v>
      </c>
      <c r="C135" s="4" t="s">
        <v>61</v>
      </c>
      <c r="D135" s="4" t="s">
        <v>31</v>
      </c>
      <c r="E135" s="111"/>
      <c r="F135" s="6" t="s">
        <v>304</v>
      </c>
      <c r="G135" s="7" t="s">
        <v>305</v>
      </c>
      <c r="H135" s="31">
        <v>303</v>
      </c>
      <c r="I135" s="15">
        <v>4435.8599999999997</v>
      </c>
      <c r="J135" s="11" t="s">
        <v>644</v>
      </c>
      <c r="K135" s="33">
        <v>4460.0499999999993</v>
      </c>
      <c r="L135" s="33">
        <f t="shared" si="10"/>
        <v>4460.0499999999993</v>
      </c>
      <c r="M135" s="33">
        <f t="shared" si="11"/>
        <v>24.1899999999996</v>
      </c>
      <c r="N135" s="12">
        <f t="shared" si="12"/>
        <v>5.4532830161455959E-3</v>
      </c>
      <c r="O135" s="13" t="s">
        <v>34</v>
      </c>
      <c r="P135" s="13" t="s">
        <v>34</v>
      </c>
      <c r="Q135" s="14" t="s">
        <v>34</v>
      </c>
      <c r="R135" s="33">
        <f t="shared" si="13"/>
        <v>4460.0499999999993</v>
      </c>
    </row>
    <row r="136" spans="1:18" s="34" customFormat="1" x14ac:dyDescent="0.3">
      <c r="A136" s="1" t="s">
        <v>60</v>
      </c>
      <c r="B136" s="3">
        <f t="shared" ref="B136:B199" si="14">B135+1</f>
        <v>130</v>
      </c>
      <c r="C136" s="4" t="s">
        <v>61</v>
      </c>
      <c r="D136" s="4" t="s">
        <v>35</v>
      </c>
      <c r="E136" s="111"/>
      <c r="F136" s="6" t="s">
        <v>306</v>
      </c>
      <c r="G136" s="7" t="s">
        <v>307</v>
      </c>
      <c r="H136" s="31">
        <v>376</v>
      </c>
      <c r="I136" s="15">
        <v>-32090.570000000007</v>
      </c>
      <c r="J136" s="11" t="s">
        <v>646</v>
      </c>
      <c r="K136" s="33">
        <v>-32090.570000000007</v>
      </c>
      <c r="L136" s="33">
        <f t="shared" si="10"/>
        <v>-32090.570000000007</v>
      </c>
      <c r="M136" s="33">
        <f t="shared" si="11"/>
        <v>0</v>
      </c>
      <c r="N136" s="12">
        <f t="shared" si="12"/>
        <v>0</v>
      </c>
      <c r="O136" s="13" t="s">
        <v>34</v>
      </c>
      <c r="P136" s="13" t="s">
        <v>34</v>
      </c>
      <c r="Q136" s="14" t="s">
        <v>34</v>
      </c>
      <c r="R136" s="33">
        <f t="shared" si="13"/>
        <v>-32090.570000000007</v>
      </c>
    </row>
    <row r="137" spans="1:18" s="34" customFormat="1" x14ac:dyDescent="0.3">
      <c r="A137" s="1" t="s">
        <v>60</v>
      </c>
      <c r="B137" s="3">
        <f t="shared" si="14"/>
        <v>131</v>
      </c>
      <c r="C137" s="4" t="s">
        <v>61</v>
      </c>
      <c r="D137" s="4" t="s">
        <v>35</v>
      </c>
      <c r="E137" s="111" t="s">
        <v>735</v>
      </c>
      <c r="F137" s="6" t="s">
        <v>308</v>
      </c>
      <c r="G137" s="7" t="s">
        <v>309</v>
      </c>
      <c r="H137" s="31">
        <v>378</v>
      </c>
      <c r="I137" s="15">
        <v>67326.149999999994</v>
      </c>
      <c r="J137" s="11" t="s">
        <v>645</v>
      </c>
      <c r="K137" s="33">
        <v>568759.20999999985</v>
      </c>
      <c r="L137" s="33">
        <f t="shared" si="10"/>
        <v>568759.20999999985</v>
      </c>
      <c r="M137" s="33">
        <f t="shared" si="11"/>
        <v>501433.05999999982</v>
      </c>
      <c r="N137" s="12">
        <f t="shared" si="12"/>
        <v>7.4478202006204111</v>
      </c>
      <c r="O137" s="13" t="s">
        <v>38</v>
      </c>
      <c r="P137" s="13" t="s">
        <v>38</v>
      </c>
      <c r="Q137" s="14" t="s">
        <v>34</v>
      </c>
      <c r="R137" s="33">
        <f t="shared" si="13"/>
        <v>568759.20999999985</v>
      </c>
    </row>
    <row r="138" spans="1:18" s="34" customFormat="1" x14ac:dyDescent="0.3">
      <c r="A138" s="1" t="s">
        <v>60</v>
      </c>
      <c r="B138" s="3">
        <f t="shared" si="14"/>
        <v>132</v>
      </c>
      <c r="C138" s="4" t="s">
        <v>61</v>
      </c>
      <c r="D138" s="4" t="s">
        <v>35</v>
      </c>
      <c r="E138" s="111" t="s">
        <v>735</v>
      </c>
      <c r="F138" s="6" t="s">
        <v>310</v>
      </c>
      <c r="G138" s="7" t="s">
        <v>311</v>
      </c>
      <c r="H138" s="31">
        <v>376.1</v>
      </c>
      <c r="I138" s="15">
        <v>344834.96446800005</v>
      </c>
      <c r="J138" s="11" t="s">
        <v>651</v>
      </c>
      <c r="K138" s="33">
        <v>73404.22</v>
      </c>
      <c r="L138" s="33">
        <f t="shared" si="10"/>
        <v>73404.22</v>
      </c>
      <c r="M138" s="33">
        <f t="shared" si="11"/>
        <v>-271430.74446800002</v>
      </c>
      <c r="N138" s="12">
        <f t="shared" si="12"/>
        <v>-0.78713231672070838</v>
      </c>
      <c r="O138" s="13" t="s">
        <v>38</v>
      </c>
      <c r="P138" s="13" t="s">
        <v>34</v>
      </c>
      <c r="Q138" s="14" t="s">
        <v>34</v>
      </c>
      <c r="R138" s="33">
        <f t="shared" si="13"/>
        <v>73404.22</v>
      </c>
    </row>
    <row r="139" spans="1:18" s="34" customFormat="1" x14ac:dyDescent="0.3">
      <c r="A139" s="1" t="s">
        <v>60</v>
      </c>
      <c r="B139" s="3">
        <f t="shared" si="14"/>
        <v>133</v>
      </c>
      <c r="C139" s="4" t="s">
        <v>61</v>
      </c>
      <c r="D139" s="4" t="s">
        <v>35</v>
      </c>
      <c r="E139" s="111"/>
      <c r="F139" s="6" t="s">
        <v>312</v>
      </c>
      <c r="G139" s="7" t="s">
        <v>313</v>
      </c>
      <c r="H139" s="31">
        <v>377</v>
      </c>
      <c r="I139" s="15">
        <v>-581.06000000000006</v>
      </c>
      <c r="J139" s="11" t="s">
        <v>646</v>
      </c>
      <c r="K139" s="33">
        <v>-581.06000000000006</v>
      </c>
      <c r="L139" s="33">
        <f t="shared" si="10"/>
        <v>-581.06000000000006</v>
      </c>
      <c r="M139" s="33">
        <f t="shared" si="11"/>
        <v>0</v>
      </c>
      <c r="N139" s="12">
        <f t="shared" si="12"/>
        <v>0</v>
      </c>
      <c r="O139" s="13" t="s">
        <v>34</v>
      </c>
      <c r="P139" s="13" t="s">
        <v>34</v>
      </c>
      <c r="Q139" s="14" t="s">
        <v>34</v>
      </c>
      <c r="R139" s="33">
        <f t="shared" si="13"/>
        <v>-581.06000000000006</v>
      </c>
    </row>
    <row r="140" spans="1:18" s="34" customFormat="1" x14ac:dyDescent="0.3">
      <c r="A140" s="1" t="s">
        <v>60</v>
      </c>
      <c r="B140" s="3">
        <f t="shared" si="14"/>
        <v>134</v>
      </c>
      <c r="C140" s="4" t="s">
        <v>61</v>
      </c>
      <c r="D140" s="4" t="s">
        <v>35</v>
      </c>
      <c r="E140" s="111" t="s">
        <v>732</v>
      </c>
      <c r="F140" s="6" t="s">
        <v>314</v>
      </c>
      <c r="G140" s="7" t="s">
        <v>315</v>
      </c>
      <c r="H140" s="31">
        <v>376.2</v>
      </c>
      <c r="I140" s="15">
        <v>237521.69</v>
      </c>
      <c r="J140" s="11" t="s">
        <v>58</v>
      </c>
      <c r="K140" s="33">
        <v>0</v>
      </c>
      <c r="L140" s="33">
        <f t="shared" si="10"/>
        <v>0</v>
      </c>
      <c r="M140" s="33">
        <f t="shared" si="11"/>
        <v>-237521.69</v>
      </c>
      <c r="N140" s="12">
        <f t="shared" si="12"/>
        <v>-1</v>
      </c>
      <c r="O140" s="13" t="s">
        <v>38</v>
      </c>
      <c r="P140" s="13" t="s">
        <v>34</v>
      </c>
      <c r="Q140" s="14" t="s">
        <v>34</v>
      </c>
      <c r="R140" s="33">
        <f t="shared" si="13"/>
        <v>0</v>
      </c>
    </row>
    <row r="141" spans="1:18" s="34" customFormat="1" x14ac:dyDescent="0.3">
      <c r="A141" s="1" t="s">
        <v>60</v>
      </c>
      <c r="B141" s="3">
        <f t="shared" si="14"/>
        <v>135</v>
      </c>
      <c r="C141" s="4" t="s">
        <v>61</v>
      </c>
      <c r="D141" s="4" t="s">
        <v>35</v>
      </c>
      <c r="E141" s="111" t="s">
        <v>732</v>
      </c>
      <c r="F141" s="6" t="s">
        <v>316</v>
      </c>
      <c r="G141" s="7" t="s">
        <v>317</v>
      </c>
      <c r="H141" s="31">
        <v>378</v>
      </c>
      <c r="I141" s="15">
        <v>582324.92000000004</v>
      </c>
      <c r="J141" s="11" t="s">
        <v>58</v>
      </c>
      <c r="K141" s="33">
        <v>0</v>
      </c>
      <c r="L141" s="33">
        <f t="shared" si="10"/>
        <v>0</v>
      </c>
      <c r="M141" s="33">
        <f t="shared" si="11"/>
        <v>-582324.92000000004</v>
      </c>
      <c r="N141" s="12">
        <f t="shared" si="12"/>
        <v>-1</v>
      </c>
      <c r="O141" s="13" t="s">
        <v>38</v>
      </c>
      <c r="P141" s="13" t="s">
        <v>34</v>
      </c>
      <c r="Q141" s="14" t="s">
        <v>34</v>
      </c>
      <c r="R141" s="33">
        <f t="shared" si="13"/>
        <v>0</v>
      </c>
    </row>
    <row r="142" spans="1:18" s="34" customFormat="1" x14ac:dyDescent="0.3">
      <c r="A142" s="1" t="s">
        <v>60</v>
      </c>
      <c r="B142" s="3">
        <f t="shared" si="14"/>
        <v>136</v>
      </c>
      <c r="C142" s="4" t="s">
        <v>61</v>
      </c>
      <c r="D142" s="4" t="s">
        <v>35</v>
      </c>
      <c r="E142" s="111" t="s">
        <v>732</v>
      </c>
      <c r="F142" s="6" t="s">
        <v>318</v>
      </c>
      <c r="G142" s="7" t="s">
        <v>319</v>
      </c>
      <c r="H142" s="31">
        <v>378</v>
      </c>
      <c r="I142" s="15">
        <v>1181773.33</v>
      </c>
      <c r="J142" s="11" t="s">
        <v>58</v>
      </c>
      <c r="K142" s="33">
        <v>0</v>
      </c>
      <c r="L142" s="33">
        <f t="shared" si="10"/>
        <v>0</v>
      </c>
      <c r="M142" s="33">
        <f t="shared" si="11"/>
        <v>-1181773.33</v>
      </c>
      <c r="N142" s="12">
        <f t="shared" si="12"/>
        <v>-1</v>
      </c>
      <c r="O142" s="13" t="s">
        <v>38</v>
      </c>
      <c r="P142" s="13" t="s">
        <v>34</v>
      </c>
      <c r="Q142" s="14" t="s">
        <v>34</v>
      </c>
      <c r="R142" s="33">
        <f t="shared" si="13"/>
        <v>0</v>
      </c>
    </row>
    <row r="143" spans="1:18" s="34" customFormat="1" x14ac:dyDescent="0.3">
      <c r="A143" s="1" t="s">
        <v>60</v>
      </c>
      <c r="B143" s="3">
        <f t="shared" si="14"/>
        <v>137</v>
      </c>
      <c r="C143" s="4" t="s">
        <v>61</v>
      </c>
      <c r="D143" s="4" t="s">
        <v>35</v>
      </c>
      <c r="E143" s="111" t="s">
        <v>732</v>
      </c>
      <c r="F143" s="6" t="s">
        <v>320</v>
      </c>
      <c r="G143" s="7" t="s">
        <v>321</v>
      </c>
      <c r="H143" s="31">
        <v>385</v>
      </c>
      <c r="I143" s="15">
        <v>97718.88</v>
      </c>
      <c r="J143" s="11" t="s">
        <v>58</v>
      </c>
      <c r="K143" s="33">
        <v>0</v>
      </c>
      <c r="L143" s="33">
        <f t="shared" si="10"/>
        <v>0</v>
      </c>
      <c r="M143" s="33">
        <f t="shared" si="11"/>
        <v>-97718.88</v>
      </c>
      <c r="N143" s="12">
        <f t="shared" si="12"/>
        <v>-1</v>
      </c>
      <c r="O143" s="13" t="s">
        <v>38</v>
      </c>
      <c r="P143" s="13" t="s">
        <v>34</v>
      </c>
      <c r="Q143" s="14" t="s">
        <v>34</v>
      </c>
      <c r="R143" s="33">
        <f t="shared" si="13"/>
        <v>0</v>
      </c>
    </row>
    <row r="144" spans="1:18" s="34" customFormat="1" x14ac:dyDescent="0.3">
      <c r="A144" s="1" t="s">
        <v>60</v>
      </c>
      <c r="B144" s="3">
        <f t="shared" si="14"/>
        <v>138</v>
      </c>
      <c r="C144" s="4" t="s">
        <v>61</v>
      </c>
      <c r="D144" s="4" t="s">
        <v>35</v>
      </c>
      <c r="E144" s="111"/>
      <c r="F144" s="6" t="s">
        <v>322</v>
      </c>
      <c r="G144" s="7" t="s">
        <v>323</v>
      </c>
      <c r="H144" s="31">
        <v>376</v>
      </c>
      <c r="I144" s="15">
        <v>941.68000000000006</v>
      </c>
      <c r="J144" s="11" t="s">
        <v>646</v>
      </c>
      <c r="K144" s="33">
        <v>944.38000000000011</v>
      </c>
      <c r="L144" s="33">
        <f t="shared" si="10"/>
        <v>944.38000000000011</v>
      </c>
      <c r="M144" s="33">
        <f t="shared" si="11"/>
        <v>2.7000000000000455</v>
      </c>
      <c r="N144" s="12">
        <f t="shared" si="12"/>
        <v>2.8672160394189591E-3</v>
      </c>
      <c r="O144" s="13" t="s">
        <v>34</v>
      </c>
      <c r="P144" s="13" t="s">
        <v>34</v>
      </c>
      <c r="Q144" s="14" t="s">
        <v>34</v>
      </c>
      <c r="R144" s="33">
        <f t="shared" si="13"/>
        <v>944.38000000000011</v>
      </c>
    </row>
    <row r="145" spans="1:18" s="34" customFormat="1" x14ac:dyDescent="0.3">
      <c r="A145" s="1" t="s">
        <v>60</v>
      </c>
      <c r="B145" s="3">
        <f t="shared" si="14"/>
        <v>139</v>
      </c>
      <c r="C145" s="4" t="s">
        <v>61</v>
      </c>
      <c r="D145" s="4" t="s">
        <v>35</v>
      </c>
      <c r="E145" s="111"/>
      <c r="F145" s="6" t="s">
        <v>324</v>
      </c>
      <c r="G145" s="7" t="s">
        <v>325</v>
      </c>
      <c r="H145" s="31">
        <v>376</v>
      </c>
      <c r="I145" s="15">
        <v>14366.29</v>
      </c>
      <c r="J145" s="11" t="s">
        <v>646</v>
      </c>
      <c r="K145" s="33">
        <v>14407.580000000002</v>
      </c>
      <c r="L145" s="33">
        <f t="shared" ref="L145:L208" si="15">K145</f>
        <v>14407.580000000002</v>
      </c>
      <c r="M145" s="33">
        <f t="shared" si="11"/>
        <v>41.290000000000873</v>
      </c>
      <c r="N145" s="12">
        <f t="shared" si="12"/>
        <v>2.8740892742664162E-3</v>
      </c>
      <c r="O145" s="13" t="s">
        <v>34</v>
      </c>
      <c r="P145" s="13" t="s">
        <v>34</v>
      </c>
      <c r="Q145" s="14" t="s">
        <v>34</v>
      </c>
      <c r="R145" s="33">
        <f t="shared" si="13"/>
        <v>14407.580000000002</v>
      </c>
    </row>
    <row r="146" spans="1:18" s="34" customFormat="1" x14ac:dyDescent="0.3">
      <c r="A146" s="1" t="s">
        <v>60</v>
      </c>
      <c r="B146" s="3">
        <f t="shared" si="14"/>
        <v>140</v>
      </c>
      <c r="C146" s="4" t="s">
        <v>61</v>
      </c>
      <c r="D146" s="4" t="s">
        <v>64</v>
      </c>
      <c r="E146" s="111" t="s">
        <v>734</v>
      </c>
      <c r="F146" s="6" t="s">
        <v>326</v>
      </c>
      <c r="G146" s="7" t="s">
        <v>327</v>
      </c>
      <c r="H146" s="31">
        <v>376.3</v>
      </c>
      <c r="I146" s="15">
        <v>131189.38</v>
      </c>
      <c r="J146" s="11" t="s">
        <v>641</v>
      </c>
      <c r="K146" s="33">
        <v>131189.38</v>
      </c>
      <c r="L146" s="33">
        <f t="shared" si="15"/>
        <v>131189.38</v>
      </c>
      <c r="M146" s="33">
        <f t="shared" ref="M146:M209" si="16">SUM(K146)-I146</f>
        <v>0</v>
      </c>
      <c r="N146" s="12">
        <f t="shared" ref="N146:N209" si="17">IFERROR(IF(AND(I146=0,M146=0),"NA",(M146/I146)),"")</f>
        <v>0</v>
      </c>
      <c r="O146" s="13" t="s">
        <v>34</v>
      </c>
      <c r="P146" s="13" t="s">
        <v>34</v>
      </c>
      <c r="Q146" s="14" t="s">
        <v>34</v>
      </c>
      <c r="R146" s="33">
        <f t="shared" ref="R146:R209" si="18">K146</f>
        <v>131189.38</v>
      </c>
    </row>
    <row r="147" spans="1:18" s="34" customFormat="1" x14ac:dyDescent="0.3">
      <c r="A147" s="1" t="s">
        <v>60</v>
      </c>
      <c r="B147" s="3">
        <f t="shared" si="14"/>
        <v>141</v>
      </c>
      <c r="C147" s="4" t="s">
        <v>61</v>
      </c>
      <c r="D147" s="4" t="s">
        <v>35</v>
      </c>
      <c r="E147" s="111" t="s">
        <v>735</v>
      </c>
      <c r="F147" s="6" t="s">
        <v>328</v>
      </c>
      <c r="G147" s="7" t="s">
        <v>329</v>
      </c>
      <c r="H147" s="31">
        <v>376.3</v>
      </c>
      <c r="I147" s="15">
        <v>343875.48</v>
      </c>
      <c r="J147" s="11" t="s">
        <v>58</v>
      </c>
      <c r="K147" s="33">
        <v>0</v>
      </c>
      <c r="L147" s="33">
        <f t="shared" si="15"/>
        <v>0</v>
      </c>
      <c r="M147" s="33">
        <f t="shared" si="16"/>
        <v>-343875.48</v>
      </c>
      <c r="N147" s="12">
        <f t="shared" si="17"/>
        <v>-1</v>
      </c>
      <c r="O147" s="13" t="s">
        <v>38</v>
      </c>
      <c r="P147" s="13" t="s">
        <v>34</v>
      </c>
      <c r="Q147" s="14" t="s">
        <v>34</v>
      </c>
      <c r="R147" s="33">
        <f t="shared" si="18"/>
        <v>0</v>
      </c>
    </row>
    <row r="148" spans="1:18" s="4" customFormat="1" x14ac:dyDescent="0.3">
      <c r="A148" s="1" t="s">
        <v>60</v>
      </c>
      <c r="B148" s="3">
        <f t="shared" si="14"/>
        <v>142</v>
      </c>
      <c r="C148" s="4" t="s">
        <v>61</v>
      </c>
      <c r="D148" s="4" t="s">
        <v>35</v>
      </c>
      <c r="E148" s="111"/>
      <c r="F148" s="6" t="s">
        <v>330</v>
      </c>
      <c r="G148" s="7" t="s">
        <v>331</v>
      </c>
      <c r="H148" s="31">
        <v>376</v>
      </c>
      <c r="I148" s="15">
        <v>92851.07</v>
      </c>
      <c r="J148" s="11" t="s">
        <v>646</v>
      </c>
      <c r="K148" s="33">
        <v>93117.590000000011</v>
      </c>
      <c r="L148" s="33">
        <f t="shared" si="15"/>
        <v>93117.590000000011</v>
      </c>
      <c r="M148" s="33">
        <f t="shared" si="16"/>
        <v>266.52000000000407</v>
      </c>
      <c r="N148" s="12">
        <f t="shared" si="17"/>
        <v>2.8704031089787554E-3</v>
      </c>
      <c r="O148" s="13" t="s">
        <v>34</v>
      </c>
      <c r="P148" s="13" t="s">
        <v>34</v>
      </c>
      <c r="Q148" s="14" t="s">
        <v>34</v>
      </c>
      <c r="R148" s="33">
        <f t="shared" si="18"/>
        <v>93117.590000000011</v>
      </c>
    </row>
    <row r="149" spans="1:18" s="4" customFormat="1" x14ac:dyDescent="0.3">
      <c r="A149" s="1" t="s">
        <v>60</v>
      </c>
      <c r="B149" s="3">
        <f t="shared" si="14"/>
        <v>143</v>
      </c>
      <c r="C149" s="4" t="s">
        <v>61</v>
      </c>
      <c r="D149" s="4" t="s">
        <v>35</v>
      </c>
      <c r="E149" s="111"/>
      <c r="F149" s="6" t="s">
        <v>332</v>
      </c>
      <c r="G149" s="7" t="s">
        <v>333</v>
      </c>
      <c r="H149" s="31">
        <v>377</v>
      </c>
      <c r="I149" s="15">
        <v>488.2</v>
      </c>
      <c r="J149" s="11" t="s">
        <v>646</v>
      </c>
      <c r="K149" s="33">
        <v>488.2</v>
      </c>
      <c r="L149" s="33">
        <f t="shared" si="15"/>
        <v>488.2</v>
      </c>
      <c r="M149" s="33">
        <f t="shared" si="16"/>
        <v>0</v>
      </c>
      <c r="N149" s="12">
        <f t="shared" si="17"/>
        <v>0</v>
      </c>
      <c r="O149" s="13" t="s">
        <v>34</v>
      </c>
      <c r="P149" s="13" t="s">
        <v>34</v>
      </c>
      <c r="Q149" s="14" t="s">
        <v>34</v>
      </c>
      <c r="R149" s="33">
        <f t="shared" si="18"/>
        <v>488.2</v>
      </c>
    </row>
    <row r="150" spans="1:18" s="4" customFormat="1" x14ac:dyDescent="0.3">
      <c r="A150" s="1" t="s">
        <v>60</v>
      </c>
      <c r="B150" s="3">
        <f t="shared" si="14"/>
        <v>144</v>
      </c>
      <c r="C150" s="4" t="s">
        <v>61</v>
      </c>
      <c r="D150" s="4" t="s">
        <v>35</v>
      </c>
      <c r="E150" s="111"/>
      <c r="F150" s="6" t="s">
        <v>334</v>
      </c>
      <c r="G150" s="7" t="s">
        <v>335</v>
      </c>
      <c r="H150" s="31">
        <v>377</v>
      </c>
      <c r="I150" s="15">
        <v>-29.91</v>
      </c>
      <c r="J150" s="11" t="s">
        <v>646</v>
      </c>
      <c r="K150" s="33">
        <v>-29.91</v>
      </c>
      <c r="L150" s="33">
        <f t="shared" si="15"/>
        <v>-29.91</v>
      </c>
      <c r="M150" s="33">
        <f t="shared" si="16"/>
        <v>0</v>
      </c>
      <c r="N150" s="12">
        <f t="shared" si="17"/>
        <v>0</v>
      </c>
      <c r="O150" s="13" t="s">
        <v>34</v>
      </c>
      <c r="P150" s="13" t="s">
        <v>34</v>
      </c>
      <c r="Q150" s="14" t="s">
        <v>34</v>
      </c>
      <c r="R150" s="33">
        <f t="shared" si="18"/>
        <v>-29.91</v>
      </c>
    </row>
    <row r="151" spans="1:18" s="4" customFormat="1" x14ac:dyDescent="0.3">
      <c r="A151" s="1" t="s">
        <v>60</v>
      </c>
      <c r="B151" s="3">
        <f t="shared" si="14"/>
        <v>145</v>
      </c>
      <c r="C151" s="4" t="s">
        <v>61</v>
      </c>
      <c r="D151" s="4" t="s">
        <v>35</v>
      </c>
      <c r="E151" s="111"/>
      <c r="F151" s="6" t="s">
        <v>336</v>
      </c>
      <c r="G151" s="7" t="s">
        <v>337</v>
      </c>
      <c r="H151" s="31">
        <v>376</v>
      </c>
      <c r="I151" s="15">
        <v>-3533.65</v>
      </c>
      <c r="J151" s="11" t="s">
        <v>646</v>
      </c>
      <c r="K151" s="33">
        <v>-3533.65</v>
      </c>
      <c r="L151" s="33">
        <f t="shared" si="15"/>
        <v>-3533.65</v>
      </c>
      <c r="M151" s="33">
        <f t="shared" si="16"/>
        <v>0</v>
      </c>
      <c r="N151" s="12">
        <f t="shared" si="17"/>
        <v>0</v>
      </c>
      <c r="O151" s="13" t="s">
        <v>34</v>
      </c>
      <c r="P151" s="13" t="s">
        <v>34</v>
      </c>
      <c r="Q151" s="14" t="s">
        <v>34</v>
      </c>
      <c r="R151" s="33">
        <f t="shared" si="18"/>
        <v>-3533.65</v>
      </c>
    </row>
    <row r="152" spans="1:18" s="4" customFormat="1" x14ac:dyDescent="0.3">
      <c r="A152" s="1" t="s">
        <v>60</v>
      </c>
      <c r="B152" s="3">
        <f t="shared" si="14"/>
        <v>146</v>
      </c>
      <c r="C152" s="4" t="s">
        <v>61</v>
      </c>
      <c r="D152" s="4" t="s">
        <v>35</v>
      </c>
      <c r="E152" s="111" t="s">
        <v>735</v>
      </c>
      <c r="F152" s="6" t="s">
        <v>338</v>
      </c>
      <c r="G152" s="7" t="s">
        <v>339</v>
      </c>
      <c r="H152" s="31">
        <v>376.2</v>
      </c>
      <c r="I152" s="15">
        <v>63627.04733899999</v>
      </c>
      <c r="J152" s="11" t="s">
        <v>648</v>
      </c>
      <c r="K152" s="33">
        <v>57515.360000000001</v>
      </c>
      <c r="L152" s="33">
        <f t="shared" si="15"/>
        <v>57515.360000000001</v>
      </c>
      <c r="M152" s="33">
        <f t="shared" si="16"/>
        <v>-6111.6873389999892</v>
      </c>
      <c r="N152" s="12">
        <f t="shared" si="17"/>
        <v>-9.6054863373392002E-2</v>
      </c>
      <c r="O152" s="13" t="s">
        <v>34</v>
      </c>
      <c r="P152" s="13" t="s">
        <v>34</v>
      </c>
      <c r="Q152" s="14" t="s">
        <v>34</v>
      </c>
      <c r="R152" s="33">
        <f t="shared" si="18"/>
        <v>57515.360000000001</v>
      </c>
    </row>
    <row r="153" spans="1:18" s="4" customFormat="1" x14ac:dyDescent="0.3">
      <c r="A153" s="1" t="s">
        <v>60</v>
      </c>
      <c r="B153" s="3">
        <f t="shared" si="14"/>
        <v>147</v>
      </c>
      <c r="C153" s="4" t="s">
        <v>61</v>
      </c>
      <c r="D153" s="4" t="s">
        <v>64</v>
      </c>
      <c r="E153" s="111"/>
      <c r="F153" s="6" t="s">
        <v>340</v>
      </c>
      <c r="G153" s="7" t="s">
        <v>341</v>
      </c>
      <c r="H153" s="31">
        <v>376</v>
      </c>
      <c r="I153" s="15">
        <v>18290.830000000002</v>
      </c>
      <c r="J153" s="11" t="s">
        <v>648</v>
      </c>
      <c r="K153" s="33">
        <v>18342.900000000001</v>
      </c>
      <c r="L153" s="33">
        <f t="shared" si="15"/>
        <v>18342.900000000001</v>
      </c>
      <c r="M153" s="33">
        <f t="shared" si="16"/>
        <v>52.069999999999709</v>
      </c>
      <c r="N153" s="12">
        <f t="shared" si="17"/>
        <v>2.846781693340308E-3</v>
      </c>
      <c r="O153" s="13" t="s">
        <v>34</v>
      </c>
      <c r="P153" s="13" t="s">
        <v>34</v>
      </c>
      <c r="Q153" s="14" t="s">
        <v>34</v>
      </c>
      <c r="R153" s="33">
        <f t="shared" si="18"/>
        <v>18342.900000000001</v>
      </c>
    </row>
    <row r="154" spans="1:18" s="4" customFormat="1" x14ac:dyDescent="0.3">
      <c r="A154" s="1" t="s">
        <v>60</v>
      </c>
      <c r="B154" s="3">
        <f t="shared" si="14"/>
        <v>148</v>
      </c>
      <c r="C154" s="4" t="s">
        <v>61</v>
      </c>
      <c r="D154" s="4" t="s">
        <v>35</v>
      </c>
      <c r="E154" s="111" t="s">
        <v>735</v>
      </c>
      <c r="F154" s="6" t="s">
        <v>342</v>
      </c>
      <c r="G154" s="7" t="s">
        <v>343</v>
      </c>
      <c r="H154" s="31">
        <v>378</v>
      </c>
      <c r="I154" s="15">
        <v>206332.31882699998</v>
      </c>
      <c r="J154" s="11" t="s">
        <v>648</v>
      </c>
      <c r="K154" s="33">
        <v>536217.71</v>
      </c>
      <c r="L154" s="33">
        <f t="shared" si="15"/>
        <v>536217.71</v>
      </c>
      <c r="M154" s="33">
        <f t="shared" si="16"/>
        <v>329885.39117299998</v>
      </c>
      <c r="N154" s="12">
        <f t="shared" si="17"/>
        <v>1.5988062027723029</v>
      </c>
      <c r="O154" s="13" t="s">
        <v>38</v>
      </c>
      <c r="P154" s="13" t="s">
        <v>38</v>
      </c>
      <c r="Q154" s="14" t="s">
        <v>34</v>
      </c>
      <c r="R154" s="33">
        <f t="shared" si="18"/>
        <v>536217.71</v>
      </c>
    </row>
    <row r="155" spans="1:18" s="4" customFormat="1" x14ac:dyDescent="0.3">
      <c r="A155" s="1" t="s">
        <v>60</v>
      </c>
      <c r="B155" s="3">
        <f t="shared" si="14"/>
        <v>149</v>
      </c>
      <c r="C155" s="4" t="s">
        <v>61</v>
      </c>
      <c r="D155" s="4" t="s">
        <v>35</v>
      </c>
      <c r="E155" s="111" t="s">
        <v>735</v>
      </c>
      <c r="F155" s="6" t="s">
        <v>344</v>
      </c>
      <c r="G155" s="7" t="s">
        <v>345</v>
      </c>
      <c r="H155" s="31">
        <v>377</v>
      </c>
      <c r="I155" s="15">
        <v>147143.05276300001</v>
      </c>
      <c r="J155" s="11" t="s">
        <v>643</v>
      </c>
      <c r="K155" s="33">
        <v>268514.58</v>
      </c>
      <c r="L155" s="33">
        <f t="shared" si="15"/>
        <v>268514.58</v>
      </c>
      <c r="M155" s="33">
        <f t="shared" si="16"/>
        <v>121371.527237</v>
      </c>
      <c r="N155" s="12">
        <f t="shared" si="17"/>
        <v>0.82485394286667668</v>
      </c>
      <c r="O155" s="13" t="s">
        <v>38</v>
      </c>
      <c r="P155" s="13" t="s">
        <v>38</v>
      </c>
      <c r="Q155" s="14" t="s">
        <v>34</v>
      </c>
      <c r="R155" s="33">
        <f t="shared" si="18"/>
        <v>268514.58</v>
      </c>
    </row>
    <row r="156" spans="1:18" s="4" customFormat="1" x14ac:dyDescent="0.3">
      <c r="A156" s="1" t="s">
        <v>60</v>
      </c>
      <c r="B156" s="3">
        <f t="shared" si="14"/>
        <v>150</v>
      </c>
      <c r="C156" s="4" t="s">
        <v>61</v>
      </c>
      <c r="D156" s="4" t="s">
        <v>35</v>
      </c>
      <c r="E156" s="111"/>
      <c r="F156" s="6" t="s">
        <v>346</v>
      </c>
      <c r="G156" s="7" t="s">
        <v>347</v>
      </c>
      <c r="H156" s="31">
        <v>378</v>
      </c>
      <c r="I156" s="15">
        <v>4778.3300000000008</v>
      </c>
      <c r="J156" s="11" t="s">
        <v>646</v>
      </c>
      <c r="K156" s="33">
        <v>4792.0600000000004</v>
      </c>
      <c r="L156" s="33">
        <f t="shared" si="15"/>
        <v>4792.0600000000004</v>
      </c>
      <c r="M156" s="33">
        <f t="shared" si="16"/>
        <v>13.729999999999563</v>
      </c>
      <c r="N156" s="12">
        <f t="shared" si="17"/>
        <v>2.8733888199432775E-3</v>
      </c>
      <c r="O156" s="13" t="s">
        <v>34</v>
      </c>
      <c r="P156" s="13" t="s">
        <v>34</v>
      </c>
      <c r="Q156" s="14" t="s">
        <v>34</v>
      </c>
      <c r="R156" s="33">
        <f t="shared" si="18"/>
        <v>4792.0600000000004</v>
      </c>
    </row>
    <row r="157" spans="1:18" s="4" customFormat="1" x14ac:dyDescent="0.3">
      <c r="A157" s="1" t="s">
        <v>60</v>
      </c>
      <c r="B157" s="3">
        <f t="shared" si="14"/>
        <v>151</v>
      </c>
      <c r="C157" s="4" t="s">
        <v>61</v>
      </c>
      <c r="D157" s="4" t="s">
        <v>35</v>
      </c>
      <c r="E157" s="111"/>
      <c r="F157" s="6" t="s">
        <v>348</v>
      </c>
      <c r="G157" s="7" t="s">
        <v>349</v>
      </c>
      <c r="H157" s="31">
        <v>376</v>
      </c>
      <c r="I157" s="15">
        <v>-173.41</v>
      </c>
      <c r="J157" s="11" t="s">
        <v>646</v>
      </c>
      <c r="K157" s="33">
        <v>-173.41</v>
      </c>
      <c r="L157" s="33">
        <f t="shared" si="15"/>
        <v>-173.41</v>
      </c>
      <c r="M157" s="33">
        <f t="shared" si="16"/>
        <v>0</v>
      </c>
      <c r="N157" s="12">
        <f t="shared" si="17"/>
        <v>0</v>
      </c>
      <c r="O157" s="13" t="s">
        <v>34</v>
      </c>
      <c r="P157" s="13" t="s">
        <v>34</v>
      </c>
      <c r="Q157" s="14" t="s">
        <v>34</v>
      </c>
      <c r="R157" s="33">
        <f t="shared" si="18"/>
        <v>-173.41</v>
      </c>
    </row>
    <row r="158" spans="1:18" s="4" customFormat="1" x14ac:dyDescent="0.3">
      <c r="A158" s="1" t="s">
        <v>60</v>
      </c>
      <c r="B158" s="3">
        <f t="shared" si="14"/>
        <v>152</v>
      </c>
      <c r="C158" s="4" t="s">
        <v>61</v>
      </c>
      <c r="D158" s="4" t="s">
        <v>64</v>
      </c>
      <c r="E158" s="111" t="s">
        <v>734</v>
      </c>
      <c r="F158" s="6" t="s">
        <v>350</v>
      </c>
      <c r="G158" s="7" t="s">
        <v>351</v>
      </c>
      <c r="H158" s="31">
        <v>394.1</v>
      </c>
      <c r="I158" s="15">
        <v>12729.9</v>
      </c>
      <c r="J158" s="11" t="s">
        <v>651</v>
      </c>
      <c r="K158" s="33">
        <v>13586.08</v>
      </c>
      <c r="L158" s="33">
        <f t="shared" si="15"/>
        <v>13586.08</v>
      </c>
      <c r="M158" s="33">
        <f t="shared" si="16"/>
        <v>856.18000000000029</v>
      </c>
      <c r="N158" s="12">
        <f t="shared" si="17"/>
        <v>6.725740186490077E-2</v>
      </c>
      <c r="O158" s="13" t="s">
        <v>34</v>
      </c>
      <c r="P158" s="13" t="s">
        <v>34</v>
      </c>
      <c r="Q158" s="14" t="s">
        <v>34</v>
      </c>
      <c r="R158" s="33">
        <f t="shared" si="18"/>
        <v>13586.08</v>
      </c>
    </row>
    <row r="159" spans="1:18" s="4" customFormat="1" x14ac:dyDescent="0.3">
      <c r="A159" s="1" t="s">
        <v>60</v>
      </c>
      <c r="B159" s="3">
        <f t="shared" si="14"/>
        <v>153</v>
      </c>
      <c r="C159" s="4" t="s">
        <v>61</v>
      </c>
      <c r="D159" s="4" t="s">
        <v>35</v>
      </c>
      <c r="E159" s="111" t="s">
        <v>735</v>
      </c>
      <c r="F159" s="6" t="s">
        <v>352</v>
      </c>
      <c r="G159" s="7" t="s">
        <v>353</v>
      </c>
      <c r="H159" s="31">
        <v>377</v>
      </c>
      <c r="I159" s="15">
        <v>18881.810000000001</v>
      </c>
      <c r="J159" s="11" t="s">
        <v>647</v>
      </c>
      <c r="K159" s="33">
        <v>15791.24</v>
      </c>
      <c r="L159" s="33">
        <f t="shared" si="15"/>
        <v>15791.24</v>
      </c>
      <c r="M159" s="33">
        <f t="shared" si="16"/>
        <v>-3090.5700000000015</v>
      </c>
      <c r="N159" s="12">
        <f t="shared" si="17"/>
        <v>-0.16367975315925759</v>
      </c>
      <c r="O159" s="13" t="s">
        <v>38</v>
      </c>
      <c r="P159" s="13" t="s">
        <v>34</v>
      </c>
      <c r="Q159" s="14" t="s">
        <v>34</v>
      </c>
      <c r="R159" s="33">
        <f t="shared" si="18"/>
        <v>15791.24</v>
      </c>
    </row>
    <row r="160" spans="1:18" s="4" customFormat="1" x14ac:dyDescent="0.3">
      <c r="A160" s="1" t="s">
        <v>60</v>
      </c>
      <c r="B160" s="3">
        <f t="shared" si="14"/>
        <v>154</v>
      </c>
      <c r="C160" s="4" t="s">
        <v>61</v>
      </c>
      <c r="D160" s="4" t="s">
        <v>35</v>
      </c>
      <c r="E160" s="111" t="s">
        <v>735</v>
      </c>
      <c r="F160" s="6" t="s">
        <v>354</v>
      </c>
      <c r="G160" s="7" t="s">
        <v>355</v>
      </c>
      <c r="H160" s="31">
        <v>378</v>
      </c>
      <c r="I160" s="15">
        <v>55851.398262000002</v>
      </c>
      <c r="J160" s="11" t="s">
        <v>644</v>
      </c>
      <c r="K160" s="33">
        <v>108010.73</v>
      </c>
      <c r="L160" s="33">
        <f t="shared" si="15"/>
        <v>108010.73</v>
      </c>
      <c r="M160" s="33">
        <f t="shared" si="16"/>
        <v>52159.331737999993</v>
      </c>
      <c r="N160" s="12">
        <f t="shared" si="17"/>
        <v>0.93389482378434907</v>
      </c>
      <c r="O160" s="13" t="s">
        <v>38</v>
      </c>
      <c r="P160" s="13" t="s">
        <v>38</v>
      </c>
      <c r="Q160" s="14" t="s">
        <v>34</v>
      </c>
      <c r="R160" s="33">
        <f t="shared" si="18"/>
        <v>108010.73</v>
      </c>
    </row>
    <row r="161" spans="1:18" s="4" customFormat="1" x14ac:dyDescent="0.3">
      <c r="A161" s="1" t="s">
        <v>60</v>
      </c>
      <c r="B161" s="3">
        <f t="shared" si="14"/>
        <v>155</v>
      </c>
      <c r="C161" s="4" t="s">
        <v>61</v>
      </c>
      <c r="D161" s="4" t="s">
        <v>251</v>
      </c>
      <c r="E161" s="111"/>
      <c r="F161" s="6" t="s">
        <v>356</v>
      </c>
      <c r="G161" s="7" t="s">
        <v>357</v>
      </c>
      <c r="H161" s="31">
        <v>303</v>
      </c>
      <c r="I161" s="15">
        <v>29259.34</v>
      </c>
      <c r="J161" s="11" t="s">
        <v>646</v>
      </c>
      <c r="K161" s="33">
        <v>68497.430000000008</v>
      </c>
      <c r="L161" s="33">
        <f t="shared" si="15"/>
        <v>68497.430000000008</v>
      </c>
      <c r="M161" s="33">
        <f t="shared" si="16"/>
        <v>39238.090000000011</v>
      </c>
      <c r="N161" s="12">
        <f t="shared" si="17"/>
        <v>1.3410449449645827</v>
      </c>
      <c r="O161" s="13" t="s">
        <v>38</v>
      </c>
      <c r="P161" s="13" t="s">
        <v>38</v>
      </c>
      <c r="Q161" s="14" t="s">
        <v>34</v>
      </c>
      <c r="R161" s="33">
        <f t="shared" si="18"/>
        <v>68497.430000000008</v>
      </c>
    </row>
    <row r="162" spans="1:18" s="4" customFormat="1" x14ac:dyDescent="0.3">
      <c r="A162" s="1" t="s">
        <v>60</v>
      </c>
      <c r="B162" s="3">
        <f t="shared" si="14"/>
        <v>156</v>
      </c>
      <c r="C162" s="4" t="s">
        <v>61</v>
      </c>
      <c r="D162" s="4" t="s">
        <v>64</v>
      </c>
      <c r="E162" s="111"/>
      <c r="F162" s="6" t="s">
        <v>358</v>
      </c>
      <c r="G162" s="7" t="s">
        <v>359</v>
      </c>
      <c r="H162" s="31">
        <v>376</v>
      </c>
      <c r="I162" s="15">
        <v>30321.08</v>
      </c>
      <c r="J162" s="11" t="s">
        <v>645</v>
      </c>
      <c r="K162" s="33">
        <v>96082.489999999991</v>
      </c>
      <c r="L162" s="33">
        <f t="shared" si="15"/>
        <v>96082.489999999991</v>
      </c>
      <c r="M162" s="33">
        <f t="shared" si="16"/>
        <v>65761.409999999989</v>
      </c>
      <c r="N162" s="12">
        <f t="shared" si="17"/>
        <v>2.1688346853080427</v>
      </c>
      <c r="O162" s="13" t="s">
        <v>38</v>
      </c>
      <c r="P162" s="13" t="s">
        <v>38</v>
      </c>
      <c r="Q162" s="14" t="s">
        <v>34</v>
      </c>
      <c r="R162" s="33">
        <f t="shared" si="18"/>
        <v>96082.489999999991</v>
      </c>
    </row>
    <row r="163" spans="1:18" s="4" customFormat="1" x14ac:dyDescent="0.3">
      <c r="A163" s="1" t="s">
        <v>60</v>
      </c>
      <c r="B163" s="3">
        <f t="shared" si="14"/>
        <v>157</v>
      </c>
      <c r="C163" s="4" t="s">
        <v>61</v>
      </c>
      <c r="D163" s="4" t="s">
        <v>64</v>
      </c>
      <c r="E163" s="111"/>
      <c r="F163" s="6" t="s">
        <v>360</v>
      </c>
      <c r="G163" s="7" t="s">
        <v>361</v>
      </c>
      <c r="H163" s="31">
        <v>376</v>
      </c>
      <c r="I163" s="15">
        <v>32934.75</v>
      </c>
      <c r="J163" s="11" t="s">
        <v>644</v>
      </c>
      <c r="K163" s="33">
        <v>33029.4</v>
      </c>
      <c r="L163" s="33">
        <f t="shared" si="15"/>
        <v>33029.4</v>
      </c>
      <c r="M163" s="33">
        <f t="shared" si="16"/>
        <v>94.650000000001455</v>
      </c>
      <c r="N163" s="12">
        <f t="shared" si="17"/>
        <v>2.8738642315487882E-3</v>
      </c>
      <c r="O163" s="13" t="s">
        <v>34</v>
      </c>
      <c r="P163" s="13" t="s">
        <v>34</v>
      </c>
      <c r="Q163" s="14" t="s">
        <v>34</v>
      </c>
      <c r="R163" s="33">
        <f t="shared" si="18"/>
        <v>33029.4</v>
      </c>
    </row>
    <row r="164" spans="1:18" s="4" customFormat="1" x14ac:dyDescent="0.3">
      <c r="A164" s="1" t="s">
        <v>60</v>
      </c>
      <c r="B164" s="3">
        <f t="shared" si="14"/>
        <v>158</v>
      </c>
      <c r="C164" s="4" t="s">
        <v>61</v>
      </c>
      <c r="D164" s="4" t="s">
        <v>64</v>
      </c>
      <c r="E164" s="111"/>
      <c r="F164" s="6" t="s">
        <v>362</v>
      </c>
      <c r="G164" s="7" t="s">
        <v>363</v>
      </c>
      <c r="H164" s="31">
        <v>376</v>
      </c>
      <c r="I164" s="15">
        <v>62609.680000000008</v>
      </c>
      <c r="J164" s="11" t="s">
        <v>645</v>
      </c>
      <c r="K164" s="33">
        <v>62789.610000000008</v>
      </c>
      <c r="L164" s="33">
        <f t="shared" si="15"/>
        <v>62789.610000000008</v>
      </c>
      <c r="M164" s="33">
        <f t="shared" si="16"/>
        <v>179.93000000000029</v>
      </c>
      <c r="N164" s="12">
        <f t="shared" si="17"/>
        <v>2.8738367613442566E-3</v>
      </c>
      <c r="O164" s="13" t="s">
        <v>34</v>
      </c>
      <c r="P164" s="13" t="s">
        <v>34</v>
      </c>
      <c r="Q164" s="14" t="s">
        <v>34</v>
      </c>
      <c r="R164" s="33">
        <f t="shared" si="18"/>
        <v>62789.610000000008</v>
      </c>
    </row>
    <row r="165" spans="1:18" s="4" customFormat="1" x14ac:dyDescent="0.3">
      <c r="A165" s="1" t="s">
        <v>60</v>
      </c>
      <c r="B165" s="3">
        <f t="shared" si="14"/>
        <v>159</v>
      </c>
      <c r="C165" s="4" t="s">
        <v>61</v>
      </c>
      <c r="D165" s="4" t="s">
        <v>35</v>
      </c>
      <c r="E165" s="111" t="s">
        <v>735</v>
      </c>
      <c r="F165" s="6" t="s">
        <v>364</v>
      </c>
      <c r="G165" s="7" t="s">
        <v>365</v>
      </c>
      <c r="H165" s="31">
        <v>390.1</v>
      </c>
      <c r="I165" s="15">
        <v>37696.400500000003</v>
      </c>
      <c r="J165" s="11" t="s">
        <v>641</v>
      </c>
      <c r="K165" s="33">
        <v>33907.5</v>
      </c>
      <c r="L165" s="33">
        <f t="shared" si="15"/>
        <v>33907.5</v>
      </c>
      <c r="M165" s="33">
        <f t="shared" si="16"/>
        <v>-3788.9005000000034</v>
      </c>
      <c r="N165" s="12">
        <f t="shared" si="17"/>
        <v>-0.10051093605077766</v>
      </c>
      <c r="O165" s="13" t="s">
        <v>38</v>
      </c>
      <c r="P165" s="13" t="s">
        <v>34</v>
      </c>
      <c r="Q165" s="14" t="s">
        <v>34</v>
      </c>
      <c r="R165" s="33">
        <f t="shared" si="18"/>
        <v>33907.5</v>
      </c>
    </row>
    <row r="166" spans="1:18" s="4" customFormat="1" x14ac:dyDescent="0.3">
      <c r="A166" s="1" t="s">
        <v>60</v>
      </c>
      <c r="B166" s="3">
        <f t="shared" si="14"/>
        <v>160</v>
      </c>
      <c r="C166" s="4" t="s">
        <v>61</v>
      </c>
      <c r="D166" s="4" t="s">
        <v>64</v>
      </c>
      <c r="E166" s="111" t="s">
        <v>734</v>
      </c>
      <c r="F166" s="6" t="s">
        <v>366</v>
      </c>
      <c r="G166" s="7" t="s">
        <v>367</v>
      </c>
      <c r="H166" s="31">
        <v>394.1</v>
      </c>
      <c r="I166" s="15">
        <v>1592.8</v>
      </c>
      <c r="J166" s="11" t="s">
        <v>58</v>
      </c>
      <c r="K166" s="33">
        <v>0</v>
      </c>
      <c r="L166" s="33">
        <f t="shared" si="15"/>
        <v>0</v>
      </c>
      <c r="M166" s="33">
        <f t="shared" si="16"/>
        <v>-1592.8</v>
      </c>
      <c r="N166" s="12">
        <f t="shared" si="17"/>
        <v>-1</v>
      </c>
      <c r="O166" s="13" t="s">
        <v>38</v>
      </c>
      <c r="P166" s="13" t="s">
        <v>34</v>
      </c>
      <c r="Q166" s="14" t="s">
        <v>34</v>
      </c>
      <c r="R166" s="33">
        <f t="shared" si="18"/>
        <v>0</v>
      </c>
    </row>
    <row r="167" spans="1:18" s="4" customFormat="1" x14ac:dyDescent="0.3">
      <c r="A167" s="1" t="s">
        <v>60</v>
      </c>
      <c r="B167" s="3">
        <f t="shared" si="14"/>
        <v>161</v>
      </c>
      <c r="C167" s="4" t="s">
        <v>61</v>
      </c>
      <c r="D167" s="4" t="s">
        <v>64</v>
      </c>
      <c r="E167" s="111" t="s">
        <v>734</v>
      </c>
      <c r="F167" s="6" t="s">
        <v>368</v>
      </c>
      <c r="G167" s="7" t="s">
        <v>369</v>
      </c>
      <c r="H167" s="31">
        <v>394.1</v>
      </c>
      <c r="I167" s="15">
        <v>10082.290000000001</v>
      </c>
      <c r="J167" s="11" t="s">
        <v>651</v>
      </c>
      <c r="K167" s="33">
        <v>10216.57</v>
      </c>
      <c r="L167" s="33">
        <f t="shared" si="15"/>
        <v>10216.57</v>
      </c>
      <c r="M167" s="33">
        <f t="shared" si="16"/>
        <v>134.27999999999884</v>
      </c>
      <c r="N167" s="12">
        <f t="shared" si="17"/>
        <v>1.3318402862841559E-2</v>
      </c>
      <c r="O167" s="13" t="s">
        <v>34</v>
      </c>
      <c r="P167" s="13" t="s">
        <v>34</v>
      </c>
      <c r="Q167" s="14" t="s">
        <v>34</v>
      </c>
      <c r="R167" s="33">
        <f t="shared" si="18"/>
        <v>10216.57</v>
      </c>
    </row>
    <row r="168" spans="1:18" s="4" customFormat="1" x14ac:dyDescent="0.3">
      <c r="A168" s="1" t="s">
        <v>60</v>
      </c>
      <c r="B168" s="3">
        <f t="shared" si="14"/>
        <v>162</v>
      </c>
      <c r="C168" s="4" t="s">
        <v>61</v>
      </c>
      <c r="D168" s="4" t="s">
        <v>35</v>
      </c>
      <c r="E168" s="111" t="s">
        <v>735</v>
      </c>
      <c r="F168" s="6" t="s">
        <v>370</v>
      </c>
      <c r="G168" s="7" t="s">
        <v>371</v>
      </c>
      <c r="H168" s="31">
        <v>394.1</v>
      </c>
      <c r="I168" s="15">
        <v>102940.75</v>
      </c>
      <c r="J168" s="11" t="s">
        <v>652</v>
      </c>
      <c r="K168" s="33">
        <v>4052</v>
      </c>
      <c r="L168" s="33">
        <f t="shared" si="15"/>
        <v>4052</v>
      </c>
      <c r="M168" s="33">
        <f t="shared" si="16"/>
        <v>-98888.75</v>
      </c>
      <c r="N168" s="12">
        <f t="shared" si="17"/>
        <v>-0.96063755121271222</v>
      </c>
      <c r="O168" s="13" t="s">
        <v>38</v>
      </c>
      <c r="P168" s="13" t="s">
        <v>34</v>
      </c>
      <c r="Q168" s="14" t="s">
        <v>34</v>
      </c>
      <c r="R168" s="33">
        <f t="shared" si="18"/>
        <v>4052</v>
      </c>
    </row>
    <row r="169" spans="1:18" s="4" customFormat="1" x14ac:dyDescent="0.3">
      <c r="A169" s="1" t="s">
        <v>60</v>
      </c>
      <c r="B169" s="3">
        <f t="shared" si="14"/>
        <v>163</v>
      </c>
      <c r="C169" s="4" t="s">
        <v>61</v>
      </c>
      <c r="D169" s="4" t="s">
        <v>64</v>
      </c>
      <c r="E169" s="111" t="s">
        <v>734</v>
      </c>
      <c r="F169" s="6" t="s">
        <v>372</v>
      </c>
      <c r="G169" s="7" t="s">
        <v>373</v>
      </c>
      <c r="H169" s="31">
        <v>394.1</v>
      </c>
      <c r="I169" s="15">
        <v>32137.600000000002</v>
      </c>
      <c r="J169" s="11" t="s">
        <v>645</v>
      </c>
      <c r="K169" s="33">
        <v>38056.46</v>
      </c>
      <c r="L169" s="33">
        <f t="shared" si="15"/>
        <v>38056.46</v>
      </c>
      <c r="M169" s="33">
        <f t="shared" si="16"/>
        <v>5918.8599999999969</v>
      </c>
      <c r="N169" s="12">
        <f t="shared" si="17"/>
        <v>0.18417243353579596</v>
      </c>
      <c r="O169" s="13" t="s">
        <v>38</v>
      </c>
      <c r="P169" s="13" t="s">
        <v>38</v>
      </c>
      <c r="Q169" s="14" t="s">
        <v>34</v>
      </c>
      <c r="R169" s="33">
        <f t="shared" si="18"/>
        <v>38056.46</v>
      </c>
    </row>
    <row r="170" spans="1:18" s="4" customFormat="1" x14ac:dyDescent="0.3">
      <c r="A170" s="1" t="s">
        <v>60</v>
      </c>
      <c r="B170" s="3">
        <f t="shared" si="14"/>
        <v>164</v>
      </c>
      <c r="C170" s="4" t="s">
        <v>61</v>
      </c>
      <c r="D170" s="4" t="s">
        <v>31</v>
      </c>
      <c r="E170" s="111" t="s">
        <v>737</v>
      </c>
      <c r="F170" s="6" t="s">
        <v>374</v>
      </c>
      <c r="G170" s="7" t="s">
        <v>375</v>
      </c>
      <c r="H170" s="31">
        <v>303</v>
      </c>
      <c r="I170" s="15">
        <v>41466.040550000005</v>
      </c>
      <c r="J170" s="11" t="s">
        <v>58</v>
      </c>
      <c r="K170" s="33">
        <v>0</v>
      </c>
      <c r="L170" s="33">
        <f t="shared" si="15"/>
        <v>0</v>
      </c>
      <c r="M170" s="33">
        <f t="shared" si="16"/>
        <v>-41466.040550000005</v>
      </c>
      <c r="N170" s="12">
        <f t="shared" si="17"/>
        <v>-1</v>
      </c>
      <c r="O170" s="13" t="s">
        <v>38</v>
      </c>
      <c r="P170" s="13" t="s">
        <v>34</v>
      </c>
      <c r="Q170" s="14" t="s">
        <v>34</v>
      </c>
      <c r="R170" s="33">
        <f t="shared" si="18"/>
        <v>0</v>
      </c>
    </row>
    <row r="171" spans="1:18" s="4" customFormat="1" x14ac:dyDescent="0.3">
      <c r="A171" s="1" t="s">
        <v>60</v>
      </c>
      <c r="B171" s="3">
        <f t="shared" si="14"/>
        <v>165</v>
      </c>
      <c r="C171" s="4" t="s">
        <v>61</v>
      </c>
      <c r="D171" s="4" t="s">
        <v>31</v>
      </c>
      <c r="E171" s="111" t="s">
        <v>737</v>
      </c>
      <c r="F171" s="6" t="s">
        <v>376</v>
      </c>
      <c r="G171" s="7" t="s">
        <v>377</v>
      </c>
      <c r="H171" s="31">
        <v>303</v>
      </c>
      <c r="I171" s="15">
        <v>7539.2800999999999</v>
      </c>
      <c r="J171" s="11" t="s">
        <v>58</v>
      </c>
      <c r="K171" s="33">
        <v>0</v>
      </c>
      <c r="L171" s="33">
        <f t="shared" si="15"/>
        <v>0</v>
      </c>
      <c r="M171" s="33">
        <f t="shared" si="16"/>
        <v>-7539.2800999999999</v>
      </c>
      <c r="N171" s="12">
        <f t="shared" si="17"/>
        <v>-1</v>
      </c>
      <c r="O171" s="13" t="s">
        <v>38</v>
      </c>
      <c r="P171" s="13" t="s">
        <v>34</v>
      </c>
      <c r="Q171" s="14" t="s">
        <v>34</v>
      </c>
      <c r="R171" s="33">
        <f t="shared" si="18"/>
        <v>0</v>
      </c>
    </row>
    <row r="172" spans="1:18" s="4" customFormat="1" x14ac:dyDescent="0.3">
      <c r="A172" s="1" t="s">
        <v>60</v>
      </c>
      <c r="B172" s="3">
        <f t="shared" si="14"/>
        <v>166</v>
      </c>
      <c r="C172" s="4" t="s">
        <v>61</v>
      </c>
      <c r="D172" s="4" t="s">
        <v>35</v>
      </c>
      <c r="E172" s="111" t="s">
        <v>735</v>
      </c>
      <c r="F172" s="6" t="s">
        <v>378</v>
      </c>
      <c r="G172" s="7" t="s">
        <v>379</v>
      </c>
      <c r="H172" s="31">
        <v>376.2</v>
      </c>
      <c r="I172" s="15">
        <v>306877.8</v>
      </c>
      <c r="J172" s="11" t="s">
        <v>58</v>
      </c>
      <c r="K172" s="33">
        <v>0</v>
      </c>
      <c r="L172" s="33">
        <f t="shared" si="15"/>
        <v>0</v>
      </c>
      <c r="M172" s="33">
        <f t="shared" si="16"/>
        <v>-306877.8</v>
      </c>
      <c r="N172" s="12">
        <f t="shared" si="17"/>
        <v>-1</v>
      </c>
      <c r="O172" s="13" t="s">
        <v>38</v>
      </c>
      <c r="P172" s="13" t="s">
        <v>34</v>
      </c>
      <c r="Q172" s="14" t="s">
        <v>34</v>
      </c>
      <c r="R172" s="33">
        <f t="shared" si="18"/>
        <v>0</v>
      </c>
    </row>
    <row r="173" spans="1:18" s="4" customFormat="1" x14ac:dyDescent="0.3">
      <c r="A173" s="1" t="s">
        <v>60</v>
      </c>
      <c r="B173" s="3">
        <f t="shared" si="14"/>
        <v>167</v>
      </c>
      <c r="C173" s="4" t="s">
        <v>61</v>
      </c>
      <c r="D173" s="4" t="s">
        <v>64</v>
      </c>
      <c r="E173" s="111" t="s">
        <v>734</v>
      </c>
      <c r="F173" s="6" t="s">
        <v>380</v>
      </c>
      <c r="G173" s="7" t="s">
        <v>381</v>
      </c>
      <c r="H173" s="31">
        <v>394.1</v>
      </c>
      <c r="I173" s="15">
        <v>3439.73</v>
      </c>
      <c r="J173" s="11" t="s">
        <v>651</v>
      </c>
      <c r="K173" s="33">
        <v>4893.79</v>
      </c>
      <c r="L173" s="33">
        <f t="shared" si="15"/>
        <v>4893.79</v>
      </c>
      <c r="M173" s="33">
        <f t="shared" si="16"/>
        <v>1454.06</v>
      </c>
      <c r="N173" s="12">
        <f t="shared" si="17"/>
        <v>0.42272503946530687</v>
      </c>
      <c r="O173" s="13" t="s">
        <v>38</v>
      </c>
      <c r="P173" s="13" t="s">
        <v>38</v>
      </c>
      <c r="Q173" s="14" t="s">
        <v>34</v>
      </c>
      <c r="R173" s="33">
        <f t="shared" si="18"/>
        <v>4893.79</v>
      </c>
    </row>
    <row r="174" spans="1:18" s="4" customFormat="1" x14ac:dyDescent="0.3">
      <c r="A174" s="1" t="s">
        <v>60</v>
      </c>
      <c r="B174" s="3">
        <f t="shared" si="14"/>
        <v>168</v>
      </c>
      <c r="C174" s="4" t="s">
        <v>61</v>
      </c>
      <c r="D174" s="4" t="s">
        <v>64</v>
      </c>
      <c r="E174" s="111" t="s">
        <v>734</v>
      </c>
      <c r="F174" s="6" t="s">
        <v>382</v>
      </c>
      <c r="G174" s="7" t="s">
        <v>383</v>
      </c>
      <c r="H174" s="31">
        <v>394.1</v>
      </c>
      <c r="I174" s="15">
        <v>7532.25</v>
      </c>
      <c r="J174" s="11" t="s">
        <v>648</v>
      </c>
      <c r="K174" s="33">
        <v>8733.2900000000009</v>
      </c>
      <c r="L174" s="33">
        <f t="shared" si="15"/>
        <v>8733.2900000000009</v>
      </c>
      <c r="M174" s="33">
        <f t="shared" si="16"/>
        <v>1201.0400000000009</v>
      </c>
      <c r="N174" s="12">
        <f t="shared" si="17"/>
        <v>0.15945301868631562</v>
      </c>
      <c r="O174" s="13" t="s">
        <v>38</v>
      </c>
      <c r="P174" s="13" t="s">
        <v>38</v>
      </c>
      <c r="Q174" s="14" t="s">
        <v>34</v>
      </c>
      <c r="R174" s="33">
        <f t="shared" si="18"/>
        <v>8733.2900000000009</v>
      </c>
    </row>
    <row r="175" spans="1:18" s="4" customFormat="1" x14ac:dyDescent="0.3">
      <c r="A175" s="1" t="s">
        <v>60</v>
      </c>
      <c r="B175" s="3">
        <f t="shared" si="14"/>
        <v>169</v>
      </c>
      <c r="C175" s="4" t="s">
        <v>61</v>
      </c>
      <c r="D175" s="4" t="s">
        <v>103</v>
      </c>
      <c r="E175" s="111" t="s">
        <v>731</v>
      </c>
      <c r="F175" s="6" t="s">
        <v>384</v>
      </c>
      <c r="G175" s="7" t="s">
        <v>385</v>
      </c>
      <c r="H175" s="31">
        <v>303</v>
      </c>
      <c r="I175" s="15">
        <v>810507.85611499997</v>
      </c>
      <c r="J175" s="11" t="s">
        <v>653</v>
      </c>
      <c r="K175" s="33">
        <v>1147305.19</v>
      </c>
      <c r="L175" s="33">
        <f t="shared" si="15"/>
        <v>1147305.19</v>
      </c>
      <c r="M175" s="33">
        <f t="shared" si="16"/>
        <v>336797.33388499997</v>
      </c>
      <c r="N175" s="12">
        <f t="shared" si="17"/>
        <v>0.41553864203040253</v>
      </c>
      <c r="O175" s="13" t="s">
        <v>38</v>
      </c>
      <c r="P175" s="13" t="s">
        <v>38</v>
      </c>
      <c r="Q175" s="14" t="s">
        <v>34</v>
      </c>
      <c r="R175" s="33">
        <f t="shared" si="18"/>
        <v>1147305.19</v>
      </c>
    </row>
    <row r="176" spans="1:18" s="4" customFormat="1" x14ac:dyDescent="0.3">
      <c r="A176" s="1" t="s">
        <v>60</v>
      </c>
      <c r="B176" s="3">
        <f t="shared" si="14"/>
        <v>170</v>
      </c>
      <c r="C176" s="4" t="s">
        <v>61</v>
      </c>
      <c r="D176" s="4" t="s">
        <v>35</v>
      </c>
      <c r="E176" s="111" t="s">
        <v>735</v>
      </c>
      <c r="F176" s="6" t="s">
        <v>386</v>
      </c>
      <c r="G176" s="7" t="s">
        <v>387</v>
      </c>
      <c r="H176" s="31">
        <v>378</v>
      </c>
      <c r="I176" s="15">
        <v>292793.29972100002</v>
      </c>
      <c r="J176" s="11" t="s">
        <v>58</v>
      </c>
      <c r="K176" s="33">
        <v>0</v>
      </c>
      <c r="L176" s="33">
        <f t="shared" si="15"/>
        <v>0</v>
      </c>
      <c r="M176" s="33">
        <f t="shared" si="16"/>
        <v>-292793.29972100002</v>
      </c>
      <c r="N176" s="12">
        <f t="shared" si="17"/>
        <v>-1</v>
      </c>
      <c r="O176" s="13" t="s">
        <v>38</v>
      </c>
      <c r="P176" s="13" t="s">
        <v>34</v>
      </c>
      <c r="Q176" s="14" t="s">
        <v>34</v>
      </c>
      <c r="R176" s="33">
        <f t="shared" si="18"/>
        <v>0</v>
      </c>
    </row>
    <row r="177" spans="1:18" s="4" customFormat="1" x14ac:dyDescent="0.3">
      <c r="A177" s="1" t="s">
        <v>60</v>
      </c>
      <c r="B177" s="3">
        <f t="shared" si="14"/>
        <v>171</v>
      </c>
      <c r="C177" s="4" t="s">
        <v>61</v>
      </c>
      <c r="D177" s="4" t="s">
        <v>103</v>
      </c>
      <c r="E177" s="111" t="s">
        <v>731</v>
      </c>
      <c r="F177" s="6" t="s">
        <v>388</v>
      </c>
      <c r="G177" s="7" t="s">
        <v>389</v>
      </c>
      <c r="H177" s="31">
        <v>303</v>
      </c>
      <c r="I177" s="15">
        <v>52501.443155000008</v>
      </c>
      <c r="J177" s="11" t="s">
        <v>643</v>
      </c>
      <c r="K177" s="33">
        <v>4153.82</v>
      </c>
      <c r="L177" s="33">
        <f t="shared" si="15"/>
        <v>4153.82</v>
      </c>
      <c r="M177" s="33">
        <f t="shared" si="16"/>
        <v>-48347.623155000008</v>
      </c>
      <c r="N177" s="12">
        <f t="shared" si="17"/>
        <v>-0.92088179390161373</v>
      </c>
      <c r="O177" s="13" t="s">
        <v>38</v>
      </c>
      <c r="P177" s="13" t="s">
        <v>34</v>
      </c>
      <c r="Q177" s="14" t="s">
        <v>34</v>
      </c>
      <c r="R177" s="33">
        <f t="shared" si="18"/>
        <v>4153.82</v>
      </c>
    </row>
    <row r="178" spans="1:18" s="4" customFormat="1" x14ac:dyDescent="0.3">
      <c r="A178" s="1" t="s">
        <v>60</v>
      </c>
      <c r="B178" s="3">
        <f t="shared" si="14"/>
        <v>172</v>
      </c>
      <c r="C178" s="4" t="s">
        <v>61</v>
      </c>
      <c r="D178" s="4" t="s">
        <v>31</v>
      </c>
      <c r="E178" s="111" t="s">
        <v>737</v>
      </c>
      <c r="F178" s="6" t="s">
        <v>390</v>
      </c>
      <c r="G178" s="7" t="s">
        <v>391</v>
      </c>
      <c r="H178" s="31">
        <v>394.1</v>
      </c>
      <c r="I178" s="15">
        <v>50215</v>
      </c>
      <c r="J178" s="11" t="s">
        <v>58</v>
      </c>
      <c r="K178" s="33">
        <v>0</v>
      </c>
      <c r="L178" s="33">
        <f t="shared" si="15"/>
        <v>0</v>
      </c>
      <c r="M178" s="33">
        <f t="shared" si="16"/>
        <v>-50215</v>
      </c>
      <c r="N178" s="12">
        <f t="shared" si="17"/>
        <v>-1</v>
      </c>
      <c r="O178" s="13" t="s">
        <v>38</v>
      </c>
      <c r="P178" s="13" t="s">
        <v>34</v>
      </c>
      <c r="Q178" s="14" t="s">
        <v>34</v>
      </c>
      <c r="R178" s="33">
        <f t="shared" si="18"/>
        <v>0</v>
      </c>
    </row>
    <row r="179" spans="1:18" s="4" customFormat="1" x14ac:dyDescent="0.3">
      <c r="A179" s="1" t="s">
        <v>60</v>
      </c>
      <c r="B179" s="3">
        <f t="shared" si="14"/>
        <v>173</v>
      </c>
      <c r="C179" s="4" t="s">
        <v>61</v>
      </c>
      <c r="D179" s="4" t="s">
        <v>35</v>
      </c>
      <c r="E179" s="111" t="s">
        <v>732</v>
      </c>
      <c r="F179" s="6" t="s">
        <v>392</v>
      </c>
      <c r="G179" s="7" t="s">
        <v>393</v>
      </c>
      <c r="H179" s="31">
        <v>367.1</v>
      </c>
      <c r="I179" s="15">
        <v>2632121.5674279998</v>
      </c>
      <c r="J179" s="11" t="s">
        <v>642</v>
      </c>
      <c r="K179" s="33">
        <v>482378.59</v>
      </c>
      <c r="L179" s="33">
        <f t="shared" si="15"/>
        <v>482378.59</v>
      </c>
      <c r="M179" s="33">
        <f t="shared" si="16"/>
        <v>-2149742.977428</v>
      </c>
      <c r="N179" s="12">
        <f t="shared" si="17"/>
        <v>-0.81673392446255433</v>
      </c>
      <c r="O179" s="13" t="s">
        <v>38</v>
      </c>
      <c r="P179" s="13" t="s">
        <v>34</v>
      </c>
      <c r="Q179" s="14" t="s">
        <v>34</v>
      </c>
      <c r="R179" s="33">
        <f t="shared" si="18"/>
        <v>482378.59</v>
      </c>
    </row>
    <row r="180" spans="1:18" s="4" customFormat="1" x14ac:dyDescent="0.3">
      <c r="A180" s="1" t="s">
        <v>60</v>
      </c>
      <c r="B180" s="3">
        <f t="shared" si="14"/>
        <v>174</v>
      </c>
      <c r="C180" s="4" t="s">
        <v>61</v>
      </c>
      <c r="D180" s="4" t="s">
        <v>64</v>
      </c>
      <c r="E180" s="111" t="s">
        <v>734</v>
      </c>
      <c r="F180" s="6" t="s">
        <v>394</v>
      </c>
      <c r="G180" s="7" t="s">
        <v>395</v>
      </c>
      <c r="H180" s="31">
        <v>394.1</v>
      </c>
      <c r="I180" s="15">
        <v>4017.2000000000003</v>
      </c>
      <c r="J180" s="11" t="s">
        <v>645</v>
      </c>
      <c r="K180" s="33">
        <v>4902.7700000000004</v>
      </c>
      <c r="L180" s="33">
        <f t="shared" si="15"/>
        <v>4902.7700000000004</v>
      </c>
      <c r="M180" s="33">
        <f t="shared" si="16"/>
        <v>885.57000000000016</v>
      </c>
      <c r="N180" s="12">
        <f t="shared" si="17"/>
        <v>0.22044458827043714</v>
      </c>
      <c r="O180" s="13" t="s">
        <v>38</v>
      </c>
      <c r="P180" s="13" t="s">
        <v>38</v>
      </c>
      <c r="Q180" s="14" t="s">
        <v>34</v>
      </c>
      <c r="R180" s="33">
        <f t="shared" si="18"/>
        <v>4902.7700000000004</v>
      </c>
    </row>
    <row r="181" spans="1:18" s="4" customFormat="1" x14ac:dyDescent="0.3">
      <c r="A181" s="1" t="s">
        <v>60</v>
      </c>
      <c r="B181" s="3">
        <f t="shared" si="14"/>
        <v>175</v>
      </c>
      <c r="C181" s="4" t="s">
        <v>61</v>
      </c>
      <c r="D181" s="4" t="s">
        <v>64</v>
      </c>
      <c r="E181" s="111" t="s">
        <v>734</v>
      </c>
      <c r="F181" s="6" t="s">
        <v>396</v>
      </c>
      <c r="G181" s="7" t="s">
        <v>397</v>
      </c>
      <c r="H181" s="31">
        <v>394.1</v>
      </c>
      <c r="I181" s="15">
        <v>2510.75</v>
      </c>
      <c r="J181" s="11" t="s">
        <v>644</v>
      </c>
      <c r="K181" s="33">
        <v>2829.23</v>
      </c>
      <c r="L181" s="33">
        <f t="shared" si="15"/>
        <v>2829.23</v>
      </c>
      <c r="M181" s="33">
        <f t="shared" si="16"/>
        <v>318.48</v>
      </c>
      <c r="N181" s="12">
        <f t="shared" si="17"/>
        <v>0.12684655979289058</v>
      </c>
      <c r="O181" s="13" t="s">
        <v>38</v>
      </c>
      <c r="P181" s="13" t="s">
        <v>38</v>
      </c>
      <c r="Q181" s="14" t="s">
        <v>34</v>
      </c>
      <c r="R181" s="33">
        <f t="shared" si="18"/>
        <v>2829.23</v>
      </c>
    </row>
    <row r="182" spans="1:18" s="4" customFormat="1" x14ac:dyDescent="0.3">
      <c r="A182" s="1" t="s">
        <v>60</v>
      </c>
      <c r="B182" s="3">
        <f t="shared" si="14"/>
        <v>176</v>
      </c>
      <c r="C182" s="4" t="s">
        <v>61</v>
      </c>
      <c r="D182" s="4" t="s">
        <v>35</v>
      </c>
      <c r="E182" s="111" t="s">
        <v>735</v>
      </c>
      <c r="F182" s="6" t="s">
        <v>398</v>
      </c>
      <c r="G182" s="7" t="s">
        <v>399</v>
      </c>
      <c r="H182" s="31">
        <v>394.1</v>
      </c>
      <c r="I182" s="15">
        <v>1506.45</v>
      </c>
      <c r="J182" s="11" t="s">
        <v>644</v>
      </c>
      <c r="K182" s="33">
        <v>1410.0800000000002</v>
      </c>
      <c r="L182" s="33">
        <f t="shared" si="15"/>
        <v>1410.0800000000002</v>
      </c>
      <c r="M182" s="33">
        <f t="shared" si="16"/>
        <v>-96.369999999999891</v>
      </c>
      <c r="N182" s="12">
        <f t="shared" si="17"/>
        <v>-6.3971588834677476E-2</v>
      </c>
      <c r="O182" s="13" t="s">
        <v>34</v>
      </c>
      <c r="P182" s="13" t="s">
        <v>34</v>
      </c>
      <c r="Q182" s="14" t="s">
        <v>34</v>
      </c>
      <c r="R182" s="33">
        <f t="shared" si="18"/>
        <v>1410.0800000000002</v>
      </c>
    </row>
    <row r="183" spans="1:18" s="4" customFormat="1" x14ac:dyDescent="0.3">
      <c r="A183" s="1" t="s">
        <v>60</v>
      </c>
      <c r="B183" s="3">
        <f t="shared" si="14"/>
        <v>177</v>
      </c>
      <c r="C183" s="4" t="s">
        <v>61</v>
      </c>
      <c r="D183" s="4" t="s">
        <v>31</v>
      </c>
      <c r="E183" s="111" t="s">
        <v>737</v>
      </c>
      <c r="F183" s="6" t="s">
        <v>400</v>
      </c>
      <c r="G183" s="7" t="s">
        <v>401</v>
      </c>
      <c r="H183" s="31">
        <v>398</v>
      </c>
      <c r="I183" s="15">
        <v>2008.6000000000001</v>
      </c>
      <c r="J183" s="11" t="s">
        <v>58</v>
      </c>
      <c r="K183" s="33">
        <v>0</v>
      </c>
      <c r="L183" s="33">
        <f t="shared" si="15"/>
        <v>0</v>
      </c>
      <c r="M183" s="33">
        <f t="shared" si="16"/>
        <v>-2008.6000000000001</v>
      </c>
      <c r="N183" s="12">
        <f t="shared" si="17"/>
        <v>-1</v>
      </c>
      <c r="O183" s="13" t="s">
        <v>38</v>
      </c>
      <c r="P183" s="13" t="s">
        <v>34</v>
      </c>
      <c r="Q183" s="14" t="s">
        <v>34</v>
      </c>
      <c r="R183" s="33">
        <f t="shared" si="18"/>
        <v>0</v>
      </c>
    </row>
    <row r="184" spans="1:18" s="4" customFormat="1" x14ac:dyDescent="0.3">
      <c r="A184" s="1" t="s">
        <v>60</v>
      </c>
      <c r="B184" s="3">
        <f t="shared" si="14"/>
        <v>178</v>
      </c>
      <c r="C184" s="4" t="s">
        <v>61</v>
      </c>
      <c r="D184" s="4" t="s">
        <v>31</v>
      </c>
      <c r="E184" s="111" t="s">
        <v>737</v>
      </c>
      <c r="F184" s="6" t="s">
        <v>402</v>
      </c>
      <c r="G184" s="7" t="s">
        <v>403</v>
      </c>
      <c r="H184" s="31">
        <v>394.1</v>
      </c>
      <c r="I184" s="15">
        <v>10043</v>
      </c>
      <c r="J184" s="11" t="s">
        <v>58</v>
      </c>
      <c r="K184" s="33">
        <v>0</v>
      </c>
      <c r="L184" s="33">
        <f t="shared" si="15"/>
        <v>0</v>
      </c>
      <c r="M184" s="33">
        <f t="shared" si="16"/>
        <v>-10043</v>
      </c>
      <c r="N184" s="12">
        <f t="shared" si="17"/>
        <v>-1</v>
      </c>
      <c r="O184" s="13" t="s">
        <v>38</v>
      </c>
      <c r="P184" s="13" t="s">
        <v>34</v>
      </c>
      <c r="Q184" s="14" t="s">
        <v>34</v>
      </c>
      <c r="R184" s="33">
        <f t="shared" si="18"/>
        <v>0</v>
      </c>
    </row>
    <row r="185" spans="1:18" s="4" customFormat="1" x14ac:dyDescent="0.3">
      <c r="A185" s="1" t="s">
        <v>60</v>
      </c>
      <c r="B185" s="3">
        <f t="shared" si="14"/>
        <v>179</v>
      </c>
      <c r="C185" s="4" t="s">
        <v>61</v>
      </c>
      <c r="D185" s="4" t="s">
        <v>64</v>
      </c>
      <c r="E185" s="111" t="s">
        <v>734</v>
      </c>
      <c r="F185" s="6" t="s">
        <v>404</v>
      </c>
      <c r="G185" s="7" t="s">
        <v>405</v>
      </c>
      <c r="H185" s="31">
        <v>397.3</v>
      </c>
      <c r="I185" s="15">
        <v>75322.5</v>
      </c>
      <c r="J185" s="11" t="s">
        <v>647</v>
      </c>
      <c r="K185" s="33">
        <v>67136.930000000008</v>
      </c>
      <c r="L185" s="33">
        <f t="shared" si="15"/>
        <v>67136.930000000008</v>
      </c>
      <c r="M185" s="33">
        <f t="shared" si="16"/>
        <v>-8185.5699999999924</v>
      </c>
      <c r="N185" s="12">
        <f t="shared" si="17"/>
        <v>-0.10867363669554241</v>
      </c>
      <c r="O185" s="13" t="s">
        <v>38</v>
      </c>
      <c r="P185" s="13" t="s">
        <v>34</v>
      </c>
      <c r="Q185" s="14" t="s">
        <v>34</v>
      </c>
      <c r="R185" s="33">
        <f t="shared" si="18"/>
        <v>67136.930000000008</v>
      </c>
    </row>
    <row r="186" spans="1:18" s="4" customFormat="1" x14ac:dyDescent="0.3">
      <c r="A186" s="1" t="s">
        <v>60</v>
      </c>
      <c r="B186" s="3">
        <f t="shared" si="14"/>
        <v>180</v>
      </c>
      <c r="C186" s="4" t="s">
        <v>61</v>
      </c>
      <c r="D186" s="4" t="s">
        <v>64</v>
      </c>
      <c r="E186" s="111" t="s">
        <v>734</v>
      </c>
      <c r="F186" s="6" t="s">
        <v>406</v>
      </c>
      <c r="G186" s="7" t="s">
        <v>407</v>
      </c>
      <c r="H186" s="31">
        <v>391.3</v>
      </c>
      <c r="I186" s="15">
        <v>45193.5</v>
      </c>
      <c r="J186" s="11" t="s">
        <v>58</v>
      </c>
      <c r="K186" s="33">
        <v>0</v>
      </c>
      <c r="L186" s="33">
        <f t="shared" si="15"/>
        <v>0</v>
      </c>
      <c r="M186" s="33">
        <f t="shared" si="16"/>
        <v>-45193.5</v>
      </c>
      <c r="N186" s="12">
        <f t="shared" si="17"/>
        <v>-1</v>
      </c>
      <c r="O186" s="13" t="s">
        <v>38</v>
      </c>
      <c r="P186" s="13" t="s">
        <v>34</v>
      </c>
      <c r="Q186" s="14" t="s">
        <v>34</v>
      </c>
      <c r="R186" s="33">
        <f t="shared" si="18"/>
        <v>0</v>
      </c>
    </row>
    <row r="187" spans="1:18" s="4" customFormat="1" x14ac:dyDescent="0.3">
      <c r="A187" s="1" t="s">
        <v>60</v>
      </c>
      <c r="B187" s="3">
        <f t="shared" si="14"/>
        <v>181</v>
      </c>
      <c r="C187" s="4" t="s">
        <v>61</v>
      </c>
      <c r="D187" s="4" t="s">
        <v>35</v>
      </c>
      <c r="E187" s="111" t="s">
        <v>735</v>
      </c>
      <c r="F187" s="6" t="s">
        <v>408</v>
      </c>
      <c r="G187" s="7" t="s">
        <v>409</v>
      </c>
      <c r="H187" s="31">
        <v>394.1</v>
      </c>
      <c r="I187" s="15">
        <v>1506.45</v>
      </c>
      <c r="J187" s="11" t="s">
        <v>644</v>
      </c>
      <c r="K187" s="33">
        <v>1408.0300000000002</v>
      </c>
      <c r="L187" s="33">
        <f t="shared" si="15"/>
        <v>1408.0300000000002</v>
      </c>
      <c r="M187" s="33">
        <f t="shared" si="16"/>
        <v>-98.419999999999845</v>
      </c>
      <c r="N187" s="12">
        <f t="shared" si="17"/>
        <v>-6.5332403996149785E-2</v>
      </c>
      <c r="O187" s="13" t="s">
        <v>34</v>
      </c>
      <c r="P187" s="13" t="s">
        <v>34</v>
      </c>
      <c r="Q187" s="14" t="s">
        <v>34</v>
      </c>
      <c r="R187" s="33">
        <f t="shared" si="18"/>
        <v>1408.0300000000002</v>
      </c>
    </row>
    <row r="188" spans="1:18" s="4" customFormat="1" x14ac:dyDescent="0.3">
      <c r="A188" s="1" t="s">
        <v>60</v>
      </c>
      <c r="B188" s="3">
        <f t="shared" si="14"/>
        <v>182</v>
      </c>
      <c r="C188" s="4" t="s">
        <v>61</v>
      </c>
      <c r="D188" s="4" t="s">
        <v>35</v>
      </c>
      <c r="E188" s="111" t="s">
        <v>735</v>
      </c>
      <c r="F188" s="6" t="s">
        <v>410</v>
      </c>
      <c r="G188" s="7" t="s">
        <v>411</v>
      </c>
      <c r="H188" s="31">
        <v>394.1</v>
      </c>
      <c r="I188" s="15">
        <v>1506.45</v>
      </c>
      <c r="J188" s="11" t="s">
        <v>644</v>
      </c>
      <c r="K188" s="33">
        <v>1401.33</v>
      </c>
      <c r="L188" s="33">
        <f t="shared" si="15"/>
        <v>1401.33</v>
      </c>
      <c r="M188" s="33">
        <f t="shared" si="16"/>
        <v>-105.12000000000012</v>
      </c>
      <c r="N188" s="12">
        <f t="shared" si="17"/>
        <v>-6.9779946231205897E-2</v>
      </c>
      <c r="O188" s="13" t="s">
        <v>34</v>
      </c>
      <c r="P188" s="13" t="s">
        <v>34</v>
      </c>
      <c r="Q188" s="14" t="s">
        <v>34</v>
      </c>
      <c r="R188" s="33">
        <f t="shared" si="18"/>
        <v>1401.33</v>
      </c>
    </row>
    <row r="189" spans="1:18" s="4" customFormat="1" x14ac:dyDescent="0.3">
      <c r="A189" s="1" t="s">
        <v>60</v>
      </c>
      <c r="B189" s="3">
        <f t="shared" si="14"/>
        <v>183</v>
      </c>
      <c r="C189" s="4" t="s">
        <v>61</v>
      </c>
      <c r="D189" s="4" t="s">
        <v>35</v>
      </c>
      <c r="E189" s="111" t="s">
        <v>735</v>
      </c>
      <c r="F189" s="6" t="s">
        <v>412</v>
      </c>
      <c r="G189" s="7" t="s">
        <v>413</v>
      </c>
      <c r="H189" s="31">
        <v>394.1</v>
      </c>
      <c r="I189" s="15">
        <v>9800.418528000002</v>
      </c>
      <c r="J189" s="11" t="s">
        <v>648</v>
      </c>
      <c r="K189" s="33">
        <v>12299.2</v>
      </c>
      <c r="L189" s="33">
        <f t="shared" si="15"/>
        <v>12299.2</v>
      </c>
      <c r="M189" s="33">
        <f t="shared" si="16"/>
        <v>2498.7814719999988</v>
      </c>
      <c r="N189" s="12">
        <f t="shared" si="17"/>
        <v>0.25496681237244384</v>
      </c>
      <c r="O189" s="13" t="s">
        <v>38</v>
      </c>
      <c r="P189" s="13" t="s">
        <v>38</v>
      </c>
      <c r="Q189" s="14" t="s">
        <v>34</v>
      </c>
      <c r="R189" s="33">
        <f t="shared" si="18"/>
        <v>12299.2</v>
      </c>
    </row>
    <row r="190" spans="1:18" s="4" customFormat="1" x14ac:dyDescent="0.3">
      <c r="A190" s="1" t="s">
        <v>60</v>
      </c>
      <c r="B190" s="3">
        <f t="shared" si="14"/>
        <v>184</v>
      </c>
      <c r="C190" s="4" t="s">
        <v>61</v>
      </c>
      <c r="D190" s="4" t="s">
        <v>35</v>
      </c>
      <c r="E190" s="111" t="s">
        <v>735</v>
      </c>
      <c r="F190" s="6" t="s">
        <v>414</v>
      </c>
      <c r="G190" s="7" t="s">
        <v>415</v>
      </c>
      <c r="H190" s="31">
        <v>394.1</v>
      </c>
      <c r="I190" s="15">
        <v>3769.64005</v>
      </c>
      <c r="J190" s="11" t="s">
        <v>644</v>
      </c>
      <c r="K190" s="33">
        <v>1384.28</v>
      </c>
      <c r="L190" s="33">
        <f t="shared" si="15"/>
        <v>1384.28</v>
      </c>
      <c r="M190" s="33">
        <f t="shared" si="16"/>
        <v>-2385.3600500000002</v>
      </c>
      <c r="N190" s="12">
        <f t="shared" si="17"/>
        <v>-0.63278191507966397</v>
      </c>
      <c r="O190" s="13" t="s">
        <v>38</v>
      </c>
      <c r="P190" s="13" t="s">
        <v>34</v>
      </c>
      <c r="Q190" s="14" t="s">
        <v>34</v>
      </c>
      <c r="R190" s="33">
        <f t="shared" si="18"/>
        <v>1384.28</v>
      </c>
    </row>
    <row r="191" spans="1:18" s="4" customFormat="1" x14ac:dyDescent="0.3">
      <c r="A191" s="1" t="s">
        <v>60</v>
      </c>
      <c r="B191" s="3">
        <f t="shared" si="14"/>
        <v>185</v>
      </c>
      <c r="C191" s="4" t="s">
        <v>61</v>
      </c>
      <c r="D191" s="4" t="s">
        <v>35</v>
      </c>
      <c r="E191" s="111" t="s">
        <v>735</v>
      </c>
      <c r="F191" s="6" t="s">
        <v>416</v>
      </c>
      <c r="G191" s="7" t="s">
        <v>417</v>
      </c>
      <c r="H191" s="31">
        <v>394.1</v>
      </c>
      <c r="I191" s="15">
        <v>2638.7480350000001</v>
      </c>
      <c r="J191" s="11" t="s">
        <v>58</v>
      </c>
      <c r="K191" s="33">
        <v>0</v>
      </c>
      <c r="L191" s="33">
        <f t="shared" si="15"/>
        <v>0</v>
      </c>
      <c r="M191" s="33">
        <f t="shared" si="16"/>
        <v>-2638.7480350000001</v>
      </c>
      <c r="N191" s="12">
        <f t="shared" si="17"/>
        <v>-1</v>
      </c>
      <c r="O191" s="13" t="s">
        <v>38</v>
      </c>
      <c r="P191" s="13" t="s">
        <v>34</v>
      </c>
      <c r="Q191" s="14" t="s">
        <v>34</v>
      </c>
      <c r="R191" s="33">
        <f t="shared" si="18"/>
        <v>0</v>
      </c>
    </row>
    <row r="192" spans="1:18" s="4" customFormat="1" x14ac:dyDescent="0.3">
      <c r="A192" s="1" t="s">
        <v>60</v>
      </c>
      <c r="B192" s="3">
        <f t="shared" si="14"/>
        <v>186</v>
      </c>
      <c r="C192" s="4" t="s">
        <v>61</v>
      </c>
      <c r="D192" s="4" t="s">
        <v>35</v>
      </c>
      <c r="E192" s="111" t="s">
        <v>735</v>
      </c>
      <c r="F192" s="6" t="s">
        <v>418</v>
      </c>
      <c r="G192" s="7" t="s">
        <v>419</v>
      </c>
      <c r="H192" s="31">
        <v>394.1</v>
      </c>
      <c r="I192" s="15">
        <v>10554.99214</v>
      </c>
      <c r="J192" s="11" t="s">
        <v>653</v>
      </c>
      <c r="K192" s="33">
        <v>10987.630000000001</v>
      </c>
      <c r="L192" s="33">
        <f t="shared" si="15"/>
        <v>10987.630000000001</v>
      </c>
      <c r="M192" s="33">
        <f t="shared" si="16"/>
        <v>432.63786000000073</v>
      </c>
      <c r="N192" s="12">
        <f t="shared" si="17"/>
        <v>4.0988932465467538E-2</v>
      </c>
      <c r="O192" s="13" t="s">
        <v>34</v>
      </c>
      <c r="P192" s="13" t="s">
        <v>34</v>
      </c>
      <c r="Q192" s="14" t="s">
        <v>34</v>
      </c>
      <c r="R192" s="33">
        <f t="shared" si="18"/>
        <v>10987.630000000001</v>
      </c>
    </row>
    <row r="193" spans="1:18" s="4" customFormat="1" x14ac:dyDescent="0.3">
      <c r="A193" s="1" t="s">
        <v>60</v>
      </c>
      <c r="B193" s="3">
        <f t="shared" si="14"/>
        <v>187</v>
      </c>
      <c r="C193" s="4" t="s">
        <v>61</v>
      </c>
      <c r="D193" s="4" t="s">
        <v>64</v>
      </c>
      <c r="E193" s="111" t="s">
        <v>734</v>
      </c>
      <c r="F193" s="6" t="s">
        <v>420</v>
      </c>
      <c r="G193" s="7" t="s">
        <v>421</v>
      </c>
      <c r="H193" s="31">
        <v>376.1</v>
      </c>
      <c r="I193" s="15">
        <v>72206.33808799999</v>
      </c>
      <c r="J193" s="11" t="s">
        <v>646</v>
      </c>
      <c r="K193" s="33">
        <v>61746.19</v>
      </c>
      <c r="L193" s="33">
        <f t="shared" si="15"/>
        <v>61746.19</v>
      </c>
      <c r="M193" s="33">
        <f t="shared" si="16"/>
        <v>-10460.148087999987</v>
      </c>
      <c r="N193" s="12">
        <f t="shared" si="17"/>
        <v>-0.14486468037268274</v>
      </c>
      <c r="O193" s="13" t="s">
        <v>38</v>
      </c>
      <c r="P193" s="13" t="s">
        <v>34</v>
      </c>
      <c r="Q193" s="14" t="s">
        <v>34</v>
      </c>
      <c r="R193" s="33">
        <f t="shared" si="18"/>
        <v>61746.19</v>
      </c>
    </row>
    <row r="194" spans="1:18" s="4" customFormat="1" x14ac:dyDescent="0.3">
      <c r="A194" s="1" t="s">
        <v>60</v>
      </c>
      <c r="B194" s="3">
        <f t="shared" si="14"/>
        <v>188</v>
      </c>
      <c r="C194" s="4" t="s">
        <v>61</v>
      </c>
      <c r="D194" s="4" t="s">
        <v>64</v>
      </c>
      <c r="E194" s="111" t="s">
        <v>734</v>
      </c>
      <c r="F194" s="6" t="s">
        <v>422</v>
      </c>
      <c r="G194" s="7" t="s">
        <v>423</v>
      </c>
      <c r="H194" s="31">
        <v>376.3</v>
      </c>
      <c r="I194" s="15">
        <v>193815.10948099999</v>
      </c>
      <c r="J194" s="11" t="s">
        <v>647</v>
      </c>
      <c r="K194" s="33">
        <v>449652.87</v>
      </c>
      <c r="L194" s="33">
        <f t="shared" si="15"/>
        <v>449652.87</v>
      </c>
      <c r="M194" s="33">
        <f t="shared" si="16"/>
        <v>255837.760519</v>
      </c>
      <c r="N194" s="12">
        <f t="shared" si="17"/>
        <v>1.3200093697755808</v>
      </c>
      <c r="O194" s="13" t="s">
        <v>38</v>
      </c>
      <c r="P194" s="13" t="s">
        <v>38</v>
      </c>
      <c r="Q194" s="14" t="s">
        <v>34</v>
      </c>
      <c r="R194" s="33">
        <f t="shared" si="18"/>
        <v>449652.87</v>
      </c>
    </row>
    <row r="195" spans="1:18" s="4" customFormat="1" x14ac:dyDescent="0.3">
      <c r="A195" s="1" t="s">
        <v>60</v>
      </c>
      <c r="B195" s="3">
        <f t="shared" si="14"/>
        <v>189</v>
      </c>
      <c r="C195" s="4" t="s">
        <v>61</v>
      </c>
      <c r="D195" s="4" t="s">
        <v>64</v>
      </c>
      <c r="E195" s="111" t="s">
        <v>734</v>
      </c>
      <c r="F195" s="6" t="s">
        <v>424</v>
      </c>
      <c r="G195" s="7" t="s">
        <v>425</v>
      </c>
      <c r="H195" s="31">
        <v>303</v>
      </c>
      <c r="I195" s="15">
        <v>149733.94637000002</v>
      </c>
      <c r="J195" s="11" t="s">
        <v>643</v>
      </c>
      <c r="K195" s="33">
        <v>117864.96000000001</v>
      </c>
      <c r="L195" s="33">
        <f t="shared" si="15"/>
        <v>117864.96000000001</v>
      </c>
      <c r="M195" s="33">
        <f t="shared" si="16"/>
        <v>-31868.986370000013</v>
      </c>
      <c r="N195" s="12">
        <f t="shared" si="17"/>
        <v>-0.21283741691580188</v>
      </c>
      <c r="O195" s="13" t="s">
        <v>38</v>
      </c>
      <c r="P195" s="13" t="s">
        <v>34</v>
      </c>
      <c r="Q195" s="14" t="s">
        <v>34</v>
      </c>
      <c r="R195" s="33">
        <f t="shared" si="18"/>
        <v>117864.96000000001</v>
      </c>
    </row>
    <row r="196" spans="1:18" s="4" customFormat="1" x14ac:dyDescent="0.3">
      <c r="A196" s="1" t="s">
        <v>60</v>
      </c>
      <c r="B196" s="3">
        <f t="shared" si="14"/>
        <v>190</v>
      </c>
      <c r="C196" s="4" t="s">
        <v>61</v>
      </c>
      <c r="D196" s="4" t="s">
        <v>35</v>
      </c>
      <c r="E196" s="111" t="s">
        <v>735</v>
      </c>
      <c r="F196" s="6" t="s">
        <v>426</v>
      </c>
      <c r="G196" s="7" t="s">
        <v>427</v>
      </c>
      <c r="H196" s="31">
        <v>394.1</v>
      </c>
      <c r="I196" s="15">
        <v>15078.5602</v>
      </c>
      <c r="J196" s="11" t="s">
        <v>651</v>
      </c>
      <c r="K196" s="33">
        <v>7267.91</v>
      </c>
      <c r="L196" s="33">
        <f t="shared" si="15"/>
        <v>7267.91</v>
      </c>
      <c r="M196" s="33">
        <f t="shared" si="16"/>
        <v>-7810.6502</v>
      </c>
      <c r="N196" s="12">
        <f t="shared" si="17"/>
        <v>-0.51799708303714564</v>
      </c>
      <c r="O196" s="13" t="s">
        <v>38</v>
      </c>
      <c r="P196" s="13" t="s">
        <v>34</v>
      </c>
      <c r="Q196" s="14" t="s">
        <v>34</v>
      </c>
      <c r="R196" s="33">
        <f t="shared" si="18"/>
        <v>7267.91</v>
      </c>
    </row>
    <row r="197" spans="1:18" s="4" customFormat="1" x14ac:dyDescent="0.3">
      <c r="A197" s="1" t="s">
        <v>60</v>
      </c>
      <c r="B197" s="3">
        <f t="shared" si="14"/>
        <v>191</v>
      </c>
      <c r="C197" s="4" t="s">
        <v>61</v>
      </c>
      <c r="D197" s="4" t="s">
        <v>35</v>
      </c>
      <c r="E197" s="111" t="s">
        <v>735</v>
      </c>
      <c r="F197" s="6" t="s">
        <v>428</v>
      </c>
      <c r="G197" s="7" t="s">
        <v>429</v>
      </c>
      <c r="H197" s="31">
        <v>394.1</v>
      </c>
      <c r="I197" s="15">
        <v>8293.2081100000014</v>
      </c>
      <c r="J197" s="11" t="s">
        <v>647</v>
      </c>
      <c r="K197" s="33">
        <v>6111.3499999999995</v>
      </c>
      <c r="L197" s="33">
        <f t="shared" si="15"/>
        <v>6111.3499999999995</v>
      </c>
      <c r="M197" s="33">
        <f t="shared" si="16"/>
        <v>-2181.8581100000019</v>
      </c>
      <c r="N197" s="12">
        <f t="shared" si="17"/>
        <v>-0.26308975743284485</v>
      </c>
      <c r="O197" s="13" t="s">
        <v>38</v>
      </c>
      <c r="P197" s="13" t="s">
        <v>34</v>
      </c>
      <c r="Q197" s="14" t="s">
        <v>34</v>
      </c>
      <c r="R197" s="33">
        <f t="shared" si="18"/>
        <v>6111.3499999999995</v>
      </c>
    </row>
    <row r="198" spans="1:18" s="4" customFormat="1" x14ac:dyDescent="0.3">
      <c r="A198" s="1" t="s">
        <v>60</v>
      </c>
      <c r="B198" s="3">
        <f t="shared" si="14"/>
        <v>192</v>
      </c>
      <c r="C198" s="4" t="s">
        <v>61</v>
      </c>
      <c r="D198" s="4" t="s">
        <v>35</v>
      </c>
      <c r="E198" s="111" t="s">
        <v>735</v>
      </c>
      <c r="F198" s="6" t="s">
        <v>430</v>
      </c>
      <c r="G198" s="7" t="s">
        <v>431</v>
      </c>
      <c r="H198" s="31">
        <v>377</v>
      </c>
      <c r="I198" s="15">
        <v>18174</v>
      </c>
      <c r="J198" s="11" t="s">
        <v>645</v>
      </c>
      <c r="K198" s="33">
        <v>17002.84</v>
      </c>
      <c r="L198" s="33">
        <f t="shared" si="15"/>
        <v>17002.84</v>
      </c>
      <c r="M198" s="33">
        <f t="shared" si="16"/>
        <v>-1171.1599999999999</v>
      </c>
      <c r="N198" s="12">
        <f t="shared" si="17"/>
        <v>-6.4441509849235162E-2</v>
      </c>
      <c r="O198" s="13" t="s">
        <v>34</v>
      </c>
      <c r="P198" s="13" t="s">
        <v>34</v>
      </c>
      <c r="Q198" s="14" t="s">
        <v>34</v>
      </c>
      <c r="R198" s="33">
        <f t="shared" si="18"/>
        <v>17002.84</v>
      </c>
    </row>
    <row r="199" spans="1:18" s="4" customFormat="1" x14ac:dyDescent="0.3">
      <c r="A199" s="1" t="s">
        <v>60</v>
      </c>
      <c r="B199" s="3">
        <f t="shared" si="14"/>
        <v>193</v>
      </c>
      <c r="C199" s="4" t="s">
        <v>61</v>
      </c>
      <c r="D199" s="4" t="s">
        <v>35</v>
      </c>
      <c r="E199" s="111" t="s">
        <v>735</v>
      </c>
      <c r="F199" s="6" t="s">
        <v>432</v>
      </c>
      <c r="G199" s="7" t="s">
        <v>433</v>
      </c>
      <c r="H199" s="31">
        <v>377</v>
      </c>
      <c r="I199" s="15">
        <v>21808.799999999999</v>
      </c>
      <c r="J199" s="11" t="s">
        <v>645</v>
      </c>
      <c r="K199" s="33">
        <v>23856.99</v>
      </c>
      <c r="L199" s="33">
        <f t="shared" si="15"/>
        <v>23856.99</v>
      </c>
      <c r="M199" s="33">
        <f t="shared" si="16"/>
        <v>2048.1900000000023</v>
      </c>
      <c r="N199" s="12">
        <f t="shared" si="17"/>
        <v>9.3915758776273908E-2</v>
      </c>
      <c r="O199" s="13" t="s">
        <v>34</v>
      </c>
      <c r="P199" s="13" t="s">
        <v>34</v>
      </c>
      <c r="Q199" s="14" t="s">
        <v>34</v>
      </c>
      <c r="R199" s="33">
        <f t="shared" si="18"/>
        <v>23856.99</v>
      </c>
    </row>
    <row r="200" spans="1:18" s="4" customFormat="1" x14ac:dyDescent="0.3">
      <c r="A200" s="1" t="s">
        <v>60</v>
      </c>
      <c r="B200" s="3">
        <f t="shared" ref="B200:B263" si="19">B199+1</f>
        <v>194</v>
      </c>
      <c r="C200" s="4" t="s">
        <v>61</v>
      </c>
      <c r="D200" s="4" t="s">
        <v>64</v>
      </c>
      <c r="E200" s="111" t="s">
        <v>734</v>
      </c>
      <c r="F200" s="6" t="s">
        <v>434</v>
      </c>
      <c r="G200" s="7" t="s">
        <v>435</v>
      </c>
      <c r="H200" s="31">
        <v>394.1</v>
      </c>
      <c r="I200" s="15">
        <v>6527.95</v>
      </c>
      <c r="J200" s="11" t="s">
        <v>645</v>
      </c>
      <c r="K200" s="33">
        <v>7059.39</v>
      </c>
      <c r="L200" s="33">
        <f t="shared" si="15"/>
        <v>7059.39</v>
      </c>
      <c r="M200" s="33">
        <f t="shared" si="16"/>
        <v>531.44000000000051</v>
      </c>
      <c r="N200" s="12">
        <f t="shared" si="17"/>
        <v>8.1409937269740204E-2</v>
      </c>
      <c r="O200" s="13" t="s">
        <v>34</v>
      </c>
      <c r="P200" s="13" t="s">
        <v>34</v>
      </c>
      <c r="Q200" s="14" t="s">
        <v>34</v>
      </c>
      <c r="R200" s="33">
        <f t="shared" si="18"/>
        <v>7059.39</v>
      </c>
    </row>
    <row r="201" spans="1:18" s="4" customFormat="1" x14ac:dyDescent="0.3">
      <c r="A201" s="1" t="s">
        <v>60</v>
      </c>
      <c r="B201" s="3">
        <f t="shared" si="19"/>
        <v>195</v>
      </c>
      <c r="C201" s="4" t="s">
        <v>61</v>
      </c>
      <c r="D201" s="4" t="s">
        <v>64</v>
      </c>
      <c r="E201" s="111" t="s">
        <v>734</v>
      </c>
      <c r="F201" s="6" t="s">
        <v>436</v>
      </c>
      <c r="G201" s="7" t="s">
        <v>437</v>
      </c>
      <c r="H201" s="31">
        <v>394.1</v>
      </c>
      <c r="I201" s="15">
        <v>4017.2000000000003</v>
      </c>
      <c r="J201" s="11" t="s">
        <v>645</v>
      </c>
      <c r="K201" s="33">
        <v>4862.29</v>
      </c>
      <c r="L201" s="33">
        <f t="shared" si="15"/>
        <v>4862.29</v>
      </c>
      <c r="M201" s="33">
        <f t="shared" si="16"/>
        <v>845.08999999999969</v>
      </c>
      <c r="N201" s="12">
        <f t="shared" si="17"/>
        <v>0.21036791795280285</v>
      </c>
      <c r="O201" s="13" t="s">
        <v>38</v>
      </c>
      <c r="P201" s="13" t="s">
        <v>38</v>
      </c>
      <c r="Q201" s="14" t="s">
        <v>34</v>
      </c>
      <c r="R201" s="33">
        <f t="shared" si="18"/>
        <v>4862.29</v>
      </c>
    </row>
    <row r="202" spans="1:18" s="4" customFormat="1" x14ac:dyDescent="0.3">
      <c r="A202" s="1" t="s">
        <v>60</v>
      </c>
      <c r="B202" s="3">
        <f t="shared" si="19"/>
        <v>196</v>
      </c>
      <c r="C202" s="4" t="s">
        <v>61</v>
      </c>
      <c r="D202" s="4" t="s">
        <v>64</v>
      </c>
      <c r="E202" s="111" t="s">
        <v>734</v>
      </c>
      <c r="F202" s="6" t="s">
        <v>438</v>
      </c>
      <c r="G202" s="7" t="s">
        <v>439</v>
      </c>
      <c r="H202" s="31">
        <v>394.1</v>
      </c>
      <c r="I202" s="15">
        <v>4017.2000000000003</v>
      </c>
      <c r="J202" s="11" t="s">
        <v>645</v>
      </c>
      <c r="K202" s="33">
        <v>4898.2700000000004</v>
      </c>
      <c r="L202" s="33">
        <f t="shared" si="15"/>
        <v>4898.2700000000004</v>
      </c>
      <c r="M202" s="33">
        <f t="shared" si="16"/>
        <v>881.07000000000016</v>
      </c>
      <c r="N202" s="12">
        <f t="shared" si="17"/>
        <v>0.21932440505824954</v>
      </c>
      <c r="O202" s="13" t="s">
        <v>38</v>
      </c>
      <c r="P202" s="13" t="s">
        <v>38</v>
      </c>
      <c r="Q202" s="14" t="s">
        <v>34</v>
      </c>
      <c r="R202" s="33">
        <f t="shared" si="18"/>
        <v>4898.2700000000004</v>
      </c>
    </row>
    <row r="203" spans="1:18" s="4" customFormat="1" x14ac:dyDescent="0.3">
      <c r="A203" s="1" t="s">
        <v>60</v>
      </c>
      <c r="B203" s="3">
        <f t="shared" si="19"/>
        <v>197</v>
      </c>
      <c r="C203" s="4" t="s">
        <v>61</v>
      </c>
      <c r="D203" s="4" t="s">
        <v>64</v>
      </c>
      <c r="E203" s="111" t="s">
        <v>734</v>
      </c>
      <c r="F203" s="6" t="s">
        <v>440</v>
      </c>
      <c r="G203" s="7" t="s">
        <v>441</v>
      </c>
      <c r="H203" s="31">
        <v>394.1</v>
      </c>
      <c r="I203" s="15">
        <v>4441.3</v>
      </c>
      <c r="J203" s="11" t="s">
        <v>58</v>
      </c>
      <c r="K203" s="33">
        <v>0</v>
      </c>
      <c r="L203" s="33">
        <f t="shared" si="15"/>
        <v>0</v>
      </c>
      <c r="M203" s="33">
        <f t="shared" si="16"/>
        <v>-4441.3</v>
      </c>
      <c r="N203" s="12">
        <f t="shared" si="17"/>
        <v>-1</v>
      </c>
      <c r="O203" s="13" t="s">
        <v>38</v>
      </c>
      <c r="P203" s="13" t="s">
        <v>34</v>
      </c>
      <c r="Q203" s="14" t="s">
        <v>34</v>
      </c>
      <c r="R203" s="33">
        <f t="shared" si="18"/>
        <v>0</v>
      </c>
    </row>
    <row r="204" spans="1:18" s="4" customFormat="1" x14ac:dyDescent="0.3">
      <c r="A204" s="1" t="s">
        <v>60</v>
      </c>
      <c r="B204" s="3">
        <f t="shared" si="19"/>
        <v>198</v>
      </c>
      <c r="C204" s="4" t="s">
        <v>61</v>
      </c>
      <c r="D204" s="4" t="s">
        <v>35</v>
      </c>
      <c r="E204" s="111" t="s">
        <v>735</v>
      </c>
      <c r="F204" s="6" t="s">
        <v>442</v>
      </c>
      <c r="G204" s="7" t="s">
        <v>443</v>
      </c>
      <c r="H204" s="31">
        <v>394.1</v>
      </c>
      <c r="I204" s="15">
        <v>904713.61200000008</v>
      </c>
      <c r="J204" s="11" t="s">
        <v>647</v>
      </c>
      <c r="K204" s="33">
        <v>990787.64</v>
      </c>
      <c r="L204" s="33">
        <f t="shared" si="15"/>
        <v>990787.64</v>
      </c>
      <c r="M204" s="33">
        <f t="shared" si="16"/>
        <v>86074.027999999933</v>
      </c>
      <c r="N204" s="12">
        <f t="shared" si="17"/>
        <v>9.513953018759258E-2</v>
      </c>
      <c r="O204" s="13" t="s">
        <v>34</v>
      </c>
      <c r="P204" s="13" t="s">
        <v>34</v>
      </c>
      <c r="Q204" s="14" t="s">
        <v>34</v>
      </c>
      <c r="R204" s="33">
        <f t="shared" si="18"/>
        <v>990787.64</v>
      </c>
    </row>
    <row r="205" spans="1:18" s="4" customFormat="1" x14ac:dyDescent="0.3">
      <c r="A205" s="1" t="s">
        <v>60</v>
      </c>
      <c r="B205" s="3">
        <f t="shared" si="19"/>
        <v>199</v>
      </c>
      <c r="C205" s="4" t="s">
        <v>61</v>
      </c>
      <c r="D205" s="4" t="s">
        <v>64</v>
      </c>
      <c r="E205" s="111" t="s">
        <v>734</v>
      </c>
      <c r="F205" s="6" t="s">
        <v>444</v>
      </c>
      <c r="G205" s="7" t="s">
        <v>445</v>
      </c>
      <c r="H205" s="31">
        <v>394.1</v>
      </c>
      <c r="I205" s="15">
        <v>7906.85</v>
      </c>
      <c r="J205" s="11" t="s">
        <v>641</v>
      </c>
      <c r="K205" s="33">
        <v>9173.93</v>
      </c>
      <c r="L205" s="33">
        <f t="shared" si="15"/>
        <v>9173.93</v>
      </c>
      <c r="M205" s="33">
        <f t="shared" si="16"/>
        <v>1267.08</v>
      </c>
      <c r="N205" s="12">
        <f t="shared" si="17"/>
        <v>0.16025092166918556</v>
      </c>
      <c r="O205" s="13" t="s">
        <v>38</v>
      </c>
      <c r="P205" s="13" t="s">
        <v>38</v>
      </c>
      <c r="Q205" s="14" t="s">
        <v>34</v>
      </c>
      <c r="R205" s="33">
        <f t="shared" si="18"/>
        <v>9173.93</v>
      </c>
    </row>
    <row r="206" spans="1:18" s="4" customFormat="1" x14ac:dyDescent="0.3">
      <c r="A206" s="1" t="s">
        <v>60</v>
      </c>
      <c r="B206" s="3">
        <f t="shared" si="19"/>
        <v>200</v>
      </c>
      <c r="C206" s="4" t="s">
        <v>61</v>
      </c>
      <c r="D206" s="4" t="s">
        <v>35</v>
      </c>
      <c r="E206" s="111" t="s">
        <v>735</v>
      </c>
      <c r="F206" s="6" t="s">
        <v>446</v>
      </c>
      <c r="G206" s="7" t="s">
        <v>447</v>
      </c>
      <c r="H206" s="31">
        <v>376.3</v>
      </c>
      <c r="I206" s="15">
        <v>343625.52</v>
      </c>
      <c r="J206" s="11" t="s">
        <v>58</v>
      </c>
      <c r="K206" s="33">
        <v>0</v>
      </c>
      <c r="L206" s="33">
        <f t="shared" si="15"/>
        <v>0</v>
      </c>
      <c r="M206" s="33">
        <f t="shared" si="16"/>
        <v>-343625.52</v>
      </c>
      <c r="N206" s="12">
        <f t="shared" si="17"/>
        <v>-1</v>
      </c>
      <c r="O206" s="13" t="s">
        <v>38</v>
      </c>
      <c r="P206" s="13" t="s">
        <v>34</v>
      </c>
      <c r="Q206" s="14" t="s">
        <v>34</v>
      </c>
      <c r="R206" s="33">
        <f t="shared" si="18"/>
        <v>0</v>
      </c>
    </row>
    <row r="207" spans="1:18" s="4" customFormat="1" x14ac:dyDescent="0.3">
      <c r="A207" s="1" t="s">
        <v>60</v>
      </c>
      <c r="B207" s="3">
        <f t="shared" si="19"/>
        <v>201</v>
      </c>
      <c r="C207" s="4" t="s">
        <v>61</v>
      </c>
      <c r="D207" s="4" t="s">
        <v>35</v>
      </c>
      <c r="E207" s="111" t="s">
        <v>732</v>
      </c>
      <c r="F207" s="6" t="s">
        <v>448</v>
      </c>
      <c r="G207" s="7" t="s">
        <v>449</v>
      </c>
      <c r="H207" s="31">
        <v>376.2</v>
      </c>
      <c r="I207" s="15">
        <v>1634772.280938</v>
      </c>
      <c r="J207" s="11" t="s">
        <v>58</v>
      </c>
      <c r="K207" s="33">
        <v>0</v>
      </c>
      <c r="L207" s="33">
        <f t="shared" si="15"/>
        <v>0</v>
      </c>
      <c r="M207" s="33">
        <f t="shared" si="16"/>
        <v>-1634772.280938</v>
      </c>
      <c r="N207" s="12">
        <f t="shared" si="17"/>
        <v>-1</v>
      </c>
      <c r="O207" s="13" t="s">
        <v>38</v>
      </c>
      <c r="P207" s="13" t="s">
        <v>34</v>
      </c>
      <c r="Q207" s="14" t="s">
        <v>34</v>
      </c>
      <c r="R207" s="33">
        <f t="shared" si="18"/>
        <v>0</v>
      </c>
    </row>
    <row r="208" spans="1:18" s="4" customFormat="1" x14ac:dyDescent="0.3">
      <c r="A208" s="1" t="s">
        <v>60</v>
      </c>
      <c r="B208" s="3">
        <f t="shared" si="19"/>
        <v>202</v>
      </c>
      <c r="C208" s="4" t="s">
        <v>61</v>
      </c>
      <c r="D208" s="4" t="s">
        <v>64</v>
      </c>
      <c r="E208" s="111" t="s">
        <v>734</v>
      </c>
      <c r="F208" s="6" t="s">
        <v>450</v>
      </c>
      <c r="G208" s="7" t="s">
        <v>451</v>
      </c>
      <c r="H208" s="31">
        <v>394.1</v>
      </c>
      <c r="I208" s="15">
        <v>5021.5</v>
      </c>
      <c r="J208" s="11" t="s">
        <v>58</v>
      </c>
      <c r="K208" s="33">
        <v>0</v>
      </c>
      <c r="L208" s="33">
        <f t="shared" si="15"/>
        <v>0</v>
      </c>
      <c r="M208" s="33">
        <f t="shared" si="16"/>
        <v>-5021.5</v>
      </c>
      <c r="N208" s="12">
        <f t="shared" si="17"/>
        <v>-1</v>
      </c>
      <c r="O208" s="13" t="s">
        <v>38</v>
      </c>
      <c r="P208" s="13" t="s">
        <v>34</v>
      </c>
      <c r="Q208" s="14" t="s">
        <v>34</v>
      </c>
      <c r="R208" s="33">
        <f t="shared" si="18"/>
        <v>0</v>
      </c>
    </row>
    <row r="209" spans="1:18" s="4" customFormat="1" x14ac:dyDescent="0.3">
      <c r="A209" s="1" t="s">
        <v>60</v>
      </c>
      <c r="B209" s="3">
        <f t="shared" si="19"/>
        <v>203</v>
      </c>
      <c r="C209" s="4" t="s">
        <v>61</v>
      </c>
      <c r="D209" s="4" t="s">
        <v>64</v>
      </c>
      <c r="E209" s="111" t="s">
        <v>734</v>
      </c>
      <c r="F209" s="6" t="s">
        <v>452</v>
      </c>
      <c r="G209" s="7" t="s">
        <v>373</v>
      </c>
      <c r="H209" s="31">
        <v>394.1</v>
      </c>
      <c r="I209" s="15">
        <v>42682.75</v>
      </c>
      <c r="J209" s="11" t="s">
        <v>651</v>
      </c>
      <c r="K209" s="33">
        <v>36770.44</v>
      </c>
      <c r="L209" s="33">
        <f t="shared" ref="L209:L272" si="20">K209</f>
        <v>36770.44</v>
      </c>
      <c r="M209" s="33">
        <f t="shared" si="16"/>
        <v>-5912.3099999999977</v>
      </c>
      <c r="N209" s="12">
        <f t="shared" si="17"/>
        <v>-0.13851755100128266</v>
      </c>
      <c r="O209" s="13" t="s">
        <v>38</v>
      </c>
      <c r="P209" s="13" t="s">
        <v>34</v>
      </c>
      <c r="Q209" s="14" t="s">
        <v>34</v>
      </c>
      <c r="R209" s="33">
        <f t="shared" si="18"/>
        <v>36770.44</v>
      </c>
    </row>
    <row r="210" spans="1:18" s="4" customFormat="1" x14ac:dyDescent="0.3">
      <c r="A210" s="1" t="s">
        <v>60</v>
      </c>
      <c r="B210" s="3">
        <f t="shared" si="19"/>
        <v>204</v>
      </c>
      <c r="C210" s="4" t="s">
        <v>61</v>
      </c>
      <c r="D210" s="4" t="s">
        <v>35</v>
      </c>
      <c r="E210" s="111" t="s">
        <v>735</v>
      </c>
      <c r="F210" s="6" t="s">
        <v>453</v>
      </c>
      <c r="G210" s="7" t="s">
        <v>454</v>
      </c>
      <c r="H210" s="31">
        <v>377</v>
      </c>
      <c r="I210" s="15">
        <v>30290</v>
      </c>
      <c r="J210" s="11" t="s">
        <v>58</v>
      </c>
      <c r="K210" s="33">
        <v>0</v>
      </c>
      <c r="L210" s="33">
        <f t="shared" si="20"/>
        <v>0</v>
      </c>
      <c r="M210" s="33">
        <f t="shared" ref="M210:M272" si="21">SUM(K210)-I210</f>
        <v>-30290</v>
      </c>
      <c r="N210" s="12">
        <f t="shared" ref="N210:N272" si="22">IFERROR(IF(AND(I210=0,M210=0),"NA",(M210/I210)),"")</f>
        <v>-1</v>
      </c>
      <c r="O210" s="13" t="s">
        <v>38</v>
      </c>
      <c r="P210" s="13" t="s">
        <v>34</v>
      </c>
      <c r="Q210" s="14" t="s">
        <v>34</v>
      </c>
      <c r="R210" s="33">
        <f t="shared" ref="R210:R272" si="23">K210</f>
        <v>0</v>
      </c>
    </row>
    <row r="211" spans="1:18" s="4" customFormat="1" x14ac:dyDescent="0.3">
      <c r="A211" s="1" t="s">
        <v>60</v>
      </c>
      <c r="B211" s="3">
        <f t="shared" si="19"/>
        <v>205</v>
      </c>
      <c r="C211" s="4" t="s">
        <v>61</v>
      </c>
      <c r="D211" s="4" t="s">
        <v>64</v>
      </c>
      <c r="E211" s="111" t="s">
        <v>734</v>
      </c>
      <c r="F211" s="6" t="s">
        <v>455</v>
      </c>
      <c r="G211" s="7" t="s">
        <v>456</v>
      </c>
      <c r="H211" s="31">
        <v>390.1</v>
      </c>
      <c r="I211" s="15">
        <v>55236.5</v>
      </c>
      <c r="J211" s="11" t="s">
        <v>651</v>
      </c>
      <c r="K211" s="33">
        <v>42524.26</v>
      </c>
      <c r="L211" s="33">
        <f t="shared" si="20"/>
        <v>42524.26</v>
      </c>
      <c r="M211" s="33">
        <f t="shared" si="21"/>
        <v>-12712.239999999998</v>
      </c>
      <c r="N211" s="12">
        <f t="shared" si="22"/>
        <v>-0.23014202565332703</v>
      </c>
      <c r="O211" s="13" t="s">
        <v>38</v>
      </c>
      <c r="P211" s="13" t="s">
        <v>34</v>
      </c>
      <c r="Q211" s="14" t="s">
        <v>34</v>
      </c>
      <c r="R211" s="33">
        <f t="shared" si="23"/>
        <v>42524.26</v>
      </c>
    </row>
    <row r="212" spans="1:18" s="4" customFormat="1" x14ac:dyDescent="0.3">
      <c r="A212" s="1" t="s">
        <v>60</v>
      </c>
      <c r="B212" s="3">
        <f t="shared" si="19"/>
        <v>206</v>
      </c>
      <c r="C212" s="4" t="s">
        <v>61</v>
      </c>
      <c r="D212" s="4" t="s">
        <v>35</v>
      </c>
      <c r="E212" s="111" t="s">
        <v>735</v>
      </c>
      <c r="F212" s="6" t="s">
        <v>457</v>
      </c>
      <c r="G212" s="7" t="s">
        <v>458</v>
      </c>
      <c r="H212" s="31">
        <v>390.1</v>
      </c>
      <c r="I212" s="15">
        <v>155213.86869500001</v>
      </c>
      <c r="J212" s="11" t="s">
        <v>643</v>
      </c>
      <c r="K212" s="33">
        <v>37330.75</v>
      </c>
      <c r="L212" s="33">
        <f t="shared" si="20"/>
        <v>37330.75</v>
      </c>
      <c r="M212" s="33">
        <f t="shared" si="21"/>
        <v>-117883.11869500001</v>
      </c>
      <c r="N212" s="12">
        <f t="shared" si="22"/>
        <v>-0.75948830917064469</v>
      </c>
      <c r="O212" s="13" t="s">
        <v>38</v>
      </c>
      <c r="P212" s="13" t="s">
        <v>34</v>
      </c>
      <c r="Q212" s="14" t="s">
        <v>34</v>
      </c>
      <c r="R212" s="33">
        <f t="shared" si="23"/>
        <v>37330.75</v>
      </c>
    </row>
    <row r="213" spans="1:18" s="4" customFormat="1" x14ac:dyDescent="0.3">
      <c r="A213" s="1" t="s">
        <v>60</v>
      </c>
      <c r="B213" s="3">
        <f t="shared" si="19"/>
        <v>207</v>
      </c>
      <c r="C213" s="4" t="s">
        <v>61</v>
      </c>
      <c r="D213" s="4" t="s">
        <v>64</v>
      </c>
      <c r="E213" s="111" t="s">
        <v>734</v>
      </c>
      <c r="F213" s="6" t="s">
        <v>459</v>
      </c>
      <c r="G213" s="7" t="s">
        <v>460</v>
      </c>
      <c r="H213" s="31">
        <v>390.1</v>
      </c>
      <c r="I213" s="15">
        <v>9540.85</v>
      </c>
      <c r="J213" s="11" t="s">
        <v>650</v>
      </c>
      <c r="K213" s="33">
        <v>8395.51</v>
      </c>
      <c r="L213" s="33">
        <f t="shared" si="20"/>
        <v>8395.51</v>
      </c>
      <c r="M213" s="33">
        <f t="shared" si="21"/>
        <v>-1145.3400000000001</v>
      </c>
      <c r="N213" s="12">
        <f t="shared" si="22"/>
        <v>-0.12004590785936264</v>
      </c>
      <c r="O213" s="13" t="s">
        <v>38</v>
      </c>
      <c r="P213" s="13" t="s">
        <v>34</v>
      </c>
      <c r="Q213" s="14" t="s">
        <v>34</v>
      </c>
      <c r="R213" s="33">
        <f t="shared" si="23"/>
        <v>8395.51</v>
      </c>
    </row>
    <row r="214" spans="1:18" s="4" customFormat="1" x14ac:dyDescent="0.3">
      <c r="A214" s="1" t="s">
        <v>60</v>
      </c>
      <c r="B214" s="3">
        <f t="shared" si="19"/>
        <v>208</v>
      </c>
      <c r="C214" s="4" t="s">
        <v>61</v>
      </c>
      <c r="D214" s="4" t="s">
        <v>35</v>
      </c>
      <c r="E214" s="111" t="s">
        <v>735</v>
      </c>
      <c r="F214" s="6" t="s">
        <v>461</v>
      </c>
      <c r="G214" s="7" t="s">
        <v>462</v>
      </c>
      <c r="H214" s="31">
        <v>376.2</v>
      </c>
      <c r="I214" s="15">
        <v>512719.18003699998</v>
      </c>
      <c r="J214" s="11" t="s">
        <v>58</v>
      </c>
      <c r="K214" s="33">
        <v>0</v>
      </c>
      <c r="L214" s="33">
        <f t="shared" si="20"/>
        <v>0</v>
      </c>
      <c r="M214" s="33">
        <f t="shared" si="21"/>
        <v>-512719.18003699998</v>
      </c>
      <c r="N214" s="12">
        <f t="shared" si="22"/>
        <v>-1</v>
      </c>
      <c r="O214" s="13" t="s">
        <v>38</v>
      </c>
      <c r="P214" s="13" t="s">
        <v>34</v>
      </c>
      <c r="Q214" s="14" t="s">
        <v>34</v>
      </c>
      <c r="R214" s="33">
        <f t="shared" si="23"/>
        <v>0</v>
      </c>
    </row>
    <row r="215" spans="1:18" s="4" customFormat="1" x14ac:dyDescent="0.3">
      <c r="A215" s="1" t="s">
        <v>60</v>
      </c>
      <c r="B215" s="3">
        <f t="shared" si="19"/>
        <v>209</v>
      </c>
      <c r="C215" s="4" t="s">
        <v>61</v>
      </c>
      <c r="D215" s="4" t="s">
        <v>35</v>
      </c>
      <c r="E215" s="111"/>
      <c r="F215" s="6" t="s">
        <v>463</v>
      </c>
      <c r="G215" s="7" t="s">
        <v>464</v>
      </c>
      <c r="H215" s="31">
        <v>377</v>
      </c>
      <c r="I215" s="15">
        <v>-876.94</v>
      </c>
      <c r="J215" s="11" t="s">
        <v>644</v>
      </c>
      <c r="K215" s="33">
        <v>-876.94</v>
      </c>
      <c r="L215" s="33">
        <f t="shared" si="20"/>
        <v>-876.94</v>
      </c>
      <c r="M215" s="33">
        <f t="shared" si="21"/>
        <v>0</v>
      </c>
      <c r="N215" s="12">
        <f t="shared" si="22"/>
        <v>0</v>
      </c>
      <c r="O215" s="13" t="s">
        <v>34</v>
      </c>
      <c r="P215" s="13" t="s">
        <v>34</v>
      </c>
      <c r="Q215" s="14" t="s">
        <v>34</v>
      </c>
      <c r="R215" s="33">
        <f t="shared" si="23"/>
        <v>-876.94</v>
      </c>
    </row>
    <row r="216" spans="1:18" s="4" customFormat="1" x14ac:dyDescent="0.3">
      <c r="A216" s="1" t="s">
        <v>60</v>
      </c>
      <c r="B216" s="3">
        <f t="shared" si="19"/>
        <v>210</v>
      </c>
      <c r="C216" s="4" t="s">
        <v>61</v>
      </c>
      <c r="D216" s="4" t="s">
        <v>35</v>
      </c>
      <c r="E216" s="111" t="s">
        <v>735</v>
      </c>
      <c r="F216" s="6" t="s">
        <v>465</v>
      </c>
      <c r="G216" s="7" t="s">
        <v>466</v>
      </c>
      <c r="H216" s="31">
        <v>394.1</v>
      </c>
      <c r="I216" s="15">
        <v>30129</v>
      </c>
      <c r="J216" s="11" t="s">
        <v>641</v>
      </c>
      <c r="K216" s="33">
        <v>25267.040000000001</v>
      </c>
      <c r="L216" s="33">
        <f t="shared" si="20"/>
        <v>25267.040000000001</v>
      </c>
      <c r="M216" s="33">
        <f t="shared" si="21"/>
        <v>-4861.9599999999991</v>
      </c>
      <c r="N216" s="12">
        <f t="shared" si="22"/>
        <v>-0.16137143615785454</v>
      </c>
      <c r="O216" s="13" t="s">
        <v>38</v>
      </c>
      <c r="P216" s="13" t="s">
        <v>34</v>
      </c>
      <c r="Q216" s="14" t="s">
        <v>34</v>
      </c>
      <c r="R216" s="33">
        <f t="shared" si="23"/>
        <v>25267.040000000001</v>
      </c>
    </row>
    <row r="217" spans="1:18" s="4" customFormat="1" x14ac:dyDescent="0.3">
      <c r="A217" s="1" t="s">
        <v>60</v>
      </c>
      <c r="B217" s="3">
        <f t="shared" si="19"/>
        <v>211</v>
      </c>
      <c r="C217" s="4" t="s">
        <v>61</v>
      </c>
      <c r="D217" s="4" t="s">
        <v>35</v>
      </c>
      <c r="E217" s="111" t="s">
        <v>735</v>
      </c>
      <c r="F217" s="6" t="s">
        <v>467</v>
      </c>
      <c r="G217" s="7" t="s">
        <v>468</v>
      </c>
      <c r="H217" s="31">
        <v>394.1</v>
      </c>
      <c r="I217" s="15">
        <v>30129</v>
      </c>
      <c r="J217" s="11" t="s">
        <v>641</v>
      </c>
      <c r="K217" s="33">
        <v>25382.78</v>
      </c>
      <c r="L217" s="33">
        <f t="shared" si="20"/>
        <v>25382.78</v>
      </c>
      <c r="M217" s="33">
        <f t="shared" si="21"/>
        <v>-4746.2200000000012</v>
      </c>
      <c r="N217" s="12">
        <f t="shared" si="22"/>
        <v>-0.15752995452885929</v>
      </c>
      <c r="O217" s="13" t="s">
        <v>38</v>
      </c>
      <c r="P217" s="13" t="s">
        <v>34</v>
      </c>
      <c r="Q217" s="14" t="s">
        <v>34</v>
      </c>
      <c r="R217" s="33">
        <f t="shared" si="23"/>
        <v>25382.78</v>
      </c>
    </row>
    <row r="218" spans="1:18" s="4" customFormat="1" x14ac:dyDescent="0.3">
      <c r="A218" s="1" t="s">
        <v>60</v>
      </c>
      <c r="B218" s="3">
        <f t="shared" si="19"/>
        <v>212</v>
      </c>
      <c r="C218" s="4" t="s">
        <v>61</v>
      </c>
      <c r="D218" s="4" t="s">
        <v>35</v>
      </c>
      <c r="E218" s="111" t="s">
        <v>735</v>
      </c>
      <c r="F218" s="6" t="s">
        <v>469</v>
      </c>
      <c r="G218" s="7" t="s">
        <v>470</v>
      </c>
      <c r="H218" s="31">
        <v>376.2</v>
      </c>
      <c r="I218" s="15">
        <v>76795.741768000007</v>
      </c>
      <c r="J218" s="11" t="s">
        <v>647</v>
      </c>
      <c r="K218" s="33">
        <v>927624.82000000007</v>
      </c>
      <c r="L218" s="33">
        <f t="shared" si="20"/>
        <v>927624.82000000007</v>
      </c>
      <c r="M218" s="33">
        <f t="shared" si="21"/>
        <v>850829.07823200012</v>
      </c>
      <c r="N218" s="12">
        <f t="shared" si="22"/>
        <v>11.079117912583687</v>
      </c>
      <c r="O218" s="13" t="s">
        <v>38</v>
      </c>
      <c r="P218" s="13" t="s">
        <v>38</v>
      </c>
      <c r="Q218" s="14" t="s">
        <v>34</v>
      </c>
      <c r="R218" s="33">
        <f t="shared" si="23"/>
        <v>927624.82000000007</v>
      </c>
    </row>
    <row r="219" spans="1:18" s="4" customFormat="1" x14ac:dyDescent="0.3">
      <c r="A219" s="1" t="s">
        <v>60</v>
      </c>
      <c r="B219" s="3">
        <f t="shared" si="19"/>
        <v>213</v>
      </c>
      <c r="C219" s="4" t="s">
        <v>61</v>
      </c>
      <c r="D219" s="4" t="s">
        <v>35</v>
      </c>
      <c r="E219" s="111" t="s">
        <v>735</v>
      </c>
      <c r="F219" s="6" t="s">
        <v>471</v>
      </c>
      <c r="G219" s="7" t="s">
        <v>472</v>
      </c>
      <c r="H219" s="31">
        <v>379</v>
      </c>
      <c r="I219" s="15">
        <v>4024.9238160000004</v>
      </c>
      <c r="J219" s="11" t="s">
        <v>649</v>
      </c>
      <c r="K219" s="33">
        <v>5142.51</v>
      </c>
      <c r="L219" s="33">
        <f t="shared" si="20"/>
        <v>5142.51</v>
      </c>
      <c r="M219" s="33">
        <f t="shared" si="21"/>
        <v>1117.5861839999998</v>
      </c>
      <c r="N219" s="12">
        <f t="shared" si="22"/>
        <v>0.27766641931391023</v>
      </c>
      <c r="O219" s="13" t="s">
        <v>38</v>
      </c>
      <c r="P219" s="13" t="s">
        <v>38</v>
      </c>
      <c r="Q219" s="14" t="s">
        <v>34</v>
      </c>
      <c r="R219" s="33">
        <f t="shared" si="23"/>
        <v>5142.51</v>
      </c>
    </row>
    <row r="220" spans="1:18" s="4" customFormat="1" x14ac:dyDescent="0.3">
      <c r="A220" s="1" t="s">
        <v>60</v>
      </c>
      <c r="B220" s="3">
        <f t="shared" si="19"/>
        <v>214</v>
      </c>
      <c r="C220" s="4" t="s">
        <v>61</v>
      </c>
      <c r="D220" s="4" t="s">
        <v>35</v>
      </c>
      <c r="E220" s="111" t="s">
        <v>735</v>
      </c>
      <c r="F220" s="6" t="s">
        <v>473</v>
      </c>
      <c r="G220" s="7" t="s">
        <v>474</v>
      </c>
      <c r="H220" s="31">
        <v>378</v>
      </c>
      <c r="I220" s="15">
        <v>53708.996095999995</v>
      </c>
      <c r="J220" s="11" t="s">
        <v>647</v>
      </c>
      <c r="K220" s="33">
        <v>190439.75</v>
      </c>
      <c r="L220" s="33">
        <f t="shared" si="20"/>
        <v>190439.75</v>
      </c>
      <c r="M220" s="33">
        <f t="shared" si="21"/>
        <v>136730.75390400001</v>
      </c>
      <c r="N220" s="12">
        <f t="shared" si="22"/>
        <v>2.5457700542308799</v>
      </c>
      <c r="O220" s="13" t="s">
        <v>38</v>
      </c>
      <c r="P220" s="13" t="s">
        <v>38</v>
      </c>
      <c r="Q220" s="14" t="s">
        <v>34</v>
      </c>
      <c r="R220" s="33">
        <f t="shared" si="23"/>
        <v>190439.75</v>
      </c>
    </row>
    <row r="221" spans="1:18" s="4" customFormat="1" x14ac:dyDescent="0.3">
      <c r="A221" s="1" t="s">
        <v>60</v>
      </c>
      <c r="B221" s="3">
        <f t="shared" si="19"/>
        <v>215</v>
      </c>
      <c r="C221" s="4" t="s">
        <v>61</v>
      </c>
      <c r="D221" s="4" t="s">
        <v>35</v>
      </c>
      <c r="E221" s="111" t="s">
        <v>735</v>
      </c>
      <c r="F221" s="6" t="s">
        <v>475</v>
      </c>
      <c r="G221" s="7" t="s">
        <v>476</v>
      </c>
      <c r="H221" s="31">
        <v>379</v>
      </c>
      <c r="I221" s="15">
        <v>3930.4877160000005</v>
      </c>
      <c r="J221" s="11" t="s">
        <v>649</v>
      </c>
      <c r="K221" s="33">
        <v>5143.67</v>
      </c>
      <c r="L221" s="33">
        <f t="shared" si="20"/>
        <v>5143.67</v>
      </c>
      <c r="M221" s="33">
        <f t="shared" si="21"/>
        <v>1213.1822839999995</v>
      </c>
      <c r="N221" s="12">
        <f t="shared" si="22"/>
        <v>0.3086594773115427</v>
      </c>
      <c r="O221" s="13" t="s">
        <v>38</v>
      </c>
      <c r="P221" s="13" t="s">
        <v>38</v>
      </c>
      <c r="Q221" s="14" t="s">
        <v>34</v>
      </c>
      <c r="R221" s="33">
        <f t="shared" si="23"/>
        <v>5143.67</v>
      </c>
    </row>
    <row r="222" spans="1:18" s="4" customFormat="1" x14ac:dyDescent="0.3">
      <c r="A222" s="1" t="s">
        <v>60</v>
      </c>
      <c r="B222" s="3">
        <f t="shared" si="19"/>
        <v>216</v>
      </c>
      <c r="C222" s="4" t="s">
        <v>61</v>
      </c>
      <c r="D222" s="4" t="s">
        <v>35</v>
      </c>
      <c r="E222" s="111" t="s">
        <v>735</v>
      </c>
      <c r="F222" s="6" t="s">
        <v>477</v>
      </c>
      <c r="G222" s="7" t="s">
        <v>478</v>
      </c>
      <c r="H222" s="31">
        <v>379</v>
      </c>
      <c r="I222" s="15">
        <v>4024.9238160000004</v>
      </c>
      <c r="J222" s="11" t="s">
        <v>649</v>
      </c>
      <c r="K222" s="33">
        <v>5135.6100000000006</v>
      </c>
      <c r="L222" s="33">
        <f t="shared" si="20"/>
        <v>5135.6100000000006</v>
      </c>
      <c r="M222" s="33">
        <f t="shared" si="21"/>
        <v>1110.6861840000001</v>
      </c>
      <c r="N222" s="12">
        <f t="shared" si="22"/>
        <v>0.27595210115152152</v>
      </c>
      <c r="O222" s="13" t="s">
        <v>38</v>
      </c>
      <c r="P222" s="13" t="s">
        <v>38</v>
      </c>
      <c r="Q222" s="14" t="s">
        <v>34</v>
      </c>
      <c r="R222" s="33">
        <f t="shared" si="23"/>
        <v>5135.6100000000006</v>
      </c>
    </row>
    <row r="223" spans="1:18" s="4" customFormat="1" x14ac:dyDescent="0.3">
      <c r="A223" s="1" t="s">
        <v>60</v>
      </c>
      <c r="B223" s="3">
        <f t="shared" si="19"/>
        <v>217</v>
      </c>
      <c r="C223" s="4" t="s">
        <v>61</v>
      </c>
      <c r="D223" s="4" t="s">
        <v>35</v>
      </c>
      <c r="E223" s="111" t="s">
        <v>735</v>
      </c>
      <c r="F223" s="6" t="s">
        <v>479</v>
      </c>
      <c r="G223" s="7" t="s">
        <v>480</v>
      </c>
      <c r="H223" s="31">
        <v>379</v>
      </c>
      <c r="I223" s="15">
        <v>4024.9238160000004</v>
      </c>
      <c r="J223" s="11" t="s">
        <v>58</v>
      </c>
      <c r="K223" s="33">
        <v>0</v>
      </c>
      <c r="L223" s="33">
        <f t="shared" si="20"/>
        <v>0</v>
      </c>
      <c r="M223" s="33">
        <f t="shared" si="21"/>
        <v>-4024.9238160000004</v>
      </c>
      <c r="N223" s="12">
        <f t="shared" si="22"/>
        <v>-1</v>
      </c>
      <c r="O223" s="13" t="s">
        <v>38</v>
      </c>
      <c r="P223" s="13" t="s">
        <v>34</v>
      </c>
      <c r="Q223" s="14" t="s">
        <v>34</v>
      </c>
      <c r="R223" s="33">
        <f t="shared" si="23"/>
        <v>0</v>
      </c>
    </row>
    <row r="224" spans="1:18" s="4" customFormat="1" x14ac:dyDescent="0.3">
      <c r="A224" s="1" t="s">
        <v>60</v>
      </c>
      <c r="B224" s="3">
        <f t="shared" si="19"/>
        <v>218</v>
      </c>
      <c r="C224" s="4" t="s">
        <v>61</v>
      </c>
      <c r="D224" s="4" t="s">
        <v>35</v>
      </c>
      <c r="E224" s="111" t="s">
        <v>735</v>
      </c>
      <c r="F224" s="6" t="s">
        <v>481</v>
      </c>
      <c r="G224" s="7" t="s">
        <v>482</v>
      </c>
      <c r="H224" s="31">
        <v>379</v>
      </c>
      <c r="I224" s="15">
        <v>4024.9238160000004</v>
      </c>
      <c r="J224" s="11" t="s">
        <v>651</v>
      </c>
      <c r="K224" s="33">
        <v>5162.51</v>
      </c>
      <c r="L224" s="33">
        <f t="shared" si="20"/>
        <v>5162.51</v>
      </c>
      <c r="M224" s="33">
        <f t="shared" si="21"/>
        <v>1137.5861839999998</v>
      </c>
      <c r="N224" s="12">
        <f t="shared" si="22"/>
        <v>0.2826354574657618</v>
      </c>
      <c r="O224" s="13" t="s">
        <v>38</v>
      </c>
      <c r="P224" s="13" t="s">
        <v>38</v>
      </c>
      <c r="Q224" s="14" t="s">
        <v>34</v>
      </c>
      <c r="R224" s="33">
        <f t="shared" si="23"/>
        <v>5162.51</v>
      </c>
    </row>
    <row r="225" spans="1:18" s="4" customFormat="1" x14ac:dyDescent="0.3">
      <c r="A225" s="1" t="s">
        <v>60</v>
      </c>
      <c r="B225" s="3">
        <f t="shared" si="19"/>
        <v>219</v>
      </c>
      <c r="C225" s="4" t="s">
        <v>61</v>
      </c>
      <c r="D225" s="4" t="s">
        <v>35</v>
      </c>
      <c r="E225" s="111" t="s">
        <v>735</v>
      </c>
      <c r="F225" s="6" t="s">
        <v>483</v>
      </c>
      <c r="G225" s="7" t="s">
        <v>484</v>
      </c>
      <c r="H225" s="31">
        <v>379</v>
      </c>
      <c r="I225" s="15">
        <v>4024.9238160000004</v>
      </c>
      <c r="J225" s="11" t="s">
        <v>648</v>
      </c>
      <c r="K225" s="33">
        <v>4686.5300000000007</v>
      </c>
      <c r="L225" s="33">
        <f t="shared" si="20"/>
        <v>4686.5300000000007</v>
      </c>
      <c r="M225" s="33">
        <f t="shared" si="21"/>
        <v>661.60618400000021</v>
      </c>
      <c r="N225" s="12">
        <f t="shared" si="22"/>
        <v>0.16437731848984646</v>
      </c>
      <c r="O225" s="13" t="s">
        <v>38</v>
      </c>
      <c r="P225" s="13" t="s">
        <v>38</v>
      </c>
      <c r="Q225" s="14" t="s">
        <v>34</v>
      </c>
      <c r="R225" s="33">
        <f t="shared" si="23"/>
        <v>4686.5300000000007</v>
      </c>
    </row>
    <row r="226" spans="1:18" s="4" customFormat="1" x14ac:dyDescent="0.3">
      <c r="A226" s="1" t="s">
        <v>60</v>
      </c>
      <c r="B226" s="3">
        <f t="shared" si="19"/>
        <v>220</v>
      </c>
      <c r="C226" s="4" t="s">
        <v>61</v>
      </c>
      <c r="D226" s="4" t="s">
        <v>35</v>
      </c>
      <c r="E226" s="111" t="s">
        <v>735</v>
      </c>
      <c r="F226" s="6" t="s">
        <v>485</v>
      </c>
      <c r="G226" s="7" t="s">
        <v>486</v>
      </c>
      <c r="H226" s="31">
        <v>379</v>
      </c>
      <c r="I226" s="15">
        <v>4024.9238160000004</v>
      </c>
      <c r="J226" s="11" t="s">
        <v>58</v>
      </c>
      <c r="K226" s="33">
        <v>0</v>
      </c>
      <c r="L226" s="33">
        <f t="shared" si="20"/>
        <v>0</v>
      </c>
      <c r="M226" s="33">
        <f t="shared" si="21"/>
        <v>-4024.9238160000004</v>
      </c>
      <c r="N226" s="12">
        <f t="shared" si="22"/>
        <v>-1</v>
      </c>
      <c r="O226" s="13" t="s">
        <v>38</v>
      </c>
      <c r="P226" s="13" t="s">
        <v>34</v>
      </c>
      <c r="Q226" s="14" t="s">
        <v>34</v>
      </c>
      <c r="R226" s="33">
        <f t="shared" si="23"/>
        <v>0</v>
      </c>
    </row>
    <row r="227" spans="1:18" s="4" customFormat="1" x14ac:dyDescent="0.3">
      <c r="A227" s="1" t="s">
        <v>60</v>
      </c>
      <c r="B227" s="3">
        <f t="shared" si="19"/>
        <v>221</v>
      </c>
      <c r="C227" s="4" t="s">
        <v>61</v>
      </c>
      <c r="D227" s="4" t="s">
        <v>35</v>
      </c>
      <c r="E227" s="111" t="s">
        <v>735</v>
      </c>
      <c r="F227" s="6" t="s">
        <v>487</v>
      </c>
      <c r="G227" s="7" t="s">
        <v>488</v>
      </c>
      <c r="H227" s="31">
        <v>379</v>
      </c>
      <c r="I227" s="15">
        <v>4024.9238160000004</v>
      </c>
      <c r="J227" s="11" t="s">
        <v>642</v>
      </c>
      <c r="K227" s="33">
        <v>5344.41</v>
      </c>
      <c r="L227" s="33">
        <f t="shared" si="20"/>
        <v>5344.41</v>
      </c>
      <c r="M227" s="33">
        <f t="shared" si="21"/>
        <v>1319.4861839999994</v>
      </c>
      <c r="N227" s="12">
        <f t="shared" si="22"/>
        <v>0.3278288594568517</v>
      </c>
      <c r="O227" s="13" t="s">
        <v>38</v>
      </c>
      <c r="P227" s="13" t="s">
        <v>38</v>
      </c>
      <c r="Q227" s="14" t="s">
        <v>34</v>
      </c>
      <c r="R227" s="33">
        <f t="shared" si="23"/>
        <v>5344.41</v>
      </c>
    </row>
    <row r="228" spans="1:18" s="4" customFormat="1" x14ac:dyDescent="0.3">
      <c r="A228" s="1" t="s">
        <v>60</v>
      </c>
      <c r="B228" s="3">
        <f t="shared" si="19"/>
        <v>222</v>
      </c>
      <c r="C228" s="4" t="s">
        <v>61</v>
      </c>
      <c r="D228" s="4" t="s">
        <v>35</v>
      </c>
      <c r="E228" s="111" t="s">
        <v>735</v>
      </c>
      <c r="F228" s="6" t="s">
        <v>489</v>
      </c>
      <c r="G228" s="7" t="s">
        <v>490</v>
      </c>
      <c r="H228" s="31">
        <v>379</v>
      </c>
      <c r="I228" s="15">
        <v>4024.9238160000004</v>
      </c>
      <c r="J228" s="11" t="s">
        <v>58</v>
      </c>
      <c r="K228" s="33">
        <v>0</v>
      </c>
      <c r="L228" s="33">
        <f t="shared" si="20"/>
        <v>0</v>
      </c>
      <c r="M228" s="33">
        <f t="shared" si="21"/>
        <v>-4024.9238160000004</v>
      </c>
      <c r="N228" s="12">
        <f t="shared" si="22"/>
        <v>-1</v>
      </c>
      <c r="O228" s="13" t="s">
        <v>38</v>
      </c>
      <c r="P228" s="13" t="s">
        <v>34</v>
      </c>
      <c r="Q228" s="14" t="s">
        <v>34</v>
      </c>
      <c r="R228" s="33">
        <f t="shared" si="23"/>
        <v>0</v>
      </c>
    </row>
    <row r="229" spans="1:18" s="4" customFormat="1" x14ac:dyDescent="0.3">
      <c r="A229" s="1" t="s">
        <v>60</v>
      </c>
      <c r="B229" s="3">
        <f t="shared" si="19"/>
        <v>223</v>
      </c>
      <c r="C229" s="4" t="s">
        <v>61</v>
      </c>
      <c r="D229" s="4" t="s">
        <v>35</v>
      </c>
      <c r="E229" s="111" t="s">
        <v>735</v>
      </c>
      <c r="F229" s="6" t="s">
        <v>491</v>
      </c>
      <c r="G229" s="7" t="s">
        <v>492</v>
      </c>
      <c r="H229" s="31">
        <v>379</v>
      </c>
      <c r="I229" s="15">
        <v>4024.9238160000004</v>
      </c>
      <c r="J229" s="11" t="s">
        <v>648</v>
      </c>
      <c r="K229" s="33">
        <v>5357.7</v>
      </c>
      <c r="L229" s="33">
        <f t="shared" si="20"/>
        <v>5357.7</v>
      </c>
      <c r="M229" s="33">
        <f t="shared" si="21"/>
        <v>1332.7761839999994</v>
      </c>
      <c r="N229" s="12">
        <f t="shared" si="22"/>
        <v>0.33113078530875706</v>
      </c>
      <c r="O229" s="13" t="s">
        <v>38</v>
      </c>
      <c r="P229" s="13" t="s">
        <v>38</v>
      </c>
      <c r="Q229" s="14" t="s">
        <v>34</v>
      </c>
      <c r="R229" s="33">
        <f t="shared" si="23"/>
        <v>5357.7</v>
      </c>
    </row>
    <row r="230" spans="1:18" s="4" customFormat="1" x14ac:dyDescent="0.3">
      <c r="A230" s="1" t="s">
        <v>60</v>
      </c>
      <c r="B230" s="3">
        <f t="shared" si="19"/>
        <v>224</v>
      </c>
      <c r="C230" s="4" t="s">
        <v>61</v>
      </c>
      <c r="D230" s="4" t="s">
        <v>35</v>
      </c>
      <c r="E230" s="111" t="s">
        <v>735</v>
      </c>
      <c r="F230" s="6" t="s">
        <v>493</v>
      </c>
      <c r="G230" s="7" t="s">
        <v>494</v>
      </c>
      <c r="H230" s="31">
        <v>379</v>
      </c>
      <c r="I230" s="15">
        <v>4024.9238160000004</v>
      </c>
      <c r="J230" s="11" t="s">
        <v>58</v>
      </c>
      <c r="K230" s="33">
        <v>0</v>
      </c>
      <c r="L230" s="33">
        <f t="shared" si="20"/>
        <v>0</v>
      </c>
      <c r="M230" s="33">
        <f t="shared" si="21"/>
        <v>-4024.9238160000004</v>
      </c>
      <c r="N230" s="12">
        <f t="shared" si="22"/>
        <v>-1</v>
      </c>
      <c r="O230" s="13" t="s">
        <v>38</v>
      </c>
      <c r="P230" s="13" t="s">
        <v>34</v>
      </c>
      <c r="Q230" s="14" t="s">
        <v>34</v>
      </c>
      <c r="R230" s="33">
        <f t="shared" si="23"/>
        <v>0</v>
      </c>
    </row>
    <row r="231" spans="1:18" s="4" customFormat="1" x14ac:dyDescent="0.3">
      <c r="A231" s="1" t="s">
        <v>60</v>
      </c>
      <c r="B231" s="3">
        <f t="shared" si="19"/>
        <v>225</v>
      </c>
      <c r="C231" s="4" t="s">
        <v>61</v>
      </c>
      <c r="D231" s="4" t="s">
        <v>64</v>
      </c>
      <c r="E231" s="111" t="s">
        <v>734</v>
      </c>
      <c r="F231" s="6" t="s">
        <v>495</v>
      </c>
      <c r="G231" s="7" t="s">
        <v>496</v>
      </c>
      <c r="H231" s="31">
        <v>390.1</v>
      </c>
      <c r="I231" s="15">
        <v>150645</v>
      </c>
      <c r="J231" s="11" t="s">
        <v>647</v>
      </c>
      <c r="K231" s="33">
        <v>77660.7</v>
      </c>
      <c r="L231" s="33">
        <f t="shared" si="20"/>
        <v>77660.7</v>
      </c>
      <c r="M231" s="33">
        <f t="shared" si="21"/>
        <v>-72984.3</v>
      </c>
      <c r="N231" s="12">
        <f t="shared" si="22"/>
        <v>-0.4844787414119287</v>
      </c>
      <c r="O231" s="13" t="s">
        <v>38</v>
      </c>
      <c r="P231" s="13" t="s">
        <v>34</v>
      </c>
      <c r="Q231" s="14" t="s">
        <v>34</v>
      </c>
      <c r="R231" s="33">
        <f t="shared" si="23"/>
        <v>77660.7</v>
      </c>
    </row>
    <row r="232" spans="1:18" s="4" customFormat="1" x14ac:dyDescent="0.3">
      <c r="A232" s="1" t="s">
        <v>60</v>
      </c>
      <c r="B232" s="3">
        <f t="shared" si="19"/>
        <v>226</v>
      </c>
      <c r="C232" s="4" t="s">
        <v>61</v>
      </c>
      <c r="D232" s="4" t="s">
        <v>64</v>
      </c>
      <c r="E232" s="111"/>
      <c r="F232" s="6" t="s">
        <v>497</v>
      </c>
      <c r="G232" s="7" t="s">
        <v>498</v>
      </c>
      <c r="H232" s="31">
        <v>376</v>
      </c>
      <c r="I232" s="15">
        <v>-3236.42</v>
      </c>
      <c r="J232" s="11" t="s">
        <v>646</v>
      </c>
      <c r="K232" s="33">
        <v>-3236.42</v>
      </c>
      <c r="L232" s="33">
        <f t="shared" si="20"/>
        <v>-3236.42</v>
      </c>
      <c r="M232" s="33">
        <f t="shared" si="21"/>
        <v>0</v>
      </c>
      <c r="N232" s="12">
        <f t="shared" si="22"/>
        <v>0</v>
      </c>
      <c r="O232" s="13" t="s">
        <v>34</v>
      </c>
      <c r="P232" s="13" t="s">
        <v>34</v>
      </c>
      <c r="Q232" s="14" t="s">
        <v>34</v>
      </c>
      <c r="R232" s="33">
        <f t="shared" si="23"/>
        <v>-3236.42</v>
      </c>
    </row>
    <row r="233" spans="1:18" s="4" customFormat="1" x14ac:dyDescent="0.3">
      <c r="A233" s="1" t="s">
        <v>60</v>
      </c>
      <c r="B233" s="3">
        <f t="shared" si="19"/>
        <v>227</v>
      </c>
      <c r="C233" s="4" t="s">
        <v>61</v>
      </c>
      <c r="D233" s="4" t="s">
        <v>35</v>
      </c>
      <c r="E233" s="111"/>
      <c r="F233" s="6" t="s">
        <v>499</v>
      </c>
      <c r="G233" s="7" t="s">
        <v>500</v>
      </c>
      <c r="H233" s="31">
        <v>378</v>
      </c>
      <c r="I233" s="15">
        <v>8935.9000000000015</v>
      </c>
      <c r="J233" s="11" t="s">
        <v>646</v>
      </c>
      <c r="K233" s="33">
        <v>8961.5800000000017</v>
      </c>
      <c r="L233" s="33">
        <f t="shared" si="20"/>
        <v>8961.5800000000017</v>
      </c>
      <c r="M233" s="33">
        <f t="shared" si="21"/>
        <v>25.680000000000291</v>
      </c>
      <c r="N233" s="12">
        <f t="shared" si="22"/>
        <v>2.8738011839882145E-3</v>
      </c>
      <c r="O233" s="13" t="s">
        <v>34</v>
      </c>
      <c r="P233" s="13" t="s">
        <v>34</v>
      </c>
      <c r="Q233" s="14" t="s">
        <v>34</v>
      </c>
      <c r="R233" s="33">
        <f t="shared" si="23"/>
        <v>8961.5800000000017</v>
      </c>
    </row>
    <row r="234" spans="1:18" s="4" customFormat="1" x14ac:dyDescent="0.3">
      <c r="A234" s="1" t="s">
        <v>60</v>
      </c>
      <c r="B234" s="3">
        <f t="shared" si="19"/>
        <v>228</v>
      </c>
      <c r="C234" s="4" t="s">
        <v>61</v>
      </c>
      <c r="D234" s="4" t="s">
        <v>35</v>
      </c>
      <c r="E234" s="111" t="s">
        <v>732</v>
      </c>
      <c r="F234" s="6" t="s">
        <v>501</v>
      </c>
      <c r="G234" s="7" t="s">
        <v>502</v>
      </c>
      <c r="H234" s="31">
        <v>376.1</v>
      </c>
      <c r="I234" s="15">
        <v>1001332.753812</v>
      </c>
      <c r="J234" s="11" t="s">
        <v>58</v>
      </c>
      <c r="K234" s="33">
        <v>0</v>
      </c>
      <c r="L234" s="33">
        <f t="shared" si="20"/>
        <v>0</v>
      </c>
      <c r="M234" s="33">
        <f t="shared" si="21"/>
        <v>-1001332.753812</v>
      </c>
      <c r="N234" s="12">
        <f t="shared" si="22"/>
        <v>-1</v>
      </c>
      <c r="O234" s="13" t="s">
        <v>38</v>
      </c>
      <c r="P234" s="13" t="s">
        <v>34</v>
      </c>
      <c r="Q234" s="14" t="s">
        <v>34</v>
      </c>
      <c r="R234" s="33">
        <f t="shared" si="23"/>
        <v>0</v>
      </c>
    </row>
    <row r="235" spans="1:18" s="4" customFormat="1" x14ac:dyDescent="0.3">
      <c r="A235" s="1" t="s">
        <v>60</v>
      </c>
      <c r="B235" s="3">
        <f t="shared" si="19"/>
        <v>229</v>
      </c>
      <c r="C235" s="4" t="s">
        <v>61</v>
      </c>
      <c r="D235" s="4" t="s">
        <v>64</v>
      </c>
      <c r="E235" s="111" t="s">
        <v>734</v>
      </c>
      <c r="F235" s="6" t="s">
        <v>503</v>
      </c>
      <c r="G235" s="7" t="s">
        <v>504</v>
      </c>
      <c r="H235" s="31">
        <v>397.1</v>
      </c>
      <c r="I235" s="15">
        <v>3741.15</v>
      </c>
      <c r="J235" s="11" t="s">
        <v>646</v>
      </c>
      <c r="K235" s="33">
        <v>4598.59</v>
      </c>
      <c r="L235" s="33">
        <f t="shared" si="20"/>
        <v>4598.59</v>
      </c>
      <c r="M235" s="33">
        <f t="shared" si="21"/>
        <v>857.44</v>
      </c>
      <c r="N235" s="12">
        <f t="shared" si="22"/>
        <v>0.22919155874530558</v>
      </c>
      <c r="O235" s="13" t="s">
        <v>38</v>
      </c>
      <c r="P235" s="13" t="s">
        <v>38</v>
      </c>
      <c r="Q235" s="14" t="s">
        <v>34</v>
      </c>
      <c r="R235" s="33">
        <f t="shared" si="23"/>
        <v>4598.59</v>
      </c>
    </row>
    <row r="236" spans="1:18" s="4" customFormat="1" x14ac:dyDescent="0.3">
      <c r="A236" s="1" t="s">
        <v>60</v>
      </c>
      <c r="B236" s="3">
        <f t="shared" si="19"/>
        <v>230</v>
      </c>
      <c r="C236" s="4" t="s">
        <v>61</v>
      </c>
      <c r="D236" s="4" t="s">
        <v>64</v>
      </c>
      <c r="E236" s="111"/>
      <c r="F236" s="6" t="s">
        <v>505</v>
      </c>
      <c r="G236" s="7" t="s">
        <v>506</v>
      </c>
      <c r="H236" s="31">
        <v>394</v>
      </c>
      <c r="I236" s="15">
        <v>-90.62</v>
      </c>
      <c r="J236" s="11" t="s">
        <v>646</v>
      </c>
      <c r="K236" s="33">
        <v>-90.62</v>
      </c>
      <c r="L236" s="33">
        <f t="shared" si="20"/>
        <v>-90.62</v>
      </c>
      <c r="M236" s="33">
        <f t="shared" si="21"/>
        <v>0</v>
      </c>
      <c r="N236" s="12">
        <f t="shared" si="22"/>
        <v>0</v>
      </c>
      <c r="O236" s="13" t="s">
        <v>34</v>
      </c>
      <c r="P236" s="13" t="s">
        <v>34</v>
      </c>
      <c r="Q236" s="14" t="s">
        <v>34</v>
      </c>
      <c r="R236" s="33">
        <f t="shared" si="23"/>
        <v>-90.62</v>
      </c>
    </row>
    <row r="237" spans="1:18" s="4" customFormat="1" x14ac:dyDescent="0.3">
      <c r="A237" s="1" t="s">
        <v>60</v>
      </c>
      <c r="B237" s="3">
        <f t="shared" si="19"/>
        <v>231</v>
      </c>
      <c r="C237" s="4" t="s">
        <v>61</v>
      </c>
      <c r="D237" s="4" t="s">
        <v>64</v>
      </c>
      <c r="E237" s="111" t="s">
        <v>734</v>
      </c>
      <c r="F237" s="6" t="s">
        <v>507</v>
      </c>
      <c r="G237" s="7" t="s">
        <v>508</v>
      </c>
      <c r="H237" s="31">
        <v>391.3</v>
      </c>
      <c r="I237" s="15">
        <v>13227.237818814603</v>
      </c>
      <c r="J237" s="11" t="s">
        <v>642</v>
      </c>
      <c r="K237" s="33">
        <v>13699.07</v>
      </c>
      <c r="L237" s="33">
        <f t="shared" si="20"/>
        <v>13699.07</v>
      </c>
      <c r="M237" s="33">
        <f t="shared" si="21"/>
        <v>471.83218118539662</v>
      </c>
      <c r="N237" s="12">
        <f t="shared" si="22"/>
        <v>3.5671255605176776E-2</v>
      </c>
      <c r="O237" s="13" t="s">
        <v>34</v>
      </c>
      <c r="P237" s="13" t="s">
        <v>34</v>
      </c>
      <c r="Q237" s="14" t="s">
        <v>34</v>
      </c>
      <c r="R237" s="33">
        <f t="shared" si="23"/>
        <v>13699.07</v>
      </c>
    </row>
    <row r="238" spans="1:18" s="4" customFormat="1" x14ac:dyDescent="0.3">
      <c r="A238" s="1" t="s">
        <v>60</v>
      </c>
      <c r="B238" s="3">
        <f t="shared" si="19"/>
        <v>232</v>
      </c>
      <c r="C238" s="4" t="s">
        <v>61</v>
      </c>
      <c r="D238" s="4" t="s">
        <v>35</v>
      </c>
      <c r="E238" s="111" t="s">
        <v>735</v>
      </c>
      <c r="F238" s="6" t="s">
        <v>509</v>
      </c>
      <c r="G238" s="7" t="s">
        <v>510</v>
      </c>
      <c r="H238" s="31">
        <v>376.1</v>
      </c>
      <c r="I238" s="15">
        <v>754871.91</v>
      </c>
      <c r="J238" s="11" t="s">
        <v>647</v>
      </c>
      <c r="K238" s="33">
        <v>1134532.93</v>
      </c>
      <c r="L238" s="33">
        <f t="shared" si="20"/>
        <v>1134532.93</v>
      </c>
      <c r="M238" s="33">
        <f t="shared" si="21"/>
        <v>379661.0199999999</v>
      </c>
      <c r="N238" s="12">
        <f t="shared" si="22"/>
        <v>0.50294760603822164</v>
      </c>
      <c r="O238" s="13" t="s">
        <v>38</v>
      </c>
      <c r="P238" s="13" t="s">
        <v>38</v>
      </c>
      <c r="Q238" s="14" t="s">
        <v>34</v>
      </c>
      <c r="R238" s="33">
        <f t="shared" si="23"/>
        <v>1134532.93</v>
      </c>
    </row>
    <row r="239" spans="1:18" s="4" customFormat="1" x14ac:dyDescent="0.3">
      <c r="A239" s="1" t="s">
        <v>60</v>
      </c>
      <c r="B239" s="3">
        <f t="shared" si="19"/>
        <v>233</v>
      </c>
      <c r="C239" s="4" t="s">
        <v>61</v>
      </c>
      <c r="D239" s="4" t="s">
        <v>35</v>
      </c>
      <c r="E239" s="111" t="s">
        <v>735</v>
      </c>
      <c r="F239" s="6" t="s">
        <v>511</v>
      </c>
      <c r="G239" s="7" t="s">
        <v>512</v>
      </c>
      <c r="H239" s="31">
        <v>378</v>
      </c>
      <c r="I239" s="15">
        <v>98907.725646999999</v>
      </c>
      <c r="J239" s="11" t="s">
        <v>642</v>
      </c>
      <c r="K239" s="33">
        <v>157517.77000000002</v>
      </c>
      <c r="L239" s="33">
        <f t="shared" si="20"/>
        <v>157517.77000000002</v>
      </c>
      <c r="M239" s="33">
        <f t="shared" si="21"/>
        <v>58610.044353000019</v>
      </c>
      <c r="N239" s="12">
        <f t="shared" si="22"/>
        <v>0.592572966061097</v>
      </c>
      <c r="O239" s="13" t="s">
        <v>38</v>
      </c>
      <c r="P239" s="13" t="s">
        <v>38</v>
      </c>
      <c r="Q239" s="14" t="s">
        <v>34</v>
      </c>
      <c r="R239" s="33">
        <f t="shared" si="23"/>
        <v>157517.77000000002</v>
      </c>
    </row>
    <row r="240" spans="1:18" s="4" customFormat="1" x14ac:dyDescent="0.3">
      <c r="A240" s="1" t="s">
        <v>60</v>
      </c>
      <c r="B240" s="3">
        <f t="shared" si="19"/>
        <v>234</v>
      </c>
      <c r="C240" s="4" t="s">
        <v>61</v>
      </c>
      <c r="D240" s="4" t="s">
        <v>35</v>
      </c>
      <c r="E240" s="111" t="s">
        <v>735</v>
      </c>
      <c r="F240" s="6" t="s">
        <v>513</v>
      </c>
      <c r="G240" s="7" t="s">
        <v>514</v>
      </c>
      <c r="H240" s="31">
        <v>376.3</v>
      </c>
      <c r="I240" s="15">
        <v>122656.28</v>
      </c>
      <c r="J240" s="11" t="s">
        <v>58</v>
      </c>
      <c r="K240" s="33">
        <v>0</v>
      </c>
      <c r="L240" s="33">
        <f t="shared" si="20"/>
        <v>0</v>
      </c>
      <c r="M240" s="33">
        <f t="shared" si="21"/>
        <v>-122656.28</v>
      </c>
      <c r="N240" s="12">
        <f t="shared" si="22"/>
        <v>-1</v>
      </c>
      <c r="O240" s="13" t="s">
        <v>38</v>
      </c>
      <c r="P240" s="13" t="s">
        <v>34</v>
      </c>
      <c r="Q240" s="14" t="s">
        <v>34</v>
      </c>
      <c r="R240" s="33">
        <f t="shared" si="23"/>
        <v>0</v>
      </c>
    </row>
    <row r="241" spans="1:18" s="4" customFormat="1" x14ac:dyDescent="0.3">
      <c r="A241" s="1" t="s">
        <v>60</v>
      </c>
      <c r="B241" s="3">
        <f t="shared" si="19"/>
        <v>235</v>
      </c>
      <c r="C241" s="4" t="s">
        <v>61</v>
      </c>
      <c r="D241" s="4" t="s">
        <v>64</v>
      </c>
      <c r="E241" s="111"/>
      <c r="F241" s="6" t="s">
        <v>515</v>
      </c>
      <c r="G241" s="7" t="s">
        <v>516</v>
      </c>
      <c r="H241" s="31">
        <v>394</v>
      </c>
      <c r="I241" s="33">
        <v>26.98</v>
      </c>
      <c r="J241" s="11" t="s">
        <v>644</v>
      </c>
      <c r="K241" s="33">
        <v>49.42</v>
      </c>
      <c r="L241" s="33">
        <f t="shared" si="20"/>
        <v>49.42</v>
      </c>
      <c r="M241" s="33">
        <f t="shared" si="21"/>
        <v>22.44</v>
      </c>
      <c r="N241" s="12">
        <f t="shared" si="22"/>
        <v>0.83172720533728695</v>
      </c>
      <c r="O241" s="13" t="s">
        <v>38</v>
      </c>
      <c r="P241" s="13" t="s">
        <v>38</v>
      </c>
      <c r="Q241" s="14" t="s">
        <v>34</v>
      </c>
      <c r="R241" s="33">
        <f t="shared" si="23"/>
        <v>49.42</v>
      </c>
    </row>
    <row r="242" spans="1:18" s="4" customFormat="1" x14ac:dyDescent="0.3">
      <c r="A242" s="1" t="s">
        <v>60</v>
      </c>
      <c r="B242" s="3">
        <f t="shared" si="19"/>
        <v>236</v>
      </c>
      <c r="C242" s="4" t="s">
        <v>61</v>
      </c>
      <c r="D242" s="4" t="s">
        <v>64</v>
      </c>
      <c r="E242" s="111" t="s">
        <v>734</v>
      </c>
      <c r="F242" s="6" t="s">
        <v>517</v>
      </c>
      <c r="G242" s="7" t="s">
        <v>518</v>
      </c>
      <c r="H242" s="31">
        <v>390.1</v>
      </c>
      <c r="I242" s="15">
        <v>9404.2325370000017</v>
      </c>
      <c r="J242" s="11" t="s">
        <v>646</v>
      </c>
      <c r="K242" s="33">
        <v>7378.0300000000007</v>
      </c>
      <c r="L242" s="33">
        <f t="shared" si="20"/>
        <v>7378.0300000000007</v>
      </c>
      <c r="M242" s="33">
        <f t="shared" si="21"/>
        <v>-2026.202537000001</v>
      </c>
      <c r="N242" s="12">
        <f t="shared" si="22"/>
        <v>-0.21545644783113477</v>
      </c>
      <c r="O242" s="13" t="s">
        <v>38</v>
      </c>
      <c r="P242" s="13" t="s">
        <v>34</v>
      </c>
      <c r="Q242" s="14" t="s">
        <v>34</v>
      </c>
      <c r="R242" s="33">
        <f t="shared" si="23"/>
        <v>7378.0300000000007</v>
      </c>
    </row>
    <row r="243" spans="1:18" s="4" customFormat="1" x14ac:dyDescent="0.3">
      <c r="A243" s="1" t="s">
        <v>60</v>
      </c>
      <c r="B243" s="3">
        <f t="shared" si="19"/>
        <v>237</v>
      </c>
      <c r="C243" s="4" t="s">
        <v>61</v>
      </c>
      <c r="D243" s="4" t="s">
        <v>35</v>
      </c>
      <c r="E243" s="111" t="s">
        <v>735</v>
      </c>
      <c r="F243" s="6" t="s">
        <v>519</v>
      </c>
      <c r="G243" s="7" t="s">
        <v>520</v>
      </c>
      <c r="H243" s="31">
        <v>377</v>
      </c>
      <c r="I243" s="15">
        <v>15145</v>
      </c>
      <c r="J243" s="11" t="s">
        <v>647</v>
      </c>
      <c r="K243" s="33">
        <v>12542.03</v>
      </c>
      <c r="L243" s="33">
        <f t="shared" si="20"/>
        <v>12542.03</v>
      </c>
      <c r="M243" s="33">
        <f t="shared" si="21"/>
        <v>-2602.9699999999993</v>
      </c>
      <c r="N243" s="12">
        <f t="shared" si="22"/>
        <v>-0.17186992406734891</v>
      </c>
      <c r="O243" s="13" t="s">
        <v>38</v>
      </c>
      <c r="P243" s="13" t="s">
        <v>34</v>
      </c>
      <c r="Q243" s="14" t="s">
        <v>34</v>
      </c>
      <c r="R243" s="33">
        <f t="shared" si="23"/>
        <v>12542.03</v>
      </c>
    </row>
    <row r="244" spans="1:18" s="4" customFormat="1" x14ac:dyDescent="0.3">
      <c r="A244" s="1" t="s">
        <v>60</v>
      </c>
      <c r="B244" s="3">
        <f t="shared" si="19"/>
        <v>238</v>
      </c>
      <c r="C244" s="4" t="s">
        <v>61</v>
      </c>
      <c r="D244" s="4" t="s">
        <v>64</v>
      </c>
      <c r="E244" s="111" t="s">
        <v>734</v>
      </c>
      <c r="F244" s="6" t="s">
        <v>521</v>
      </c>
      <c r="G244" s="7" t="s">
        <v>522</v>
      </c>
      <c r="H244" s="31">
        <v>394.1</v>
      </c>
      <c r="I244" s="15">
        <v>3136.7400000000002</v>
      </c>
      <c r="J244" s="11" t="s">
        <v>648</v>
      </c>
      <c r="K244" s="33">
        <v>3192.92</v>
      </c>
      <c r="L244" s="33">
        <f t="shared" si="20"/>
        <v>3192.92</v>
      </c>
      <c r="M244" s="33">
        <f t="shared" si="21"/>
        <v>56.179999999999836</v>
      </c>
      <c r="N244" s="12">
        <f t="shared" si="22"/>
        <v>1.7910314530372243E-2</v>
      </c>
      <c r="O244" s="13" t="s">
        <v>34</v>
      </c>
      <c r="P244" s="13" t="s">
        <v>34</v>
      </c>
      <c r="Q244" s="14" t="s">
        <v>34</v>
      </c>
      <c r="R244" s="33">
        <f t="shared" si="23"/>
        <v>3192.92</v>
      </c>
    </row>
    <row r="245" spans="1:18" s="4" customFormat="1" x14ac:dyDescent="0.3">
      <c r="A245" s="1" t="s">
        <v>60</v>
      </c>
      <c r="B245" s="3">
        <f t="shared" si="19"/>
        <v>239</v>
      </c>
      <c r="C245" s="4" t="s">
        <v>61</v>
      </c>
      <c r="D245" s="4" t="s">
        <v>35</v>
      </c>
      <c r="E245" s="111" t="s">
        <v>735</v>
      </c>
      <c r="F245" s="6" t="s">
        <v>523</v>
      </c>
      <c r="G245" s="7" t="s">
        <v>524</v>
      </c>
      <c r="H245" s="31">
        <v>379</v>
      </c>
      <c r="I245" s="15">
        <v>4582.6119119999994</v>
      </c>
      <c r="J245" s="11" t="s">
        <v>648</v>
      </c>
      <c r="K245" s="33">
        <v>5249.2800000000007</v>
      </c>
      <c r="L245" s="33">
        <f t="shared" si="20"/>
        <v>5249.2800000000007</v>
      </c>
      <c r="M245" s="33">
        <f t="shared" si="21"/>
        <v>666.66808800000126</v>
      </c>
      <c r="N245" s="12">
        <f t="shared" si="22"/>
        <v>0.14547775391022494</v>
      </c>
      <c r="O245" s="13" t="s">
        <v>38</v>
      </c>
      <c r="P245" s="13" t="s">
        <v>38</v>
      </c>
      <c r="Q245" s="14" t="s">
        <v>34</v>
      </c>
      <c r="R245" s="33">
        <f t="shared" si="23"/>
        <v>5249.2800000000007</v>
      </c>
    </row>
    <row r="246" spans="1:18" s="4" customFormat="1" x14ac:dyDescent="0.3">
      <c r="A246" s="1" t="s">
        <v>60</v>
      </c>
      <c r="B246" s="3">
        <f t="shared" si="19"/>
        <v>240</v>
      </c>
      <c r="C246" s="4" t="s">
        <v>61</v>
      </c>
      <c r="D246" s="4" t="s">
        <v>35</v>
      </c>
      <c r="E246" s="111" t="s">
        <v>735</v>
      </c>
      <c r="F246" s="6" t="s">
        <v>525</v>
      </c>
      <c r="G246" s="7" t="s">
        <v>526</v>
      </c>
      <c r="H246" s="31">
        <v>379</v>
      </c>
      <c r="I246" s="15">
        <v>4582.6119119999994</v>
      </c>
      <c r="J246" s="11" t="s">
        <v>648</v>
      </c>
      <c r="K246" s="33">
        <v>5571.95</v>
      </c>
      <c r="L246" s="33">
        <f t="shared" si="20"/>
        <v>5571.95</v>
      </c>
      <c r="M246" s="33">
        <f t="shared" si="21"/>
        <v>989.33808800000043</v>
      </c>
      <c r="N246" s="12">
        <f t="shared" si="22"/>
        <v>0.21588956407356377</v>
      </c>
      <c r="O246" s="13" t="s">
        <v>38</v>
      </c>
      <c r="P246" s="13" t="s">
        <v>38</v>
      </c>
      <c r="Q246" s="14" t="s">
        <v>34</v>
      </c>
      <c r="R246" s="33">
        <f t="shared" si="23"/>
        <v>5571.95</v>
      </c>
    </row>
    <row r="247" spans="1:18" s="4" customFormat="1" x14ac:dyDescent="0.3">
      <c r="A247" s="1" t="s">
        <v>60</v>
      </c>
      <c r="B247" s="3">
        <f t="shared" si="19"/>
        <v>241</v>
      </c>
      <c r="C247" s="4" t="s">
        <v>61</v>
      </c>
      <c r="D247" s="4" t="s">
        <v>35</v>
      </c>
      <c r="E247" s="111" t="s">
        <v>735</v>
      </c>
      <c r="F247" s="6" t="s">
        <v>527</v>
      </c>
      <c r="G247" s="7" t="s">
        <v>528</v>
      </c>
      <c r="H247" s="31">
        <v>379</v>
      </c>
      <c r="I247" s="15">
        <v>4591.8647419999998</v>
      </c>
      <c r="J247" s="11" t="s">
        <v>649</v>
      </c>
      <c r="K247" s="33">
        <v>4914.3</v>
      </c>
      <c r="L247" s="33">
        <f t="shared" si="20"/>
        <v>4914.3</v>
      </c>
      <c r="M247" s="33">
        <f t="shared" si="21"/>
        <v>322.43525800000043</v>
      </c>
      <c r="N247" s="12">
        <f t="shared" si="22"/>
        <v>7.0218805674045801E-2</v>
      </c>
      <c r="O247" s="13" t="s">
        <v>34</v>
      </c>
      <c r="P247" s="13" t="s">
        <v>34</v>
      </c>
      <c r="Q247" s="14" t="s">
        <v>34</v>
      </c>
      <c r="R247" s="33">
        <f t="shared" si="23"/>
        <v>4914.3</v>
      </c>
    </row>
    <row r="248" spans="1:18" s="4" customFormat="1" x14ac:dyDescent="0.3">
      <c r="A248" s="1" t="s">
        <v>60</v>
      </c>
      <c r="B248" s="3">
        <f t="shared" si="19"/>
        <v>242</v>
      </c>
      <c r="C248" s="4" t="s">
        <v>61</v>
      </c>
      <c r="D248" s="4" t="s">
        <v>35</v>
      </c>
      <c r="E248" s="111" t="s">
        <v>735</v>
      </c>
      <c r="F248" s="6" t="s">
        <v>529</v>
      </c>
      <c r="G248" s="7" t="s">
        <v>530</v>
      </c>
      <c r="H248" s="31">
        <v>379</v>
      </c>
      <c r="I248" s="15">
        <v>4582.6119119999994</v>
      </c>
      <c r="J248" s="11" t="s">
        <v>648</v>
      </c>
      <c r="K248" s="33">
        <v>5165.1499999999996</v>
      </c>
      <c r="L248" s="33">
        <f t="shared" si="20"/>
        <v>5165.1499999999996</v>
      </c>
      <c r="M248" s="33">
        <f t="shared" si="21"/>
        <v>582.53808800000024</v>
      </c>
      <c r="N248" s="12">
        <f t="shared" si="22"/>
        <v>0.12711922789590138</v>
      </c>
      <c r="O248" s="13" t="s">
        <v>38</v>
      </c>
      <c r="P248" s="13" t="s">
        <v>38</v>
      </c>
      <c r="Q248" s="14" t="s">
        <v>34</v>
      </c>
      <c r="R248" s="33">
        <f t="shared" si="23"/>
        <v>5165.1499999999996</v>
      </c>
    </row>
    <row r="249" spans="1:18" s="4" customFormat="1" x14ac:dyDescent="0.3">
      <c r="A249" s="1" t="s">
        <v>60</v>
      </c>
      <c r="B249" s="3">
        <f t="shared" si="19"/>
        <v>243</v>
      </c>
      <c r="C249" s="4" t="s">
        <v>61</v>
      </c>
      <c r="D249" s="4" t="s">
        <v>64</v>
      </c>
      <c r="E249" s="111" t="s">
        <v>734</v>
      </c>
      <c r="F249" s="6" t="s">
        <v>531</v>
      </c>
      <c r="G249" s="7" t="s">
        <v>532</v>
      </c>
      <c r="H249" s="31">
        <v>394.1</v>
      </c>
      <c r="I249" s="15">
        <v>3799.31</v>
      </c>
      <c r="J249" s="11" t="s">
        <v>646</v>
      </c>
      <c r="K249" s="33">
        <v>3834.7300000000005</v>
      </c>
      <c r="L249" s="33">
        <f t="shared" si="20"/>
        <v>3834.7300000000005</v>
      </c>
      <c r="M249" s="33">
        <f t="shared" si="21"/>
        <v>35.420000000000528</v>
      </c>
      <c r="N249" s="12">
        <f t="shared" si="22"/>
        <v>9.3227454458837331E-3</v>
      </c>
      <c r="O249" s="13" t="s">
        <v>34</v>
      </c>
      <c r="P249" s="13" t="s">
        <v>34</v>
      </c>
      <c r="Q249" s="14" t="s">
        <v>34</v>
      </c>
      <c r="R249" s="33">
        <f t="shared" si="23"/>
        <v>3834.7300000000005</v>
      </c>
    </row>
    <row r="250" spans="1:18" s="4" customFormat="1" x14ac:dyDescent="0.3">
      <c r="A250" s="1" t="s">
        <v>60</v>
      </c>
      <c r="B250" s="3">
        <f t="shared" si="19"/>
        <v>244</v>
      </c>
      <c r="C250" s="4" t="s">
        <v>61</v>
      </c>
      <c r="D250" s="4" t="s">
        <v>64</v>
      </c>
      <c r="E250" s="111" t="s">
        <v>734</v>
      </c>
      <c r="F250" s="6" t="s">
        <v>533</v>
      </c>
      <c r="G250" s="7" t="s">
        <v>534</v>
      </c>
      <c r="H250" s="31">
        <v>376.1</v>
      </c>
      <c r="I250" s="15">
        <v>171343.33359999998</v>
      </c>
      <c r="J250" s="11" t="s">
        <v>641</v>
      </c>
      <c r="K250" s="33">
        <v>721081.04999999993</v>
      </c>
      <c r="L250" s="33">
        <f t="shared" si="20"/>
        <v>721081.04999999993</v>
      </c>
      <c r="M250" s="33">
        <f t="shared" si="21"/>
        <v>549737.71639999992</v>
      </c>
      <c r="N250" s="12">
        <f t="shared" si="22"/>
        <v>3.2083986277712992</v>
      </c>
      <c r="O250" s="13" t="s">
        <v>38</v>
      </c>
      <c r="P250" s="13" t="s">
        <v>38</v>
      </c>
      <c r="Q250" s="14" t="s">
        <v>34</v>
      </c>
      <c r="R250" s="33">
        <f t="shared" si="23"/>
        <v>721081.04999999993</v>
      </c>
    </row>
    <row r="251" spans="1:18" s="4" customFormat="1" x14ac:dyDescent="0.3">
      <c r="A251" s="1" t="s">
        <v>60</v>
      </c>
      <c r="B251" s="3">
        <f t="shared" si="19"/>
        <v>245</v>
      </c>
      <c r="C251" s="4" t="s">
        <v>61</v>
      </c>
      <c r="D251" s="4" t="s">
        <v>64</v>
      </c>
      <c r="E251" s="111" t="s">
        <v>734</v>
      </c>
      <c r="F251" s="6" t="s">
        <v>535</v>
      </c>
      <c r="G251" s="7" t="s">
        <v>536</v>
      </c>
      <c r="H251" s="31">
        <v>376.1</v>
      </c>
      <c r="I251" s="15">
        <v>851809.52023000002</v>
      </c>
      <c r="J251" s="11" t="s">
        <v>58</v>
      </c>
      <c r="K251" s="33">
        <v>0</v>
      </c>
      <c r="L251" s="33">
        <f t="shared" si="20"/>
        <v>0</v>
      </c>
      <c r="M251" s="33">
        <f t="shared" si="21"/>
        <v>-851809.52023000002</v>
      </c>
      <c r="N251" s="12">
        <f t="shared" si="22"/>
        <v>-1</v>
      </c>
      <c r="O251" s="13" t="s">
        <v>38</v>
      </c>
      <c r="P251" s="13" t="s">
        <v>34</v>
      </c>
      <c r="Q251" s="14" t="s">
        <v>34</v>
      </c>
      <c r="R251" s="33">
        <f t="shared" si="23"/>
        <v>0</v>
      </c>
    </row>
    <row r="252" spans="1:18" s="4" customFormat="1" x14ac:dyDescent="0.3">
      <c r="A252" s="1" t="s">
        <v>60</v>
      </c>
      <c r="B252" s="3">
        <f t="shared" si="19"/>
        <v>246</v>
      </c>
      <c r="C252" s="4" t="s">
        <v>61</v>
      </c>
      <c r="D252" s="4" t="s">
        <v>64</v>
      </c>
      <c r="E252" s="111" t="s">
        <v>734</v>
      </c>
      <c r="F252" s="6" t="s">
        <v>537</v>
      </c>
      <c r="G252" s="7" t="s">
        <v>538</v>
      </c>
      <c r="H252" s="31">
        <v>376.1</v>
      </c>
      <c r="I252" s="15">
        <v>229130.5956</v>
      </c>
      <c r="J252" s="11" t="s">
        <v>653</v>
      </c>
      <c r="K252" s="33">
        <v>823581.64</v>
      </c>
      <c r="L252" s="33">
        <f t="shared" si="20"/>
        <v>823581.64</v>
      </c>
      <c r="M252" s="33">
        <f t="shared" si="21"/>
        <v>594451.04440000001</v>
      </c>
      <c r="N252" s="12">
        <f t="shared" si="22"/>
        <v>2.5943765512561692</v>
      </c>
      <c r="O252" s="13" t="s">
        <v>38</v>
      </c>
      <c r="P252" s="13" t="s">
        <v>38</v>
      </c>
      <c r="Q252" s="14" t="s">
        <v>34</v>
      </c>
      <c r="R252" s="33">
        <f t="shared" si="23"/>
        <v>823581.64</v>
      </c>
    </row>
    <row r="253" spans="1:18" s="4" customFormat="1" x14ac:dyDescent="0.3">
      <c r="A253" s="1" t="s">
        <v>60</v>
      </c>
      <c r="B253" s="3">
        <f t="shared" si="19"/>
        <v>247</v>
      </c>
      <c r="C253" s="4" t="s">
        <v>61</v>
      </c>
      <c r="D253" s="4" t="s">
        <v>64</v>
      </c>
      <c r="E253" s="111" t="s">
        <v>734</v>
      </c>
      <c r="F253" s="6" t="s">
        <v>539</v>
      </c>
      <c r="G253" s="7" t="s">
        <v>540</v>
      </c>
      <c r="H253" s="31">
        <v>394.1</v>
      </c>
      <c r="I253" s="15">
        <v>622666</v>
      </c>
      <c r="J253" s="11" t="s">
        <v>644</v>
      </c>
      <c r="K253" s="33">
        <v>715303.47</v>
      </c>
      <c r="L253" s="33">
        <f t="shared" si="20"/>
        <v>715303.47</v>
      </c>
      <c r="M253" s="33">
        <f t="shared" si="21"/>
        <v>92637.469999999972</v>
      </c>
      <c r="N253" s="12">
        <f t="shared" si="22"/>
        <v>0.14877553937423912</v>
      </c>
      <c r="O253" s="13" t="s">
        <v>38</v>
      </c>
      <c r="P253" s="13" t="s">
        <v>38</v>
      </c>
      <c r="Q253" s="14" t="s">
        <v>34</v>
      </c>
      <c r="R253" s="33">
        <f t="shared" si="23"/>
        <v>715303.47</v>
      </c>
    </row>
    <row r="254" spans="1:18" s="4" customFormat="1" x14ac:dyDescent="0.3">
      <c r="A254" s="1" t="s">
        <v>60</v>
      </c>
      <c r="B254" s="3">
        <f t="shared" si="19"/>
        <v>248</v>
      </c>
      <c r="C254" s="4" t="s">
        <v>61</v>
      </c>
      <c r="D254" s="4" t="s">
        <v>64</v>
      </c>
      <c r="E254" s="111" t="s">
        <v>734</v>
      </c>
      <c r="F254" s="6" t="s">
        <v>541</v>
      </c>
      <c r="G254" s="7" t="s">
        <v>542</v>
      </c>
      <c r="H254" s="31">
        <v>394.1</v>
      </c>
      <c r="I254" s="15">
        <v>1584.38</v>
      </c>
      <c r="J254" s="11" t="s">
        <v>644</v>
      </c>
      <c r="K254" s="33">
        <v>1596.67</v>
      </c>
      <c r="L254" s="33">
        <f t="shared" si="20"/>
        <v>1596.67</v>
      </c>
      <c r="M254" s="33">
        <f t="shared" si="21"/>
        <v>12.289999999999964</v>
      </c>
      <c r="N254" s="12">
        <f t="shared" si="22"/>
        <v>7.7569774927731747E-3</v>
      </c>
      <c r="O254" s="13" t="s">
        <v>34</v>
      </c>
      <c r="P254" s="13" t="s">
        <v>34</v>
      </c>
      <c r="Q254" s="14" t="s">
        <v>34</v>
      </c>
      <c r="R254" s="33">
        <f t="shared" si="23"/>
        <v>1596.67</v>
      </c>
    </row>
    <row r="255" spans="1:18" s="4" customFormat="1" x14ac:dyDescent="0.3">
      <c r="A255" s="1" t="s">
        <v>60</v>
      </c>
      <c r="B255" s="3">
        <f t="shared" si="19"/>
        <v>249</v>
      </c>
      <c r="C255" s="4" t="s">
        <v>61</v>
      </c>
      <c r="D255" s="4" t="s">
        <v>64</v>
      </c>
      <c r="E255" s="111"/>
      <c r="F255" s="6" t="s">
        <v>543</v>
      </c>
      <c r="G255" s="7" t="s">
        <v>544</v>
      </c>
      <c r="H255" s="31">
        <v>397</v>
      </c>
      <c r="I255" s="15">
        <v>3694.4300000000003</v>
      </c>
      <c r="J255" s="11" t="s">
        <v>650</v>
      </c>
      <c r="K255" s="33">
        <v>3714.5800000000004</v>
      </c>
      <c r="L255" s="33">
        <f t="shared" si="20"/>
        <v>3714.5800000000004</v>
      </c>
      <c r="M255" s="33">
        <f t="shared" si="21"/>
        <v>20.150000000000091</v>
      </c>
      <c r="N255" s="12">
        <f t="shared" si="22"/>
        <v>5.4541566628681796E-3</v>
      </c>
      <c r="O255" s="13" t="s">
        <v>34</v>
      </c>
      <c r="P255" s="13" t="s">
        <v>34</v>
      </c>
      <c r="Q255" s="14" t="s">
        <v>34</v>
      </c>
      <c r="R255" s="33">
        <f t="shared" si="23"/>
        <v>3714.5800000000004</v>
      </c>
    </row>
    <row r="256" spans="1:18" s="4" customFormat="1" x14ac:dyDescent="0.3">
      <c r="A256" s="1" t="s">
        <v>60</v>
      </c>
      <c r="B256" s="3">
        <f t="shared" si="19"/>
        <v>250</v>
      </c>
      <c r="C256" s="4" t="s">
        <v>61</v>
      </c>
      <c r="D256" s="4" t="s">
        <v>64</v>
      </c>
      <c r="E256" s="111"/>
      <c r="F256" s="6" t="s">
        <v>545</v>
      </c>
      <c r="G256" s="7" t="s">
        <v>546</v>
      </c>
      <c r="H256" s="31">
        <v>394</v>
      </c>
      <c r="I256" s="15">
        <v>2488.48</v>
      </c>
      <c r="J256" s="11" t="s">
        <v>644</v>
      </c>
      <c r="K256" s="33">
        <v>2502.06</v>
      </c>
      <c r="L256" s="33">
        <f t="shared" si="20"/>
        <v>2502.06</v>
      </c>
      <c r="M256" s="33">
        <f t="shared" si="21"/>
        <v>13.579999999999927</v>
      </c>
      <c r="N256" s="12">
        <f t="shared" si="22"/>
        <v>5.457146531215813E-3</v>
      </c>
      <c r="O256" s="13" t="s">
        <v>34</v>
      </c>
      <c r="P256" s="13" t="s">
        <v>34</v>
      </c>
      <c r="Q256" s="14" t="s">
        <v>34</v>
      </c>
      <c r="R256" s="33">
        <f t="shared" si="23"/>
        <v>2502.06</v>
      </c>
    </row>
    <row r="257" spans="1:18" s="4" customFormat="1" x14ac:dyDescent="0.3">
      <c r="A257" s="1" t="s">
        <v>60</v>
      </c>
      <c r="B257" s="3">
        <f t="shared" si="19"/>
        <v>251</v>
      </c>
      <c r="C257" s="4" t="s">
        <v>61</v>
      </c>
      <c r="D257" s="4" t="s">
        <v>64</v>
      </c>
      <c r="E257" s="111"/>
      <c r="F257" s="6" t="s">
        <v>547</v>
      </c>
      <c r="G257" s="7" t="s">
        <v>548</v>
      </c>
      <c r="H257" s="31">
        <v>394</v>
      </c>
      <c r="I257" s="15">
        <v>6322.46</v>
      </c>
      <c r="J257" s="11" t="s">
        <v>641</v>
      </c>
      <c r="K257" s="33">
        <v>6356.94</v>
      </c>
      <c r="L257" s="33">
        <f t="shared" si="20"/>
        <v>6356.94</v>
      </c>
      <c r="M257" s="33">
        <f t="shared" si="21"/>
        <v>34.479999999999563</v>
      </c>
      <c r="N257" s="12">
        <f t="shared" si="22"/>
        <v>5.4535734508402685E-3</v>
      </c>
      <c r="O257" s="13" t="s">
        <v>34</v>
      </c>
      <c r="P257" s="13" t="s">
        <v>34</v>
      </c>
      <c r="Q257" s="14" t="s">
        <v>34</v>
      </c>
      <c r="R257" s="33">
        <f t="shared" si="23"/>
        <v>6356.94</v>
      </c>
    </row>
    <row r="258" spans="1:18" s="4" customFormat="1" x14ac:dyDescent="0.3">
      <c r="A258" s="1" t="s">
        <v>60</v>
      </c>
      <c r="B258" s="3">
        <f t="shared" si="19"/>
        <v>252</v>
      </c>
      <c r="C258" s="4" t="s">
        <v>61</v>
      </c>
      <c r="D258" s="4" t="s">
        <v>64</v>
      </c>
      <c r="E258" s="111"/>
      <c r="F258" s="6" t="s">
        <v>549</v>
      </c>
      <c r="G258" s="7" t="s">
        <v>550</v>
      </c>
      <c r="H258" s="31">
        <v>394</v>
      </c>
      <c r="I258" s="15">
        <v>3372.34</v>
      </c>
      <c r="J258" s="11" t="s">
        <v>641</v>
      </c>
      <c r="K258" s="33">
        <v>3390.73</v>
      </c>
      <c r="L258" s="33">
        <f t="shared" si="20"/>
        <v>3390.73</v>
      </c>
      <c r="M258" s="33">
        <f t="shared" si="21"/>
        <v>18.389999999999873</v>
      </c>
      <c r="N258" s="12">
        <f t="shared" si="22"/>
        <v>5.4531868079730605E-3</v>
      </c>
      <c r="O258" s="13" t="s">
        <v>34</v>
      </c>
      <c r="P258" s="13" t="s">
        <v>34</v>
      </c>
      <c r="Q258" s="14" t="s">
        <v>34</v>
      </c>
      <c r="R258" s="33">
        <f t="shared" si="23"/>
        <v>3390.73</v>
      </c>
    </row>
    <row r="259" spans="1:18" s="4" customFormat="1" x14ac:dyDescent="0.3">
      <c r="A259" s="1" t="s">
        <v>60</v>
      </c>
      <c r="B259" s="3">
        <f t="shared" si="19"/>
        <v>253</v>
      </c>
      <c r="C259" s="4" t="s">
        <v>61</v>
      </c>
      <c r="D259" s="4" t="s">
        <v>64</v>
      </c>
      <c r="E259" s="111"/>
      <c r="F259" s="6" t="s">
        <v>551</v>
      </c>
      <c r="G259" s="7" t="s">
        <v>552</v>
      </c>
      <c r="H259" s="31">
        <v>394</v>
      </c>
      <c r="I259" s="15">
        <v>3363.01</v>
      </c>
      <c r="J259" s="11" t="s">
        <v>648</v>
      </c>
      <c r="K259" s="33">
        <v>3381.3500000000004</v>
      </c>
      <c r="L259" s="33">
        <f t="shared" si="20"/>
        <v>3381.3500000000004</v>
      </c>
      <c r="M259" s="33">
        <f t="shared" si="21"/>
        <v>18.340000000000146</v>
      </c>
      <c r="N259" s="12">
        <f t="shared" si="22"/>
        <v>5.453447952875592E-3</v>
      </c>
      <c r="O259" s="13" t="s">
        <v>34</v>
      </c>
      <c r="P259" s="13" t="s">
        <v>34</v>
      </c>
      <c r="Q259" s="14" t="s">
        <v>34</v>
      </c>
      <c r="R259" s="33">
        <f t="shared" si="23"/>
        <v>3381.3500000000004</v>
      </c>
    </row>
    <row r="260" spans="1:18" s="4" customFormat="1" x14ac:dyDescent="0.3">
      <c r="A260" s="1" t="s">
        <v>60</v>
      </c>
      <c r="B260" s="3">
        <f t="shared" si="19"/>
        <v>254</v>
      </c>
      <c r="C260" s="4" t="s">
        <v>61</v>
      </c>
      <c r="D260" s="4" t="s">
        <v>64</v>
      </c>
      <c r="E260" s="111"/>
      <c r="F260" s="6" t="s">
        <v>553</v>
      </c>
      <c r="G260" s="7" t="s">
        <v>554</v>
      </c>
      <c r="H260" s="31">
        <v>394</v>
      </c>
      <c r="I260" s="15">
        <v>6697.85</v>
      </c>
      <c r="J260" s="11" t="s">
        <v>650</v>
      </c>
      <c r="K260" s="33">
        <v>6734.38</v>
      </c>
      <c r="L260" s="33">
        <f t="shared" si="20"/>
        <v>6734.38</v>
      </c>
      <c r="M260" s="33">
        <f t="shared" si="21"/>
        <v>36.529999999999745</v>
      </c>
      <c r="N260" s="12">
        <f t="shared" si="22"/>
        <v>5.4539889666086498E-3</v>
      </c>
      <c r="O260" s="13" t="s">
        <v>34</v>
      </c>
      <c r="P260" s="13" t="s">
        <v>34</v>
      </c>
      <c r="Q260" s="14" t="s">
        <v>34</v>
      </c>
      <c r="R260" s="33">
        <f t="shared" si="23"/>
        <v>6734.38</v>
      </c>
    </row>
    <row r="261" spans="1:18" s="4" customFormat="1" x14ac:dyDescent="0.3">
      <c r="A261" s="1" t="s">
        <v>60</v>
      </c>
      <c r="B261" s="3">
        <f t="shared" si="19"/>
        <v>255</v>
      </c>
      <c r="C261" s="4" t="s">
        <v>61</v>
      </c>
      <c r="D261" s="4" t="s">
        <v>64</v>
      </c>
      <c r="E261" s="111"/>
      <c r="F261" s="6" t="s">
        <v>555</v>
      </c>
      <c r="G261" s="7" t="s">
        <v>556</v>
      </c>
      <c r="H261" s="31">
        <v>394</v>
      </c>
      <c r="I261" s="15">
        <v>4772.79</v>
      </c>
      <c r="J261" s="11" t="s">
        <v>650</v>
      </c>
      <c r="K261" s="33">
        <v>4798.82</v>
      </c>
      <c r="L261" s="33">
        <f t="shared" si="20"/>
        <v>4798.82</v>
      </c>
      <c r="M261" s="33">
        <f t="shared" si="21"/>
        <v>26.029999999999745</v>
      </c>
      <c r="N261" s="12">
        <f t="shared" si="22"/>
        <v>5.453833082955618E-3</v>
      </c>
      <c r="O261" s="13" t="s">
        <v>34</v>
      </c>
      <c r="P261" s="13" t="s">
        <v>34</v>
      </c>
      <c r="Q261" s="14" t="s">
        <v>34</v>
      </c>
      <c r="R261" s="33">
        <f t="shared" si="23"/>
        <v>4798.82</v>
      </c>
    </row>
    <row r="262" spans="1:18" s="4" customFormat="1" x14ac:dyDescent="0.3">
      <c r="A262" s="1" t="s">
        <v>60</v>
      </c>
      <c r="B262" s="3">
        <f t="shared" si="19"/>
        <v>256</v>
      </c>
      <c r="C262" s="4" t="s">
        <v>61</v>
      </c>
      <c r="D262" s="4" t="s">
        <v>64</v>
      </c>
      <c r="E262" s="111"/>
      <c r="F262" s="6" t="s">
        <v>557</v>
      </c>
      <c r="G262" s="7" t="s">
        <v>558</v>
      </c>
      <c r="H262" s="31">
        <v>376</v>
      </c>
      <c r="I262" s="15">
        <v>48404.23</v>
      </c>
      <c r="J262" s="11" t="s">
        <v>650</v>
      </c>
      <c r="K262" s="33">
        <v>48599.920000000006</v>
      </c>
      <c r="L262" s="33">
        <f t="shared" si="20"/>
        <v>48599.920000000006</v>
      </c>
      <c r="M262" s="33">
        <f t="shared" si="21"/>
        <v>195.69000000000233</v>
      </c>
      <c r="N262" s="12">
        <f t="shared" si="22"/>
        <v>4.0428284883367079E-3</v>
      </c>
      <c r="O262" s="13" t="s">
        <v>34</v>
      </c>
      <c r="P262" s="13" t="s">
        <v>34</v>
      </c>
      <c r="Q262" s="14" t="s">
        <v>34</v>
      </c>
      <c r="R262" s="33">
        <f t="shared" si="23"/>
        <v>48599.920000000006</v>
      </c>
    </row>
    <row r="263" spans="1:18" s="4" customFormat="1" x14ac:dyDescent="0.3">
      <c r="A263" s="1" t="s">
        <v>60</v>
      </c>
      <c r="B263" s="3">
        <f t="shared" si="19"/>
        <v>257</v>
      </c>
      <c r="C263" s="4" t="s">
        <v>61</v>
      </c>
      <c r="D263" s="4" t="s">
        <v>64</v>
      </c>
      <c r="E263" s="111"/>
      <c r="F263" s="6" t="s">
        <v>559</v>
      </c>
      <c r="G263" s="7" t="s">
        <v>560</v>
      </c>
      <c r="H263" s="31">
        <v>376</v>
      </c>
      <c r="I263" s="15">
        <v>113272.93</v>
      </c>
      <c r="J263" s="11" t="s">
        <v>648</v>
      </c>
      <c r="K263" s="33">
        <v>120573.04</v>
      </c>
      <c r="L263" s="33">
        <f t="shared" si="20"/>
        <v>120573.04</v>
      </c>
      <c r="M263" s="33">
        <f t="shared" si="21"/>
        <v>7300.1100000000006</v>
      </c>
      <c r="N263" s="12">
        <f t="shared" si="22"/>
        <v>6.4447083694224222E-2</v>
      </c>
      <c r="O263" s="13" t="s">
        <v>34</v>
      </c>
      <c r="P263" s="13" t="s">
        <v>34</v>
      </c>
      <c r="Q263" s="14" t="s">
        <v>34</v>
      </c>
      <c r="R263" s="33">
        <f t="shared" si="23"/>
        <v>120573.04</v>
      </c>
    </row>
    <row r="264" spans="1:18" s="4" customFormat="1" x14ac:dyDescent="0.3">
      <c r="A264" s="1" t="s">
        <v>60</v>
      </c>
      <c r="B264" s="3">
        <f t="shared" ref="B264:B304" si="24">B263+1</f>
        <v>258</v>
      </c>
      <c r="C264" s="4" t="s">
        <v>61</v>
      </c>
      <c r="D264" s="4" t="s">
        <v>64</v>
      </c>
      <c r="E264" s="111"/>
      <c r="F264" s="6" t="s">
        <v>561</v>
      </c>
      <c r="G264" s="7" t="s">
        <v>562</v>
      </c>
      <c r="H264" s="31">
        <v>394</v>
      </c>
      <c r="I264" s="15">
        <v>1642.67</v>
      </c>
      <c r="J264" s="11" t="s">
        <v>653</v>
      </c>
      <c r="K264" s="33">
        <v>1651.63</v>
      </c>
      <c r="L264" s="33">
        <f t="shared" si="20"/>
        <v>1651.63</v>
      </c>
      <c r="M264" s="33">
        <f t="shared" si="21"/>
        <v>8.9600000000000364</v>
      </c>
      <c r="N264" s="12">
        <f t="shared" si="22"/>
        <v>5.4545343860909591E-3</v>
      </c>
      <c r="O264" s="13" t="s">
        <v>34</v>
      </c>
      <c r="P264" s="13" t="s">
        <v>34</v>
      </c>
      <c r="Q264" s="14" t="s">
        <v>34</v>
      </c>
      <c r="R264" s="33">
        <f t="shared" si="23"/>
        <v>1651.63</v>
      </c>
    </row>
    <row r="265" spans="1:18" s="4" customFormat="1" x14ac:dyDescent="0.3">
      <c r="A265" s="1" t="s">
        <v>60</v>
      </c>
      <c r="B265" s="3">
        <f t="shared" si="24"/>
        <v>259</v>
      </c>
      <c r="C265" s="4" t="s">
        <v>61</v>
      </c>
      <c r="D265" s="4" t="s">
        <v>64</v>
      </c>
      <c r="E265" s="111"/>
      <c r="F265" s="6" t="s">
        <v>563</v>
      </c>
      <c r="G265" s="7" t="s">
        <v>564</v>
      </c>
      <c r="H265" s="31">
        <v>376</v>
      </c>
      <c r="I265" s="15">
        <v>219022.49</v>
      </c>
      <c r="J265" s="11" t="s">
        <v>645</v>
      </c>
      <c r="K265" s="33">
        <v>24716.920000000002</v>
      </c>
      <c r="L265" s="33">
        <f t="shared" si="20"/>
        <v>24716.920000000002</v>
      </c>
      <c r="M265" s="33">
        <f t="shared" si="21"/>
        <v>-194305.56999999998</v>
      </c>
      <c r="N265" s="12">
        <f t="shared" si="22"/>
        <v>-0.88714894073206818</v>
      </c>
      <c r="O265" s="13" t="s">
        <v>38</v>
      </c>
      <c r="P265" s="13" t="s">
        <v>34</v>
      </c>
      <c r="Q265" s="14" t="s">
        <v>34</v>
      </c>
      <c r="R265" s="33">
        <f t="shared" si="23"/>
        <v>24716.920000000002</v>
      </c>
    </row>
    <row r="266" spans="1:18" s="4" customFormat="1" x14ac:dyDescent="0.3">
      <c r="A266" s="1" t="s">
        <v>60</v>
      </c>
      <c r="B266" s="3">
        <f t="shared" si="24"/>
        <v>260</v>
      </c>
      <c r="C266" s="4" t="s">
        <v>61</v>
      </c>
      <c r="D266" s="4" t="s">
        <v>64</v>
      </c>
      <c r="E266" s="111"/>
      <c r="F266" s="6" t="s">
        <v>565</v>
      </c>
      <c r="G266" s="7" t="s">
        <v>566</v>
      </c>
      <c r="H266" s="31">
        <v>394</v>
      </c>
      <c r="I266" s="15">
        <v>5468.18</v>
      </c>
      <c r="J266" s="11" t="s">
        <v>650</v>
      </c>
      <c r="K266" s="33">
        <v>5498</v>
      </c>
      <c r="L266" s="33">
        <f t="shared" si="20"/>
        <v>5498</v>
      </c>
      <c r="M266" s="33">
        <f t="shared" si="21"/>
        <v>29.819999999999709</v>
      </c>
      <c r="N266" s="12">
        <f t="shared" si="22"/>
        <v>5.4533683967974188E-3</v>
      </c>
      <c r="O266" s="13" t="s">
        <v>34</v>
      </c>
      <c r="P266" s="13" t="s">
        <v>34</v>
      </c>
      <c r="Q266" s="14" t="s">
        <v>34</v>
      </c>
      <c r="R266" s="33">
        <f t="shared" si="23"/>
        <v>5498</v>
      </c>
    </row>
    <row r="267" spans="1:18" s="35" customFormat="1" x14ac:dyDescent="0.3">
      <c r="A267" s="1" t="s">
        <v>60</v>
      </c>
      <c r="B267" s="3">
        <f t="shared" si="24"/>
        <v>261</v>
      </c>
      <c r="C267" s="4" t="s">
        <v>61</v>
      </c>
      <c r="D267" s="4" t="s">
        <v>64</v>
      </c>
      <c r="E267" s="111"/>
      <c r="F267" s="6" t="s">
        <v>567</v>
      </c>
      <c r="G267" s="7" t="s">
        <v>568</v>
      </c>
      <c r="H267" s="31">
        <v>394</v>
      </c>
      <c r="I267" s="15">
        <v>13507.04</v>
      </c>
      <c r="J267" s="11" t="s">
        <v>650</v>
      </c>
      <c r="K267" s="33">
        <v>13580.710000000001</v>
      </c>
      <c r="L267" s="33">
        <f t="shared" si="20"/>
        <v>13580.710000000001</v>
      </c>
      <c r="M267" s="33">
        <f t="shared" si="21"/>
        <v>73.670000000000073</v>
      </c>
      <c r="N267" s="12">
        <f t="shared" si="22"/>
        <v>5.4541927765076629E-3</v>
      </c>
      <c r="O267" s="13" t="s">
        <v>34</v>
      </c>
      <c r="P267" s="13" t="s">
        <v>34</v>
      </c>
      <c r="Q267" s="14" t="s">
        <v>34</v>
      </c>
      <c r="R267" s="33">
        <f t="shared" si="23"/>
        <v>13580.710000000001</v>
      </c>
    </row>
    <row r="268" spans="1:18" s="35" customFormat="1" x14ac:dyDescent="0.3">
      <c r="A268" s="1" t="s">
        <v>60</v>
      </c>
      <c r="B268" s="3">
        <f t="shared" si="24"/>
        <v>262</v>
      </c>
      <c r="C268" s="4" t="s">
        <v>61</v>
      </c>
      <c r="D268" s="4" t="s">
        <v>64</v>
      </c>
      <c r="E268" s="111"/>
      <c r="F268" s="6" t="s">
        <v>569</v>
      </c>
      <c r="G268" s="7" t="s">
        <v>570</v>
      </c>
      <c r="H268" s="31">
        <v>394</v>
      </c>
      <c r="I268" s="15">
        <v>18239.170000000002</v>
      </c>
      <c r="J268" s="11" t="s">
        <v>653</v>
      </c>
      <c r="K268" s="33">
        <v>18338.650000000001</v>
      </c>
      <c r="L268" s="33">
        <f t="shared" si="20"/>
        <v>18338.650000000001</v>
      </c>
      <c r="M268" s="33">
        <f t="shared" si="21"/>
        <v>99.479999999999563</v>
      </c>
      <c r="N268" s="12">
        <f t="shared" si="22"/>
        <v>5.4541955582408383E-3</v>
      </c>
      <c r="O268" s="13" t="s">
        <v>34</v>
      </c>
      <c r="P268" s="13" t="s">
        <v>34</v>
      </c>
      <c r="Q268" s="14" t="s">
        <v>34</v>
      </c>
      <c r="R268" s="33">
        <f t="shared" si="23"/>
        <v>18338.650000000001</v>
      </c>
    </row>
    <row r="269" spans="1:18" s="35" customFormat="1" x14ac:dyDescent="0.3">
      <c r="A269" s="1" t="s">
        <v>60</v>
      </c>
      <c r="B269" s="3">
        <f t="shared" si="24"/>
        <v>263</v>
      </c>
      <c r="C269" s="4" t="s">
        <v>61</v>
      </c>
      <c r="D269" s="4" t="s">
        <v>64</v>
      </c>
      <c r="E269" s="111"/>
      <c r="F269" s="6" t="s">
        <v>571</v>
      </c>
      <c r="G269" s="7" t="s">
        <v>572</v>
      </c>
      <c r="H269" s="31">
        <v>394</v>
      </c>
      <c r="I269" s="15">
        <v>3963.6800000000003</v>
      </c>
      <c r="J269" s="11" t="s">
        <v>653</v>
      </c>
      <c r="K269" s="33">
        <v>3985.3</v>
      </c>
      <c r="L269" s="33">
        <f t="shared" si="20"/>
        <v>3985.3</v>
      </c>
      <c r="M269" s="33">
        <f t="shared" si="21"/>
        <v>21.619999999999891</v>
      </c>
      <c r="N269" s="12">
        <f t="shared" si="22"/>
        <v>5.4545271061235742E-3</v>
      </c>
      <c r="O269" s="13" t="s">
        <v>34</v>
      </c>
      <c r="P269" s="13" t="s">
        <v>34</v>
      </c>
      <c r="Q269" s="14" t="s">
        <v>34</v>
      </c>
      <c r="R269" s="33">
        <f t="shared" si="23"/>
        <v>3985.3</v>
      </c>
    </row>
    <row r="270" spans="1:18" s="35" customFormat="1" x14ac:dyDescent="0.3">
      <c r="A270" s="1" t="s">
        <v>60</v>
      </c>
      <c r="B270" s="3">
        <f t="shared" si="24"/>
        <v>264</v>
      </c>
      <c r="C270" s="4" t="s">
        <v>61</v>
      </c>
      <c r="D270" s="4" t="s">
        <v>64</v>
      </c>
      <c r="E270" s="111"/>
      <c r="F270" s="6" t="s">
        <v>573</v>
      </c>
      <c r="G270" s="7" t="s">
        <v>574</v>
      </c>
      <c r="H270" s="31">
        <v>394</v>
      </c>
      <c r="I270" s="15">
        <v>12623.220000000001</v>
      </c>
      <c r="J270" s="11" t="s">
        <v>645</v>
      </c>
      <c r="K270" s="33">
        <v>12692.070000000002</v>
      </c>
      <c r="L270" s="33">
        <f t="shared" si="20"/>
        <v>12692.070000000002</v>
      </c>
      <c r="M270" s="33">
        <f t="shared" si="21"/>
        <v>68.850000000000364</v>
      </c>
      <c r="N270" s="12">
        <f t="shared" si="22"/>
        <v>5.4542343395742416E-3</v>
      </c>
      <c r="O270" s="13" t="s">
        <v>34</v>
      </c>
      <c r="P270" s="13" t="s">
        <v>34</v>
      </c>
      <c r="Q270" s="14" t="s">
        <v>34</v>
      </c>
      <c r="R270" s="33">
        <f t="shared" si="23"/>
        <v>12692.070000000002</v>
      </c>
    </row>
    <row r="271" spans="1:18" s="35" customFormat="1" x14ac:dyDescent="0.3">
      <c r="A271" s="1" t="s">
        <v>60</v>
      </c>
      <c r="B271" s="3">
        <f t="shared" si="24"/>
        <v>265</v>
      </c>
      <c r="C271" s="4" t="s">
        <v>61</v>
      </c>
      <c r="D271" s="4" t="s">
        <v>64</v>
      </c>
      <c r="E271" s="111"/>
      <c r="F271" s="6" t="s">
        <v>575</v>
      </c>
      <c r="G271" s="7" t="s">
        <v>576</v>
      </c>
      <c r="H271" s="31">
        <v>398</v>
      </c>
      <c r="I271" s="15">
        <v>7389.1900000000005</v>
      </c>
      <c r="J271" s="11" t="s">
        <v>651</v>
      </c>
      <c r="K271" s="33">
        <v>7429.4900000000007</v>
      </c>
      <c r="L271" s="33">
        <f t="shared" si="20"/>
        <v>7429.4900000000007</v>
      </c>
      <c r="M271" s="33">
        <f t="shared" si="21"/>
        <v>40.300000000000182</v>
      </c>
      <c r="N271" s="12">
        <f t="shared" si="22"/>
        <v>5.4539130811361164E-3</v>
      </c>
      <c r="O271" s="13" t="s">
        <v>34</v>
      </c>
      <c r="P271" s="13" t="s">
        <v>34</v>
      </c>
      <c r="Q271" s="14" t="s">
        <v>34</v>
      </c>
      <c r="R271" s="33">
        <f t="shared" si="23"/>
        <v>7429.4900000000007</v>
      </c>
    </row>
    <row r="272" spans="1:18" s="35" customFormat="1" x14ac:dyDescent="0.3">
      <c r="A272" s="1" t="s">
        <v>60</v>
      </c>
      <c r="B272" s="3">
        <f t="shared" si="24"/>
        <v>266</v>
      </c>
      <c r="C272" s="4" t="s">
        <v>61</v>
      </c>
      <c r="D272" s="4" t="s">
        <v>64</v>
      </c>
      <c r="E272" s="111"/>
      <c r="F272" s="6" t="s">
        <v>577</v>
      </c>
      <c r="G272" s="7" t="s">
        <v>578</v>
      </c>
      <c r="H272" s="31">
        <v>394</v>
      </c>
      <c r="I272" s="15">
        <v>5661.52</v>
      </c>
      <c r="J272" s="11" t="s">
        <v>651</v>
      </c>
      <c r="K272" s="10">
        <v>5717.7800000000007</v>
      </c>
      <c r="L272" s="10">
        <f t="shared" si="20"/>
        <v>5717.7800000000007</v>
      </c>
      <c r="M272" s="10">
        <f t="shared" si="21"/>
        <v>56.260000000000218</v>
      </c>
      <c r="N272" s="12">
        <f t="shared" si="22"/>
        <v>9.9372606649804664E-3</v>
      </c>
      <c r="O272" s="13" t="s">
        <v>34</v>
      </c>
      <c r="P272" s="13" t="s">
        <v>34</v>
      </c>
      <c r="Q272" s="14" t="s">
        <v>34</v>
      </c>
      <c r="R272" s="33">
        <f t="shared" si="23"/>
        <v>5717.7800000000007</v>
      </c>
    </row>
    <row r="273" spans="1:18" s="24" customFormat="1" ht="17.5" customHeight="1" x14ac:dyDescent="0.35">
      <c r="A273" s="17" t="s">
        <v>579</v>
      </c>
      <c r="B273" s="5">
        <f t="shared" si="24"/>
        <v>267</v>
      </c>
      <c r="C273" s="18" t="s">
        <v>740</v>
      </c>
      <c r="D273" s="18"/>
      <c r="E273" s="112"/>
      <c r="F273" s="134" t="s">
        <v>57</v>
      </c>
      <c r="G273" s="18"/>
      <c r="H273" s="18"/>
      <c r="I273" s="20">
        <f>SUMIFS(I:I,$A:$A,"B")</f>
        <v>60869895.300984845</v>
      </c>
      <c r="J273" s="21"/>
      <c r="K273" s="20">
        <f>SUMIFS(K:K,$A:$A,"B")</f>
        <v>37391135.040000014</v>
      </c>
      <c r="L273" s="20">
        <f>SUMIFS(L:L,$A:$A,"B")</f>
        <v>37391135.040000014</v>
      </c>
      <c r="M273" s="20">
        <f>SUMIFS(M:M,$A:$A,"B")</f>
        <v>-23478760.260984801</v>
      </c>
      <c r="N273" s="22"/>
      <c r="O273" s="21"/>
      <c r="P273" s="21"/>
      <c r="Q273" s="23"/>
      <c r="R273" s="20">
        <f>SUMIFS(R:R,$A:$A,"B")</f>
        <v>37391135.040000014</v>
      </c>
    </row>
    <row r="274" spans="1:18" s="30" customFormat="1" x14ac:dyDescent="0.3">
      <c r="A274" s="25" t="s">
        <v>580</v>
      </c>
      <c r="B274" s="5">
        <f t="shared" si="24"/>
        <v>268</v>
      </c>
      <c r="E274" s="115"/>
      <c r="J274" s="36"/>
      <c r="N274" s="37"/>
      <c r="O274" s="36"/>
      <c r="P274" s="36"/>
      <c r="Q274" s="38"/>
    </row>
    <row r="275" spans="1:18" s="35" customFormat="1" x14ac:dyDescent="0.3">
      <c r="A275" s="1" t="s">
        <v>581</v>
      </c>
      <c r="B275" s="5">
        <f t="shared" si="24"/>
        <v>269</v>
      </c>
      <c r="C275" s="39" t="s">
        <v>61</v>
      </c>
      <c r="D275" s="39" t="s">
        <v>103</v>
      </c>
      <c r="E275" s="111"/>
      <c r="F275" s="40" t="s">
        <v>582</v>
      </c>
      <c r="G275" s="41" t="s">
        <v>583</v>
      </c>
      <c r="H275" s="42">
        <v>303</v>
      </c>
      <c r="I275" s="43">
        <v>0</v>
      </c>
      <c r="J275" s="45" t="s">
        <v>647</v>
      </c>
      <c r="K275" s="44">
        <v>-7141.58</v>
      </c>
      <c r="L275" s="44">
        <f t="shared" ref="L275:L300" si="25">K275</f>
        <v>-7141.58</v>
      </c>
      <c r="M275" s="44">
        <f t="shared" ref="M275:M300" si="26">SUM(K275)-I275</f>
        <v>-7141.58</v>
      </c>
      <c r="N275" s="46" t="str">
        <f t="shared" ref="N275:N300" si="27">IFERROR(IF(AND(I275=0,M275=0),"NA",(M275/I275)),"")</f>
        <v/>
      </c>
      <c r="O275" s="47" t="s">
        <v>34</v>
      </c>
      <c r="P275" s="47" t="s">
        <v>34</v>
      </c>
      <c r="Q275" s="48" t="s">
        <v>34</v>
      </c>
      <c r="R275" s="44">
        <f t="shared" ref="R275:R300" si="28">K275</f>
        <v>-7141.58</v>
      </c>
    </row>
    <row r="276" spans="1:18" s="35" customFormat="1" x14ac:dyDescent="0.3">
      <c r="A276" s="1" t="s">
        <v>581</v>
      </c>
      <c r="B276" s="5">
        <f t="shared" si="24"/>
        <v>270</v>
      </c>
      <c r="C276" s="4" t="s">
        <v>61</v>
      </c>
      <c r="D276" s="4" t="s">
        <v>35</v>
      </c>
      <c r="E276" s="111"/>
      <c r="F276" s="6" t="s">
        <v>584</v>
      </c>
      <c r="G276" s="7" t="s">
        <v>585</v>
      </c>
      <c r="H276" s="31">
        <v>376.1</v>
      </c>
      <c r="I276" s="15">
        <v>0</v>
      </c>
      <c r="J276" s="11" t="s">
        <v>647</v>
      </c>
      <c r="K276" s="33">
        <v>431699.52999999997</v>
      </c>
      <c r="L276" s="33">
        <f t="shared" si="25"/>
        <v>431699.52999999997</v>
      </c>
      <c r="M276" s="33">
        <f t="shared" si="26"/>
        <v>431699.52999999997</v>
      </c>
      <c r="N276" s="12" t="str">
        <f t="shared" si="27"/>
        <v/>
      </c>
      <c r="O276" s="13" t="s">
        <v>34</v>
      </c>
      <c r="P276" s="13" t="s">
        <v>34</v>
      </c>
      <c r="Q276" s="14" t="s">
        <v>34</v>
      </c>
      <c r="R276" s="33">
        <f t="shared" si="28"/>
        <v>431699.52999999997</v>
      </c>
    </row>
    <row r="277" spans="1:18" s="35" customFormat="1" x14ac:dyDescent="0.3">
      <c r="A277" s="1" t="s">
        <v>581</v>
      </c>
      <c r="B277" s="5">
        <f t="shared" si="24"/>
        <v>271</v>
      </c>
      <c r="C277" s="4" t="s">
        <v>61</v>
      </c>
      <c r="D277" s="4" t="s">
        <v>251</v>
      </c>
      <c r="E277" s="111"/>
      <c r="F277" s="6" t="s">
        <v>586</v>
      </c>
      <c r="G277" s="7" t="s">
        <v>587</v>
      </c>
      <c r="H277" s="31">
        <v>303</v>
      </c>
      <c r="I277" s="15">
        <v>0</v>
      </c>
      <c r="J277" s="11" t="s">
        <v>643</v>
      </c>
      <c r="K277" s="33">
        <v>25127.71</v>
      </c>
      <c r="L277" s="33">
        <f t="shared" si="25"/>
        <v>25127.71</v>
      </c>
      <c r="M277" s="33">
        <f t="shared" si="26"/>
        <v>25127.71</v>
      </c>
      <c r="N277" s="12" t="str">
        <f t="shared" si="27"/>
        <v/>
      </c>
      <c r="O277" s="13" t="s">
        <v>34</v>
      </c>
      <c r="P277" s="13" t="s">
        <v>34</v>
      </c>
      <c r="Q277" s="14" t="s">
        <v>34</v>
      </c>
      <c r="R277" s="33">
        <f t="shared" si="28"/>
        <v>25127.71</v>
      </c>
    </row>
    <row r="278" spans="1:18" s="35" customFormat="1" x14ac:dyDescent="0.3">
      <c r="A278" s="1" t="s">
        <v>581</v>
      </c>
      <c r="B278" s="5">
        <f t="shared" si="24"/>
        <v>272</v>
      </c>
      <c r="C278" s="4" t="s">
        <v>61</v>
      </c>
      <c r="D278" s="4" t="s">
        <v>251</v>
      </c>
      <c r="E278" s="111"/>
      <c r="F278" s="6" t="s">
        <v>588</v>
      </c>
      <c r="G278" s="49" t="s">
        <v>589</v>
      </c>
      <c r="H278" s="31">
        <v>303</v>
      </c>
      <c r="I278" s="15">
        <v>0</v>
      </c>
      <c r="J278" s="11" t="s">
        <v>643</v>
      </c>
      <c r="K278" s="33">
        <v>11019.4</v>
      </c>
      <c r="L278" s="33">
        <f t="shared" si="25"/>
        <v>11019.4</v>
      </c>
      <c r="M278" s="33">
        <f t="shared" si="26"/>
        <v>11019.4</v>
      </c>
      <c r="N278" s="12" t="str">
        <f t="shared" si="27"/>
        <v/>
      </c>
      <c r="O278" s="13" t="s">
        <v>34</v>
      </c>
      <c r="P278" s="13" t="s">
        <v>34</v>
      </c>
      <c r="Q278" s="14" t="s">
        <v>34</v>
      </c>
      <c r="R278" s="33">
        <f t="shared" si="28"/>
        <v>11019.4</v>
      </c>
    </row>
    <row r="279" spans="1:18" s="50" customFormat="1" x14ac:dyDescent="0.3">
      <c r="A279" s="1" t="s">
        <v>581</v>
      </c>
      <c r="B279" s="5">
        <f t="shared" si="24"/>
        <v>273</v>
      </c>
      <c r="C279" s="4" t="s">
        <v>61</v>
      </c>
      <c r="D279" s="4" t="s">
        <v>64</v>
      </c>
      <c r="E279" s="111"/>
      <c r="F279" s="6" t="s">
        <v>590</v>
      </c>
      <c r="G279" s="7" t="s">
        <v>591</v>
      </c>
      <c r="H279" s="31">
        <v>376.3</v>
      </c>
      <c r="I279" s="15">
        <v>0</v>
      </c>
      <c r="J279" s="11" t="s">
        <v>643</v>
      </c>
      <c r="K279" s="33">
        <v>334210.26</v>
      </c>
      <c r="L279" s="33">
        <f t="shared" si="25"/>
        <v>334210.26</v>
      </c>
      <c r="M279" s="33">
        <f t="shared" si="26"/>
        <v>334210.26</v>
      </c>
      <c r="N279" s="12" t="str">
        <f t="shared" si="27"/>
        <v/>
      </c>
      <c r="O279" s="13" t="s">
        <v>34</v>
      </c>
      <c r="P279" s="13" t="s">
        <v>34</v>
      </c>
      <c r="Q279" s="14" t="s">
        <v>34</v>
      </c>
      <c r="R279" s="33">
        <f t="shared" si="28"/>
        <v>334210.26</v>
      </c>
    </row>
    <row r="280" spans="1:18" s="34" customFormat="1" x14ac:dyDescent="0.3">
      <c r="A280" s="1" t="s">
        <v>581</v>
      </c>
      <c r="B280" s="5">
        <f t="shared" si="24"/>
        <v>274</v>
      </c>
      <c r="C280" s="4" t="s">
        <v>61</v>
      </c>
      <c r="D280" s="4" t="s">
        <v>35</v>
      </c>
      <c r="E280" s="111"/>
      <c r="F280" s="6" t="s">
        <v>592</v>
      </c>
      <c r="G280" s="7" t="s">
        <v>593</v>
      </c>
      <c r="H280" s="31">
        <v>377</v>
      </c>
      <c r="I280" s="15">
        <v>0</v>
      </c>
      <c r="J280" s="11" t="s">
        <v>643</v>
      </c>
      <c r="K280" s="33">
        <v>18839.46</v>
      </c>
      <c r="L280" s="33">
        <f t="shared" si="25"/>
        <v>18839.46</v>
      </c>
      <c r="M280" s="33">
        <f t="shared" si="26"/>
        <v>18839.46</v>
      </c>
      <c r="N280" s="12" t="str">
        <f t="shared" si="27"/>
        <v/>
      </c>
      <c r="O280" s="13" t="s">
        <v>34</v>
      </c>
      <c r="P280" s="13" t="s">
        <v>34</v>
      </c>
      <c r="Q280" s="14" t="s">
        <v>34</v>
      </c>
      <c r="R280" s="33">
        <f t="shared" si="28"/>
        <v>18839.46</v>
      </c>
    </row>
    <row r="281" spans="1:18" s="34" customFormat="1" x14ac:dyDescent="0.3">
      <c r="A281" s="1" t="s">
        <v>581</v>
      </c>
      <c r="B281" s="5">
        <f t="shared" si="24"/>
        <v>275</v>
      </c>
      <c r="C281" s="4" t="s">
        <v>61</v>
      </c>
      <c r="D281" s="4" t="s">
        <v>35</v>
      </c>
      <c r="E281" s="111"/>
      <c r="F281" s="6" t="s">
        <v>594</v>
      </c>
      <c r="G281" s="7" t="s">
        <v>595</v>
      </c>
      <c r="H281" s="31">
        <v>376.3</v>
      </c>
      <c r="I281" s="15">
        <v>0</v>
      </c>
      <c r="J281" s="11" t="s">
        <v>643</v>
      </c>
      <c r="K281" s="33">
        <v>6008.26</v>
      </c>
      <c r="L281" s="33">
        <f t="shared" si="25"/>
        <v>6008.26</v>
      </c>
      <c r="M281" s="33">
        <f t="shared" si="26"/>
        <v>6008.26</v>
      </c>
      <c r="N281" s="12" t="str">
        <f t="shared" si="27"/>
        <v/>
      </c>
      <c r="O281" s="13" t="s">
        <v>34</v>
      </c>
      <c r="P281" s="13" t="s">
        <v>34</v>
      </c>
      <c r="Q281" s="14" t="s">
        <v>34</v>
      </c>
      <c r="R281" s="33">
        <f t="shared" si="28"/>
        <v>6008.26</v>
      </c>
    </row>
    <row r="282" spans="1:18" s="34" customFormat="1" x14ac:dyDescent="0.3">
      <c r="A282" s="1" t="s">
        <v>581</v>
      </c>
      <c r="B282" s="5">
        <f t="shared" si="24"/>
        <v>276</v>
      </c>
      <c r="C282" s="4" t="s">
        <v>61</v>
      </c>
      <c r="D282" s="4" t="s">
        <v>35</v>
      </c>
      <c r="E282" s="111"/>
      <c r="F282" s="6" t="s">
        <v>596</v>
      </c>
      <c r="G282" s="7" t="s">
        <v>597</v>
      </c>
      <c r="H282" s="31">
        <v>376.2</v>
      </c>
      <c r="I282" s="15">
        <v>0</v>
      </c>
      <c r="J282" s="11" t="s">
        <v>643</v>
      </c>
      <c r="K282" s="33">
        <v>899521.29</v>
      </c>
      <c r="L282" s="33">
        <f t="shared" si="25"/>
        <v>899521.29</v>
      </c>
      <c r="M282" s="33">
        <f t="shared" si="26"/>
        <v>899521.29</v>
      </c>
      <c r="N282" s="12" t="str">
        <f t="shared" si="27"/>
        <v/>
      </c>
      <c r="O282" s="13" t="s">
        <v>34</v>
      </c>
      <c r="P282" s="13" t="s">
        <v>34</v>
      </c>
      <c r="Q282" s="14" t="s">
        <v>34</v>
      </c>
      <c r="R282" s="33">
        <f t="shared" si="28"/>
        <v>899521.29</v>
      </c>
    </row>
    <row r="283" spans="1:18" s="34" customFormat="1" x14ac:dyDescent="0.3">
      <c r="A283" s="1" t="s">
        <v>581</v>
      </c>
      <c r="B283" s="5">
        <f t="shared" si="24"/>
        <v>277</v>
      </c>
      <c r="C283" s="4" t="s">
        <v>61</v>
      </c>
      <c r="D283" s="4" t="s">
        <v>35</v>
      </c>
      <c r="E283" s="111"/>
      <c r="F283" s="6" t="s">
        <v>598</v>
      </c>
      <c r="G283" s="7" t="s">
        <v>599</v>
      </c>
      <c r="H283" s="31">
        <v>378</v>
      </c>
      <c r="I283" s="15">
        <v>0</v>
      </c>
      <c r="J283" s="11" t="s">
        <v>647</v>
      </c>
      <c r="K283" s="33">
        <v>150628.29999999999</v>
      </c>
      <c r="L283" s="33">
        <f t="shared" si="25"/>
        <v>150628.29999999999</v>
      </c>
      <c r="M283" s="33">
        <f t="shared" si="26"/>
        <v>150628.29999999999</v>
      </c>
      <c r="N283" s="12" t="str">
        <f t="shared" si="27"/>
        <v/>
      </c>
      <c r="O283" s="13" t="s">
        <v>34</v>
      </c>
      <c r="P283" s="13" t="s">
        <v>34</v>
      </c>
      <c r="Q283" s="14" t="s">
        <v>34</v>
      </c>
      <c r="R283" s="33">
        <f t="shared" si="28"/>
        <v>150628.29999999999</v>
      </c>
    </row>
    <row r="284" spans="1:18" s="34" customFormat="1" x14ac:dyDescent="0.3">
      <c r="A284" s="1" t="s">
        <v>581</v>
      </c>
      <c r="B284" s="5">
        <f t="shared" si="24"/>
        <v>278</v>
      </c>
      <c r="C284" s="4" t="s">
        <v>61</v>
      </c>
      <c r="D284" s="4" t="s">
        <v>64</v>
      </c>
      <c r="E284" s="111"/>
      <c r="F284" s="6" t="s">
        <v>600</v>
      </c>
      <c r="G284" s="7" t="s">
        <v>601</v>
      </c>
      <c r="H284" s="31">
        <v>394.1</v>
      </c>
      <c r="I284" s="15">
        <v>0</v>
      </c>
      <c r="J284" s="11" t="s">
        <v>647</v>
      </c>
      <c r="K284" s="33">
        <v>2000.19</v>
      </c>
      <c r="L284" s="33">
        <f t="shared" si="25"/>
        <v>2000.19</v>
      </c>
      <c r="M284" s="33">
        <f t="shared" si="26"/>
        <v>2000.19</v>
      </c>
      <c r="N284" s="12" t="str">
        <f t="shared" si="27"/>
        <v/>
      </c>
      <c r="O284" s="13" t="s">
        <v>34</v>
      </c>
      <c r="P284" s="13" t="s">
        <v>34</v>
      </c>
      <c r="Q284" s="14" t="s">
        <v>34</v>
      </c>
      <c r="R284" s="33">
        <f t="shared" si="28"/>
        <v>2000.19</v>
      </c>
    </row>
    <row r="285" spans="1:18" s="34" customFormat="1" x14ac:dyDescent="0.3">
      <c r="A285" s="1" t="s">
        <v>581</v>
      </c>
      <c r="B285" s="5">
        <f t="shared" si="24"/>
        <v>279</v>
      </c>
      <c r="C285" s="4" t="s">
        <v>61</v>
      </c>
      <c r="D285" s="4" t="s">
        <v>35</v>
      </c>
      <c r="E285" s="111"/>
      <c r="F285" s="6" t="s">
        <v>602</v>
      </c>
      <c r="G285" s="7" t="s">
        <v>603</v>
      </c>
      <c r="H285" s="31">
        <v>378</v>
      </c>
      <c r="I285" s="15">
        <v>0</v>
      </c>
      <c r="J285" s="11" t="s">
        <v>647</v>
      </c>
      <c r="K285" s="33">
        <v>154477.99000000002</v>
      </c>
      <c r="L285" s="33">
        <f t="shared" si="25"/>
        <v>154477.99000000002</v>
      </c>
      <c r="M285" s="33">
        <f t="shared" si="26"/>
        <v>154477.99000000002</v>
      </c>
      <c r="N285" s="12" t="str">
        <f t="shared" si="27"/>
        <v/>
      </c>
      <c r="O285" s="13" t="s">
        <v>34</v>
      </c>
      <c r="P285" s="13" t="s">
        <v>34</v>
      </c>
      <c r="Q285" s="14" t="s">
        <v>34</v>
      </c>
      <c r="R285" s="33">
        <f t="shared" si="28"/>
        <v>154477.99000000002</v>
      </c>
    </row>
    <row r="286" spans="1:18" s="34" customFormat="1" x14ac:dyDescent="0.3">
      <c r="A286" s="1" t="s">
        <v>581</v>
      </c>
      <c r="B286" s="5">
        <f t="shared" si="24"/>
        <v>280</v>
      </c>
      <c r="C286" s="4" t="s">
        <v>61</v>
      </c>
      <c r="D286" s="4" t="s">
        <v>35</v>
      </c>
      <c r="E286" s="111"/>
      <c r="F286" s="6" t="s">
        <v>604</v>
      </c>
      <c r="G286" s="7" t="s">
        <v>605</v>
      </c>
      <c r="H286" s="31">
        <v>378</v>
      </c>
      <c r="I286" s="15">
        <v>0</v>
      </c>
      <c r="J286" s="11" t="s">
        <v>649</v>
      </c>
      <c r="K286" s="33">
        <v>550700.07000000007</v>
      </c>
      <c r="L286" s="33">
        <f t="shared" si="25"/>
        <v>550700.07000000007</v>
      </c>
      <c r="M286" s="33">
        <f t="shared" si="26"/>
        <v>550700.07000000007</v>
      </c>
      <c r="N286" s="12" t="str">
        <f t="shared" si="27"/>
        <v/>
      </c>
      <c r="O286" s="13" t="s">
        <v>34</v>
      </c>
      <c r="P286" s="13" t="s">
        <v>34</v>
      </c>
      <c r="Q286" s="14" t="s">
        <v>34</v>
      </c>
      <c r="R286" s="33">
        <f t="shared" si="28"/>
        <v>550700.07000000007</v>
      </c>
    </row>
    <row r="287" spans="1:18" s="34" customFormat="1" x14ac:dyDescent="0.3">
      <c r="A287" s="1" t="s">
        <v>581</v>
      </c>
      <c r="B287" s="5">
        <f t="shared" si="24"/>
        <v>281</v>
      </c>
      <c r="C287" s="4" t="s">
        <v>61</v>
      </c>
      <c r="D287" s="4" t="s">
        <v>35</v>
      </c>
      <c r="E287" s="111"/>
      <c r="F287" s="6" t="s">
        <v>606</v>
      </c>
      <c r="G287" s="7" t="s">
        <v>607</v>
      </c>
      <c r="H287" s="31">
        <v>379</v>
      </c>
      <c r="I287" s="15">
        <v>0</v>
      </c>
      <c r="J287" s="11" t="s">
        <v>642</v>
      </c>
      <c r="K287" s="33">
        <v>77687.100000000006</v>
      </c>
      <c r="L287" s="33">
        <f t="shared" si="25"/>
        <v>77687.100000000006</v>
      </c>
      <c r="M287" s="33">
        <f t="shared" si="26"/>
        <v>77687.100000000006</v>
      </c>
      <c r="N287" s="12" t="str">
        <f t="shared" si="27"/>
        <v/>
      </c>
      <c r="O287" s="13" t="s">
        <v>34</v>
      </c>
      <c r="P287" s="13" t="s">
        <v>34</v>
      </c>
      <c r="Q287" s="14" t="s">
        <v>34</v>
      </c>
      <c r="R287" s="33">
        <f t="shared" si="28"/>
        <v>77687.100000000006</v>
      </c>
    </row>
    <row r="288" spans="1:18" s="34" customFormat="1" x14ac:dyDescent="0.3">
      <c r="A288" s="1" t="s">
        <v>581</v>
      </c>
      <c r="B288" s="5">
        <f t="shared" si="24"/>
        <v>282</v>
      </c>
      <c r="C288" s="4" t="s">
        <v>61</v>
      </c>
      <c r="D288" s="4" t="s">
        <v>35</v>
      </c>
      <c r="E288" s="111"/>
      <c r="F288" s="6" t="s">
        <v>608</v>
      </c>
      <c r="G288" s="7" t="s">
        <v>609</v>
      </c>
      <c r="H288" s="31">
        <v>379</v>
      </c>
      <c r="I288" s="15">
        <v>0</v>
      </c>
      <c r="J288" s="11" t="s">
        <v>642</v>
      </c>
      <c r="K288" s="33">
        <v>161503.67999999999</v>
      </c>
      <c r="L288" s="33">
        <f t="shared" si="25"/>
        <v>161503.67999999999</v>
      </c>
      <c r="M288" s="33">
        <f t="shared" si="26"/>
        <v>161503.67999999999</v>
      </c>
      <c r="N288" s="12" t="str">
        <f t="shared" si="27"/>
        <v/>
      </c>
      <c r="O288" s="13" t="s">
        <v>34</v>
      </c>
      <c r="P288" s="13" t="s">
        <v>34</v>
      </c>
      <c r="Q288" s="14" t="s">
        <v>34</v>
      </c>
      <c r="R288" s="33">
        <f t="shared" si="28"/>
        <v>161503.67999999999</v>
      </c>
    </row>
    <row r="289" spans="1:18" s="34" customFormat="1" x14ac:dyDescent="0.3">
      <c r="A289" s="1" t="s">
        <v>581</v>
      </c>
      <c r="B289" s="5">
        <f t="shared" si="24"/>
        <v>283</v>
      </c>
      <c r="C289" s="4" t="s">
        <v>61</v>
      </c>
      <c r="D289" s="4" t="s">
        <v>35</v>
      </c>
      <c r="E289" s="111"/>
      <c r="F289" s="6" t="s">
        <v>610</v>
      </c>
      <c r="G289" s="7" t="s">
        <v>611</v>
      </c>
      <c r="H289" s="31">
        <v>368.1</v>
      </c>
      <c r="I289" s="15">
        <v>0</v>
      </c>
      <c r="J289" s="11" t="s">
        <v>647</v>
      </c>
      <c r="K289" s="33">
        <v>33830.5</v>
      </c>
      <c r="L289" s="33">
        <f t="shared" si="25"/>
        <v>33830.5</v>
      </c>
      <c r="M289" s="33">
        <f t="shared" si="26"/>
        <v>33830.5</v>
      </c>
      <c r="N289" s="12" t="str">
        <f t="shared" si="27"/>
        <v/>
      </c>
      <c r="O289" s="13" t="s">
        <v>34</v>
      </c>
      <c r="P289" s="13" t="s">
        <v>34</v>
      </c>
      <c r="Q289" s="14" t="s">
        <v>34</v>
      </c>
      <c r="R289" s="33">
        <f t="shared" si="28"/>
        <v>33830.5</v>
      </c>
    </row>
    <row r="290" spans="1:18" s="34" customFormat="1" x14ac:dyDescent="0.3">
      <c r="A290" s="1" t="s">
        <v>581</v>
      </c>
      <c r="B290" s="5">
        <f t="shared" si="24"/>
        <v>284</v>
      </c>
      <c r="C290" s="4" t="s">
        <v>61</v>
      </c>
      <c r="D290" s="4" t="s">
        <v>35</v>
      </c>
      <c r="E290" s="111"/>
      <c r="F290" s="6" t="s">
        <v>612</v>
      </c>
      <c r="G290" s="7" t="s">
        <v>613</v>
      </c>
      <c r="H290" s="31">
        <v>368.1</v>
      </c>
      <c r="I290" s="15">
        <v>0</v>
      </c>
      <c r="J290" s="11" t="s">
        <v>643</v>
      </c>
      <c r="K290" s="33">
        <v>5382.39</v>
      </c>
      <c r="L290" s="33">
        <f t="shared" si="25"/>
        <v>5382.39</v>
      </c>
      <c r="M290" s="33">
        <f t="shared" si="26"/>
        <v>5382.39</v>
      </c>
      <c r="N290" s="12" t="str">
        <f t="shared" si="27"/>
        <v/>
      </c>
      <c r="O290" s="13" t="s">
        <v>34</v>
      </c>
      <c r="P290" s="13" t="s">
        <v>34</v>
      </c>
      <c r="Q290" s="14" t="s">
        <v>34</v>
      </c>
      <c r="R290" s="33">
        <f t="shared" si="28"/>
        <v>5382.39</v>
      </c>
    </row>
    <row r="291" spans="1:18" s="34" customFormat="1" x14ac:dyDescent="0.3">
      <c r="A291" s="1" t="s">
        <v>581</v>
      </c>
      <c r="B291" s="5">
        <f t="shared" si="24"/>
        <v>285</v>
      </c>
      <c r="C291" s="4" t="s">
        <v>61</v>
      </c>
      <c r="D291" s="4" t="s">
        <v>64</v>
      </c>
      <c r="E291" s="111"/>
      <c r="F291" s="6" t="s">
        <v>614</v>
      </c>
      <c r="G291" s="7" t="s">
        <v>615</v>
      </c>
      <c r="H291" s="31">
        <v>390.1</v>
      </c>
      <c r="I291" s="15">
        <v>0</v>
      </c>
      <c r="J291" s="11" t="s">
        <v>647</v>
      </c>
      <c r="K291" s="33">
        <v>10648.640000000001</v>
      </c>
      <c r="L291" s="33">
        <f t="shared" si="25"/>
        <v>10648.640000000001</v>
      </c>
      <c r="M291" s="33">
        <f t="shared" si="26"/>
        <v>10648.640000000001</v>
      </c>
      <c r="N291" s="12" t="str">
        <f t="shared" si="27"/>
        <v/>
      </c>
      <c r="O291" s="13" t="s">
        <v>34</v>
      </c>
      <c r="P291" s="13" t="s">
        <v>34</v>
      </c>
      <c r="Q291" s="14" t="s">
        <v>34</v>
      </c>
      <c r="R291" s="33">
        <f t="shared" si="28"/>
        <v>10648.640000000001</v>
      </c>
    </row>
    <row r="292" spans="1:18" s="34" customFormat="1" x14ac:dyDescent="0.3">
      <c r="A292" s="1" t="s">
        <v>581</v>
      </c>
      <c r="B292" s="5">
        <f t="shared" si="24"/>
        <v>286</v>
      </c>
      <c r="C292" s="4" t="s">
        <v>61</v>
      </c>
      <c r="D292" s="4" t="s">
        <v>64</v>
      </c>
      <c r="E292" s="111"/>
      <c r="F292" s="6" t="s">
        <v>616</v>
      </c>
      <c r="G292" s="7" t="s">
        <v>617</v>
      </c>
      <c r="H292" s="31">
        <v>394.1</v>
      </c>
      <c r="I292" s="15">
        <v>0</v>
      </c>
      <c r="J292" s="11" t="s">
        <v>647</v>
      </c>
      <c r="K292" s="33">
        <v>3527.67</v>
      </c>
      <c r="L292" s="33">
        <f t="shared" si="25"/>
        <v>3527.67</v>
      </c>
      <c r="M292" s="33">
        <f t="shared" si="26"/>
        <v>3527.67</v>
      </c>
      <c r="N292" s="12" t="str">
        <f t="shared" si="27"/>
        <v/>
      </c>
      <c r="O292" s="13" t="s">
        <v>34</v>
      </c>
      <c r="P292" s="13" t="s">
        <v>34</v>
      </c>
      <c r="Q292" s="14" t="s">
        <v>34</v>
      </c>
      <c r="R292" s="33">
        <f t="shared" si="28"/>
        <v>3527.67</v>
      </c>
    </row>
    <row r="293" spans="1:18" s="34" customFormat="1" x14ac:dyDescent="0.3">
      <c r="A293" s="1" t="s">
        <v>581</v>
      </c>
      <c r="B293" s="5">
        <f t="shared" si="24"/>
        <v>287</v>
      </c>
      <c r="C293" s="4" t="s">
        <v>61</v>
      </c>
      <c r="D293" s="4" t="s">
        <v>64</v>
      </c>
      <c r="E293" s="111"/>
      <c r="F293" s="6" t="s">
        <v>618</v>
      </c>
      <c r="G293" s="7" t="s">
        <v>619</v>
      </c>
      <c r="H293" s="31">
        <v>390.1</v>
      </c>
      <c r="I293" s="15">
        <v>0</v>
      </c>
      <c r="J293" s="11" t="s">
        <v>643</v>
      </c>
      <c r="K293" s="33">
        <v>12634.23</v>
      </c>
      <c r="L293" s="33">
        <f t="shared" si="25"/>
        <v>12634.23</v>
      </c>
      <c r="M293" s="33">
        <f t="shared" si="26"/>
        <v>12634.23</v>
      </c>
      <c r="N293" s="12" t="str">
        <f t="shared" si="27"/>
        <v/>
      </c>
      <c r="O293" s="13" t="s">
        <v>34</v>
      </c>
      <c r="P293" s="13" t="s">
        <v>34</v>
      </c>
      <c r="Q293" s="14" t="s">
        <v>34</v>
      </c>
      <c r="R293" s="33">
        <f t="shared" si="28"/>
        <v>12634.23</v>
      </c>
    </row>
    <row r="294" spans="1:18" s="34" customFormat="1" x14ac:dyDescent="0.3">
      <c r="A294" s="1" t="s">
        <v>581</v>
      </c>
      <c r="B294" s="5">
        <f t="shared" si="24"/>
        <v>288</v>
      </c>
      <c r="C294" s="4" t="s">
        <v>61</v>
      </c>
      <c r="D294" s="4" t="s">
        <v>64</v>
      </c>
      <c r="E294" s="111"/>
      <c r="F294" s="6" t="s">
        <v>620</v>
      </c>
      <c r="G294" s="7" t="s">
        <v>621</v>
      </c>
      <c r="H294" s="31">
        <v>390.1</v>
      </c>
      <c r="I294" s="15">
        <v>0</v>
      </c>
      <c r="J294" s="11" t="s">
        <v>649</v>
      </c>
      <c r="K294" s="33">
        <v>5783.06</v>
      </c>
      <c r="L294" s="33">
        <f t="shared" si="25"/>
        <v>5783.06</v>
      </c>
      <c r="M294" s="33">
        <f t="shared" si="26"/>
        <v>5783.06</v>
      </c>
      <c r="N294" s="12" t="str">
        <f t="shared" si="27"/>
        <v/>
      </c>
      <c r="O294" s="13" t="s">
        <v>34</v>
      </c>
      <c r="P294" s="13" t="s">
        <v>34</v>
      </c>
      <c r="Q294" s="14" t="s">
        <v>34</v>
      </c>
      <c r="R294" s="33">
        <f t="shared" si="28"/>
        <v>5783.06</v>
      </c>
    </row>
    <row r="295" spans="1:18" s="4" customFormat="1" x14ac:dyDescent="0.3">
      <c r="A295" s="1" t="s">
        <v>581</v>
      </c>
      <c r="B295" s="5">
        <f t="shared" si="24"/>
        <v>289</v>
      </c>
      <c r="C295" s="4" t="s">
        <v>61</v>
      </c>
      <c r="D295" s="4" t="s">
        <v>64</v>
      </c>
      <c r="E295" s="111"/>
      <c r="F295" s="6" t="s">
        <v>622</v>
      </c>
      <c r="G295" s="7" t="s">
        <v>623</v>
      </c>
      <c r="H295" s="31">
        <v>389</v>
      </c>
      <c r="I295" s="15">
        <v>0</v>
      </c>
      <c r="J295" s="11" t="s">
        <v>649</v>
      </c>
      <c r="K295" s="33">
        <v>2328452.4500000002</v>
      </c>
      <c r="L295" s="33">
        <f t="shared" si="25"/>
        <v>2328452.4500000002</v>
      </c>
      <c r="M295" s="33">
        <f t="shared" si="26"/>
        <v>2328452.4500000002</v>
      </c>
      <c r="N295" s="12" t="str">
        <f t="shared" si="27"/>
        <v/>
      </c>
      <c r="O295" s="13" t="s">
        <v>34</v>
      </c>
      <c r="P295" s="13" t="s">
        <v>34</v>
      </c>
      <c r="Q295" s="14" t="s">
        <v>34</v>
      </c>
      <c r="R295" s="33">
        <f t="shared" si="28"/>
        <v>2328452.4500000002</v>
      </c>
    </row>
    <row r="296" spans="1:18" s="4" customFormat="1" x14ac:dyDescent="0.3">
      <c r="A296" s="1" t="s">
        <v>581</v>
      </c>
      <c r="B296" s="5">
        <f t="shared" si="24"/>
        <v>290</v>
      </c>
      <c r="C296" s="4" t="s">
        <v>61</v>
      </c>
      <c r="D296" s="4" t="s">
        <v>103</v>
      </c>
      <c r="E296" s="111"/>
      <c r="F296" s="6" t="s">
        <v>624</v>
      </c>
      <c r="G296" s="7" t="s">
        <v>625</v>
      </c>
      <c r="H296" s="31">
        <v>303</v>
      </c>
      <c r="I296" s="15">
        <v>0</v>
      </c>
      <c r="J296" s="11" t="s">
        <v>643</v>
      </c>
      <c r="K296" s="33">
        <v>59474.49</v>
      </c>
      <c r="L296" s="33">
        <f t="shared" si="25"/>
        <v>59474.49</v>
      </c>
      <c r="M296" s="33">
        <f t="shared" si="26"/>
        <v>59474.49</v>
      </c>
      <c r="N296" s="12" t="str">
        <f t="shared" si="27"/>
        <v/>
      </c>
      <c r="O296" s="13" t="s">
        <v>34</v>
      </c>
      <c r="P296" s="13" t="s">
        <v>34</v>
      </c>
      <c r="Q296" s="14" t="s">
        <v>34</v>
      </c>
      <c r="R296" s="33">
        <f t="shared" si="28"/>
        <v>59474.49</v>
      </c>
    </row>
    <row r="297" spans="1:18" s="4" customFormat="1" x14ac:dyDescent="0.3">
      <c r="A297" s="1" t="s">
        <v>581</v>
      </c>
      <c r="B297" s="5">
        <f t="shared" si="24"/>
        <v>291</v>
      </c>
      <c r="C297" s="4" t="s">
        <v>61</v>
      </c>
      <c r="D297" s="4" t="s">
        <v>64</v>
      </c>
      <c r="E297" s="111"/>
      <c r="F297" s="6" t="s">
        <v>626</v>
      </c>
      <c r="G297" s="7" t="s">
        <v>627</v>
      </c>
      <c r="H297" s="31">
        <v>394.1</v>
      </c>
      <c r="I297" s="15">
        <v>0</v>
      </c>
      <c r="J297" s="11" t="s">
        <v>649</v>
      </c>
      <c r="K297" s="33">
        <v>18297.080000000002</v>
      </c>
      <c r="L297" s="33">
        <f t="shared" si="25"/>
        <v>18297.080000000002</v>
      </c>
      <c r="M297" s="33">
        <f t="shared" si="26"/>
        <v>18297.080000000002</v>
      </c>
      <c r="N297" s="12" t="str">
        <f t="shared" si="27"/>
        <v/>
      </c>
      <c r="O297" s="13" t="s">
        <v>34</v>
      </c>
      <c r="P297" s="13" t="s">
        <v>34</v>
      </c>
      <c r="Q297" s="14" t="s">
        <v>34</v>
      </c>
      <c r="R297" s="33">
        <f t="shared" si="28"/>
        <v>18297.080000000002</v>
      </c>
    </row>
    <row r="298" spans="1:18" s="4" customFormat="1" x14ac:dyDescent="0.3">
      <c r="A298" s="1" t="s">
        <v>581</v>
      </c>
      <c r="B298" s="5">
        <f t="shared" si="24"/>
        <v>292</v>
      </c>
      <c r="C298" s="4" t="s">
        <v>61</v>
      </c>
      <c r="D298" s="4" t="s">
        <v>64</v>
      </c>
      <c r="E298" s="111"/>
      <c r="F298" s="6" t="s">
        <v>628</v>
      </c>
      <c r="G298" s="7" t="s">
        <v>629</v>
      </c>
      <c r="H298" s="31">
        <v>394.1</v>
      </c>
      <c r="I298" s="15">
        <v>0</v>
      </c>
      <c r="J298" s="11" t="s">
        <v>649</v>
      </c>
      <c r="K298" s="33">
        <v>1289.73</v>
      </c>
      <c r="L298" s="33">
        <f t="shared" si="25"/>
        <v>1289.73</v>
      </c>
      <c r="M298" s="33">
        <f t="shared" si="26"/>
        <v>1289.73</v>
      </c>
      <c r="N298" s="12" t="str">
        <f t="shared" si="27"/>
        <v/>
      </c>
      <c r="O298" s="13" t="s">
        <v>34</v>
      </c>
      <c r="P298" s="13" t="s">
        <v>34</v>
      </c>
      <c r="Q298" s="14" t="s">
        <v>34</v>
      </c>
      <c r="R298" s="33">
        <f t="shared" si="28"/>
        <v>1289.73</v>
      </c>
    </row>
    <row r="299" spans="1:18" s="34" customFormat="1" x14ac:dyDescent="0.3">
      <c r="A299" s="1" t="s">
        <v>581</v>
      </c>
      <c r="B299" s="5">
        <f t="shared" si="24"/>
        <v>293</v>
      </c>
      <c r="C299" s="4" t="s">
        <v>61</v>
      </c>
      <c r="D299" s="4" t="s">
        <v>64</v>
      </c>
      <c r="E299" s="111"/>
      <c r="F299" s="6" t="s">
        <v>630</v>
      </c>
      <c r="G299" s="7" t="s">
        <v>631</v>
      </c>
      <c r="H299" s="31">
        <v>376.3</v>
      </c>
      <c r="I299" s="15">
        <v>0</v>
      </c>
      <c r="J299" s="11" t="s">
        <v>643</v>
      </c>
      <c r="K299" s="33">
        <v>17850.439999999999</v>
      </c>
      <c r="L299" s="33">
        <f t="shared" si="25"/>
        <v>17850.439999999999</v>
      </c>
      <c r="M299" s="33">
        <f t="shared" si="26"/>
        <v>17850.439999999999</v>
      </c>
      <c r="N299" s="12" t="str">
        <f t="shared" si="27"/>
        <v/>
      </c>
      <c r="O299" s="13" t="s">
        <v>34</v>
      </c>
      <c r="P299" s="13" t="s">
        <v>34</v>
      </c>
      <c r="Q299" s="14" t="s">
        <v>34</v>
      </c>
      <c r="R299" s="33">
        <f t="shared" si="28"/>
        <v>17850.439999999999</v>
      </c>
    </row>
    <row r="300" spans="1:18" s="4" customFormat="1" x14ac:dyDescent="0.3">
      <c r="A300" s="1" t="s">
        <v>581</v>
      </c>
      <c r="B300" s="5">
        <f t="shared" si="24"/>
        <v>294</v>
      </c>
      <c r="C300" s="4" t="s">
        <v>61</v>
      </c>
      <c r="D300" s="4" t="s">
        <v>64</v>
      </c>
      <c r="E300" s="111"/>
      <c r="F300" s="6" t="s">
        <v>632</v>
      </c>
      <c r="G300" s="7" t="s">
        <v>633</v>
      </c>
      <c r="H300" s="31">
        <v>394.1</v>
      </c>
      <c r="I300" s="15">
        <v>0</v>
      </c>
      <c r="J300" s="11" t="s">
        <v>643</v>
      </c>
      <c r="K300" s="33">
        <v>4485.8900000000003</v>
      </c>
      <c r="L300" s="33">
        <f t="shared" si="25"/>
        <v>4485.8900000000003</v>
      </c>
      <c r="M300" s="33">
        <f t="shared" si="26"/>
        <v>4485.8900000000003</v>
      </c>
      <c r="N300" s="12" t="str">
        <f t="shared" si="27"/>
        <v/>
      </c>
      <c r="O300" s="13" t="s">
        <v>34</v>
      </c>
      <c r="P300" s="13" t="s">
        <v>34</v>
      </c>
      <c r="Q300" s="14" t="s">
        <v>34</v>
      </c>
      <c r="R300" s="33">
        <f t="shared" si="28"/>
        <v>4485.8900000000003</v>
      </c>
    </row>
    <row r="301" spans="1:18" s="24" customFormat="1" ht="17.5" customHeight="1" x14ac:dyDescent="0.35">
      <c r="A301" s="17" t="s">
        <v>634</v>
      </c>
      <c r="B301" s="5">
        <f t="shared" si="24"/>
        <v>295</v>
      </c>
      <c r="C301" s="18" t="s">
        <v>635</v>
      </c>
      <c r="D301" s="18"/>
      <c r="E301" s="112"/>
      <c r="F301" s="134" t="s">
        <v>57</v>
      </c>
      <c r="G301" s="18"/>
      <c r="H301" s="18"/>
      <c r="I301" s="20">
        <f>SUMIFS(I:I,$A:$A,"C")</f>
        <v>0</v>
      </c>
      <c r="J301" s="21"/>
      <c r="K301" s="20">
        <f>SUMIFS(K:K,$A:$A,"C")</f>
        <v>5317938.2300000014</v>
      </c>
      <c r="L301" s="20">
        <f>SUMIFS(L:L,$A:$A,"C")</f>
        <v>5317938.2300000014</v>
      </c>
      <c r="M301" s="20">
        <f>SUMIFS(M:M,$A:$A,"C")</f>
        <v>5317938.2300000014</v>
      </c>
      <c r="N301" s="22"/>
      <c r="O301" s="21"/>
      <c r="P301" s="21"/>
      <c r="Q301" s="23"/>
      <c r="R301" s="20">
        <f>SUMIFS(R:R,$A:$A,"C")</f>
        <v>5317938.2300000014</v>
      </c>
    </row>
    <row r="302" spans="1:18" s="24" customFormat="1" ht="17.5" customHeight="1" x14ac:dyDescent="0.35">
      <c r="A302" s="17" t="s">
        <v>636</v>
      </c>
      <c r="B302" s="5">
        <f t="shared" si="24"/>
        <v>296</v>
      </c>
      <c r="C302" s="18" t="s">
        <v>637</v>
      </c>
      <c r="D302" s="18"/>
      <c r="E302" s="112"/>
      <c r="F302" s="18"/>
      <c r="G302" s="18"/>
      <c r="H302" s="18"/>
      <c r="I302" s="20">
        <f>SUMIFS(I:I,$C:$C,"Portfolio Review")</f>
        <v>60869895.300984845</v>
      </c>
      <c r="J302" s="21"/>
      <c r="K302" s="20">
        <f>SUMIFS(K:K,$C:$C,"Portfolio Review")</f>
        <v>42709073.270000011</v>
      </c>
      <c r="L302" s="20">
        <f>SUMIFS(L:L,$C:$C,"Portfolio Review")</f>
        <v>42709073.270000011</v>
      </c>
      <c r="M302" s="20">
        <f>SUMIFS(M:M,$C:$C,"Portfolio Review")</f>
        <v>-18160822.030984793</v>
      </c>
      <c r="N302" s="22"/>
      <c r="O302" s="21"/>
      <c r="P302" s="21"/>
      <c r="Q302" s="23"/>
      <c r="R302" s="20">
        <f>SUMIFS(R:R,$C:$C,"Portfolio Review")</f>
        <v>42709073.270000011</v>
      </c>
    </row>
    <row r="303" spans="1:18" s="53" customFormat="1" ht="17.5" customHeight="1" x14ac:dyDescent="0.35">
      <c r="A303" s="51" t="s">
        <v>638</v>
      </c>
      <c r="B303" s="5">
        <f t="shared" si="24"/>
        <v>297</v>
      </c>
      <c r="C303" s="52" t="s">
        <v>639</v>
      </c>
      <c r="D303" s="52"/>
      <c r="E303" s="114"/>
      <c r="F303" s="135" t="s">
        <v>57</v>
      </c>
      <c r="I303" s="54">
        <v>-4599290</v>
      </c>
      <c r="J303" s="55"/>
      <c r="K303" s="56"/>
      <c r="L303" s="56"/>
      <c r="M303" s="54">
        <f>SUM(K303)-I303</f>
        <v>4599290</v>
      </c>
      <c r="N303" s="57"/>
      <c r="O303" s="58"/>
      <c r="P303" s="58"/>
      <c r="Q303" s="59"/>
      <c r="R303" s="54"/>
    </row>
    <row r="304" spans="1:18" s="24" customFormat="1" ht="17.5" customHeight="1" x14ac:dyDescent="0.35">
      <c r="A304" s="17" t="s">
        <v>640</v>
      </c>
      <c r="B304" s="5">
        <f t="shared" si="24"/>
        <v>298</v>
      </c>
      <c r="C304" s="18" t="s">
        <v>57</v>
      </c>
      <c r="D304" s="18"/>
      <c r="E304" s="112"/>
      <c r="F304" s="19"/>
      <c r="G304" s="18"/>
      <c r="H304" s="18"/>
      <c r="I304" s="20">
        <f>SUMIFS(I:I,$F:$F,$C304)</f>
        <v>97736857.93296884</v>
      </c>
      <c r="J304" s="21"/>
      <c r="K304" s="20">
        <f>SUMIFS(K:K,$F:$F,$C304)</f>
        <v>72125001.320000023</v>
      </c>
      <c r="L304" s="20">
        <f>SUMIFS(L:L,$F:$F,$C304)</f>
        <v>72125001.320000023</v>
      </c>
      <c r="M304" s="20">
        <f>SUMIFS(M:M,$F:$F,$C304)</f>
        <v>-25611856.612968799</v>
      </c>
      <c r="N304" s="22"/>
      <c r="O304" s="21"/>
      <c r="P304" s="21"/>
      <c r="Q304" s="23"/>
      <c r="R304" s="20">
        <f>SUMIFS(R:R,$F:$F,$C304)</f>
        <v>67984747.05972302</v>
      </c>
    </row>
    <row r="305" spans="13:18" x14ac:dyDescent="0.3">
      <c r="M305" s="63"/>
      <c r="R305" s="63"/>
    </row>
  </sheetData>
  <autoFilter ref="A6:Q304" xr:uid="{9CB23BC9-C5DB-4C2B-8CF3-B729DAAA83A1}">
    <sortState xmlns:xlrd2="http://schemas.microsoft.com/office/spreadsheetml/2017/richdata2" ref="A7:Q304">
      <sortCondition ref="A6"/>
    </sortState>
  </autoFilter>
  <mergeCells count="3">
    <mergeCell ref="B1:R1"/>
    <mergeCell ref="B2:R2"/>
    <mergeCell ref="B3:R3"/>
  </mergeCells>
  <pageMargins left="0.2" right="0.2" top="0.5" bottom="0.45" header="0.3" footer="0.3"/>
  <pageSetup scale="57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7FFB-6708-415C-A8B0-806310C790EB}">
  <sheetPr>
    <pageSetUpPr fitToPage="1"/>
  </sheetPr>
  <dimension ref="A1:S131"/>
  <sheetViews>
    <sheetView zoomScaleNormal="100" workbookViewId="0">
      <selection sqref="A1:G41"/>
    </sheetView>
  </sheetViews>
  <sheetFormatPr defaultColWidth="9.1796875" defaultRowHeight="14.5" outlineLevelRow="1" x14ac:dyDescent="0.35"/>
  <cols>
    <col min="1" max="1" width="6.54296875" style="68" bestFit="1" customWidth="1"/>
    <col min="2" max="2" width="57.1796875" style="67" customWidth="1"/>
    <col min="3" max="3" width="48.453125" style="67" customWidth="1"/>
    <col min="4" max="4" width="15.453125" style="67" bestFit="1" customWidth="1"/>
    <col min="5" max="5" width="14.453125" style="67" bestFit="1" customWidth="1"/>
    <col min="6" max="6" width="36.54296875" style="67" bestFit="1" customWidth="1"/>
    <col min="7" max="7" width="35.453125" style="67" bestFit="1" customWidth="1"/>
    <col min="8" max="13" width="12" style="67" bestFit="1" customWidth="1"/>
    <col min="14" max="15" width="8" style="67" bestFit="1" customWidth="1"/>
    <col min="16" max="17" width="9" style="67" bestFit="1" customWidth="1"/>
    <col min="18" max="19" width="10" style="67" bestFit="1" customWidth="1"/>
    <col min="20" max="16384" width="9.1796875" style="67"/>
  </cols>
  <sheetData>
    <row r="1" spans="1:19" x14ac:dyDescent="0.35">
      <c r="A1" s="133" t="s">
        <v>0</v>
      </c>
      <c r="B1" s="133"/>
      <c r="C1" s="133"/>
      <c r="D1" s="66"/>
      <c r="E1" s="66"/>
    </row>
    <row r="2" spans="1:19" x14ac:dyDescent="0.35">
      <c r="A2" s="133" t="s">
        <v>654</v>
      </c>
      <c r="B2" s="133"/>
      <c r="C2" s="133"/>
      <c r="D2" s="66"/>
      <c r="E2" s="66"/>
    </row>
    <row r="3" spans="1:19" x14ac:dyDescent="0.35">
      <c r="A3" s="133" t="s">
        <v>655</v>
      </c>
      <c r="B3" s="133"/>
      <c r="C3" s="133"/>
      <c r="D3" s="66"/>
      <c r="E3" s="66"/>
    </row>
    <row r="4" spans="1:19" x14ac:dyDescent="0.35">
      <c r="A4" s="133" t="s">
        <v>656</v>
      </c>
      <c r="B4" s="133"/>
      <c r="C4" s="133"/>
      <c r="D4" s="66"/>
      <c r="E4" s="66"/>
    </row>
    <row r="5" spans="1:19" x14ac:dyDescent="0.35">
      <c r="A5" s="133" t="s">
        <v>657</v>
      </c>
      <c r="B5" s="133"/>
      <c r="C5" s="133"/>
      <c r="D5" s="66"/>
      <c r="E5" s="66"/>
    </row>
    <row r="6" spans="1:19" x14ac:dyDescent="0.35">
      <c r="A6" s="133" t="s">
        <v>743</v>
      </c>
      <c r="B6" s="133"/>
      <c r="C6" s="133"/>
      <c r="D6" s="66"/>
      <c r="E6" s="66"/>
    </row>
    <row r="7" spans="1:19" x14ac:dyDescent="0.35"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s="68" customFormat="1" ht="29" outlineLevel="1" x14ac:dyDescent="0.35">
      <c r="A8" s="70" t="s">
        <v>658</v>
      </c>
      <c r="B8" s="70" t="s">
        <v>659</v>
      </c>
      <c r="C8" s="70" t="s">
        <v>660</v>
      </c>
      <c r="G8" s="67"/>
      <c r="H8" s="67"/>
      <c r="I8" s="67"/>
      <c r="J8" s="71"/>
      <c r="K8" s="67"/>
      <c r="L8" s="67"/>
      <c r="M8" s="67"/>
      <c r="N8" s="67"/>
    </row>
    <row r="9" spans="1:19" outlineLevel="1" x14ac:dyDescent="0.35">
      <c r="A9" s="72"/>
      <c r="B9" s="72" t="s">
        <v>29</v>
      </c>
      <c r="C9" s="72" t="s">
        <v>60</v>
      </c>
      <c r="D9" s="69"/>
    </row>
    <row r="10" spans="1:19" outlineLevel="1" x14ac:dyDescent="0.35">
      <c r="A10" s="68">
        <v>1</v>
      </c>
      <c r="B10" s="131" t="s">
        <v>661</v>
      </c>
      <c r="C10" s="131"/>
      <c r="D10" s="69"/>
      <c r="F10" s="72" t="s">
        <v>659</v>
      </c>
      <c r="G10" s="72" t="s">
        <v>660</v>
      </c>
    </row>
    <row r="11" spans="1:19" outlineLevel="1" x14ac:dyDescent="0.35">
      <c r="A11" s="68">
        <f>MAX($A$10:A10)+1</f>
        <v>2</v>
      </c>
      <c r="B11" s="67" t="s">
        <v>662</v>
      </c>
      <c r="C11" s="73">
        <v>97736857.992968857</v>
      </c>
      <c r="D11" s="69"/>
      <c r="F11" t="s">
        <v>663</v>
      </c>
      <c r="G11" s="74">
        <f>-C31-C34+((C31+C34)*0.21)-C39</f>
        <v>-2575431.9032736183</v>
      </c>
    </row>
    <row r="12" spans="1:19" outlineLevel="1" x14ac:dyDescent="0.35">
      <c r="A12" s="68">
        <f>MAX($A$10:A11)+1</f>
        <v>3</v>
      </c>
      <c r="B12" s="75" t="s">
        <v>664</v>
      </c>
      <c r="C12" s="76">
        <f>ROUND(C11*-2.9%,0)</f>
        <v>-2834369</v>
      </c>
      <c r="D12" s="77"/>
      <c r="F12" t="s">
        <v>665</v>
      </c>
      <c r="G12" s="74">
        <f>C13+C18+C20</f>
        <v>62684148.133767121</v>
      </c>
    </row>
    <row r="13" spans="1:19" outlineLevel="1" x14ac:dyDescent="0.35">
      <c r="A13" s="68">
        <f>MAX($A$10:A12)+1</f>
        <v>4</v>
      </c>
      <c r="B13" s="75" t="s">
        <v>666</v>
      </c>
      <c r="C13" s="73">
        <f>SUM(C11:C12)</f>
        <v>94902488.992968857</v>
      </c>
    </row>
    <row r="14" spans="1:19" outlineLevel="1" x14ac:dyDescent="0.35">
      <c r="A14" s="68">
        <f>MAX($A$10:A13)+1</f>
        <v>5</v>
      </c>
      <c r="B14" s="75"/>
      <c r="C14" s="78"/>
      <c r="F14" t="s">
        <v>667</v>
      </c>
      <c r="G14" s="79">
        <v>7.1849999999999997E-2</v>
      </c>
    </row>
    <row r="15" spans="1:19" outlineLevel="1" x14ac:dyDescent="0.35">
      <c r="A15" s="68">
        <f>MAX($A$10:A14)+1</f>
        <v>6</v>
      </c>
      <c r="B15" s="75" t="s">
        <v>668</v>
      </c>
      <c r="C15" s="80">
        <v>-33840422.285791397</v>
      </c>
      <c r="F15" t="s">
        <v>669</v>
      </c>
      <c r="G15" s="81">
        <v>0.75110130289694599</v>
      </c>
    </row>
    <row r="16" spans="1:19" outlineLevel="1" x14ac:dyDescent="0.35">
      <c r="A16" s="68">
        <f>MAX($A$10:A15)+1</f>
        <v>7</v>
      </c>
      <c r="B16" s="75" t="s">
        <v>664</v>
      </c>
      <c r="C16" s="82">
        <f>-C12</f>
        <v>2834369</v>
      </c>
    </row>
    <row r="17" spans="1:7" outlineLevel="1" x14ac:dyDescent="0.35">
      <c r="A17" s="68">
        <f>MAX($A$10:A16)+1</f>
        <v>8</v>
      </c>
      <c r="B17" s="75" t="s">
        <v>670</v>
      </c>
      <c r="C17" s="83">
        <v>-1530560.75</v>
      </c>
      <c r="F17" t="s">
        <v>671</v>
      </c>
      <c r="G17" s="84">
        <f>((G12*G14)-G11)/G15</f>
        <v>9425210.5799583346</v>
      </c>
    </row>
    <row r="18" spans="1:7" outlineLevel="1" x14ac:dyDescent="0.35">
      <c r="A18" s="68">
        <f>MAX($A$10:A17)+1</f>
        <v>9</v>
      </c>
      <c r="B18" s="75" t="s">
        <v>672</v>
      </c>
      <c r="C18" s="82">
        <f>SUM(C15:C17)</f>
        <v>-32536614.035791397</v>
      </c>
      <c r="F18"/>
      <c r="G18" s="77"/>
    </row>
    <row r="19" spans="1:7" outlineLevel="1" x14ac:dyDescent="0.35">
      <c r="A19" s="68">
        <f>MAX($A$10:A18)+1</f>
        <v>10</v>
      </c>
      <c r="B19" s="75"/>
      <c r="C19" s="78"/>
      <c r="D19" s="71"/>
    </row>
    <row r="20" spans="1:7" outlineLevel="1" x14ac:dyDescent="0.35">
      <c r="A20" s="68">
        <f>MAX($A$10:A19)+1</f>
        <v>11</v>
      </c>
      <c r="B20" s="75" t="s">
        <v>673</v>
      </c>
      <c r="C20" s="80">
        <v>318273.17658965732</v>
      </c>
    </row>
    <row r="21" spans="1:7" outlineLevel="1" x14ac:dyDescent="0.35">
      <c r="A21" s="68">
        <f>MAX($A$10:A20)+1</f>
        <v>12</v>
      </c>
      <c r="B21" s="72"/>
      <c r="C21" s="72"/>
    </row>
    <row r="22" spans="1:7" outlineLevel="1" x14ac:dyDescent="0.35">
      <c r="A22" s="68">
        <f>MAX($A$10:A21)+1</f>
        <v>13</v>
      </c>
      <c r="B22" s="131" t="s">
        <v>674</v>
      </c>
      <c r="C22" s="131"/>
      <c r="D22"/>
    </row>
    <row r="23" spans="1:7" outlineLevel="1" x14ac:dyDescent="0.35">
      <c r="A23" s="68">
        <f>MAX($A$10:A22)+1</f>
        <v>14</v>
      </c>
      <c r="B23" s="67" t="s">
        <v>675</v>
      </c>
      <c r="C23" s="85">
        <f>SUM(C83:N83,C88:N88,C95:N95)</f>
        <v>1571477.0432382778</v>
      </c>
    </row>
    <row r="24" spans="1:7" outlineLevel="1" x14ac:dyDescent="0.35">
      <c r="A24" s="68">
        <f>MAX($A$10:A23)+1</f>
        <v>15</v>
      </c>
    </row>
    <row r="25" spans="1:7" outlineLevel="1" x14ac:dyDescent="0.35">
      <c r="A25" s="68">
        <f>MAX($A$10:A24)+1</f>
        <v>16</v>
      </c>
      <c r="B25" s="75" t="s">
        <v>676</v>
      </c>
      <c r="C25" s="80">
        <v>66819.203878491579</v>
      </c>
      <c r="D25" s="86"/>
    </row>
    <row r="26" spans="1:7" outlineLevel="1" x14ac:dyDescent="0.35">
      <c r="A26" s="68">
        <f>MAX($A$10:A25)+1</f>
        <v>17</v>
      </c>
      <c r="B26" s="75"/>
      <c r="C26" s="80"/>
    </row>
    <row r="27" spans="1:7" outlineLevel="1" x14ac:dyDescent="0.35">
      <c r="A27" s="68">
        <f>MAX($A$10:A26)+1</f>
        <v>18</v>
      </c>
      <c r="B27" s="67" t="s">
        <v>677</v>
      </c>
      <c r="C27" s="74">
        <v>10558.529677620663</v>
      </c>
    </row>
    <row r="28" spans="1:7" outlineLevel="1" x14ac:dyDescent="0.35">
      <c r="A28" s="68">
        <f>MAX($A$10:A27)+1</f>
        <v>19</v>
      </c>
    </row>
    <row r="29" spans="1:7" outlineLevel="1" x14ac:dyDescent="0.35">
      <c r="A29" s="68">
        <f>MAX($A$10:A28)+1</f>
        <v>20</v>
      </c>
      <c r="B29" s="67" t="s">
        <v>678</v>
      </c>
      <c r="C29" s="80">
        <v>3196917.6633007824</v>
      </c>
    </row>
    <row r="30" spans="1:7" outlineLevel="1" x14ac:dyDescent="0.35">
      <c r="A30" s="68">
        <f>MAX($A$10:A29)+1</f>
        <v>21</v>
      </c>
      <c r="B30" s="67" t="s">
        <v>679</v>
      </c>
      <c r="C30" s="87">
        <f>ROUND(C12*0.0306,2)</f>
        <v>-86731.69</v>
      </c>
      <c r="E30" s="86"/>
    </row>
    <row r="31" spans="1:7" outlineLevel="1" x14ac:dyDescent="0.35">
      <c r="A31" s="68">
        <f>MAX($A$10:A30)+1</f>
        <v>22</v>
      </c>
      <c r="B31" s="67" t="s">
        <v>680</v>
      </c>
      <c r="C31" s="80">
        <f>C29+C30</f>
        <v>3110185.9733007825</v>
      </c>
      <c r="E31" s="86"/>
    </row>
    <row r="32" spans="1:7" outlineLevel="1" x14ac:dyDescent="0.35">
      <c r="A32" s="68">
        <f>MAX($A$10:A31)+1</f>
        <v>23</v>
      </c>
      <c r="E32" s="86"/>
    </row>
    <row r="33" spans="1:14" outlineLevel="1" x14ac:dyDescent="0.35">
      <c r="A33" s="68">
        <f>MAX($A$10:A32)+1</f>
        <v>24</v>
      </c>
      <c r="B33" s="67" t="s">
        <v>681</v>
      </c>
      <c r="C33" s="88">
        <v>2.3110645880156972E-3</v>
      </c>
      <c r="E33" s="86"/>
      <c r="F33" s="89"/>
    </row>
    <row r="34" spans="1:14" outlineLevel="1" x14ac:dyDescent="0.35">
      <c r="A34" s="68">
        <f>MAX($A$10:A33)+1</f>
        <v>25</v>
      </c>
      <c r="B34" s="67" t="s">
        <v>682</v>
      </c>
      <c r="C34" s="80">
        <f>ROUND(C13*C33,2)</f>
        <v>219325.78</v>
      </c>
      <c r="E34" s="86"/>
      <c r="F34" s="90"/>
    </row>
    <row r="35" spans="1:14" outlineLevel="1" x14ac:dyDescent="0.35">
      <c r="A35" s="68">
        <f>MAX($A$10:A34)+1</f>
        <v>26</v>
      </c>
      <c r="C35" s="80"/>
    </row>
    <row r="36" spans="1:14" outlineLevel="1" x14ac:dyDescent="0.35">
      <c r="A36" s="68">
        <f>MAX($A$10:A35)+1</f>
        <v>27</v>
      </c>
      <c r="B36" t="s">
        <v>683</v>
      </c>
      <c r="C36" s="80">
        <v>-292500</v>
      </c>
      <c r="D36" s="67" t="s">
        <v>684</v>
      </c>
      <c r="E36" s="86">
        <f>C36-E37</f>
        <v>-280000</v>
      </c>
      <c r="F36" s="86"/>
    </row>
    <row r="37" spans="1:14" outlineLevel="1" x14ac:dyDescent="0.35">
      <c r="A37" s="68">
        <f>MAX($A$10:A36)+1</f>
        <v>28</v>
      </c>
      <c r="C37" s="80"/>
      <c r="D37" s="67" t="s">
        <v>685</v>
      </c>
      <c r="E37" s="86">
        <v>-12500</v>
      </c>
      <c r="G37" s="86"/>
    </row>
    <row r="38" spans="1:14" outlineLevel="1" x14ac:dyDescent="0.35">
      <c r="A38" s="68">
        <f>MAX($A$10:A37)+1</f>
        <v>29</v>
      </c>
      <c r="B38" s="67" t="s">
        <v>686</v>
      </c>
      <c r="C38" s="85">
        <v>-324011.6131599095</v>
      </c>
      <c r="E38" s="71"/>
      <c r="G38" s="91"/>
    </row>
    <row r="39" spans="1:14" outlineLevel="1" x14ac:dyDescent="0.35">
      <c r="A39" s="68">
        <f>MAX($A$10:A38)+1</f>
        <v>30</v>
      </c>
      <c r="B39" t="s">
        <v>687</v>
      </c>
      <c r="C39" s="80">
        <v>-54882.381833999883</v>
      </c>
      <c r="E39" s="71"/>
      <c r="G39" s="86"/>
    </row>
    <row r="40" spans="1:14" outlineLevel="1" x14ac:dyDescent="0.35">
      <c r="A40" s="68">
        <f>MAX($A$10:A39)+1</f>
        <v>31</v>
      </c>
      <c r="B40"/>
      <c r="C40" s="80"/>
      <c r="E40" s="71"/>
      <c r="G40" s="86"/>
    </row>
    <row r="41" spans="1:14" outlineLevel="1" x14ac:dyDescent="0.35">
      <c r="A41" s="68">
        <f>MAX($A$10:A40)+1</f>
        <v>32</v>
      </c>
      <c r="B41" s="75" t="s">
        <v>639</v>
      </c>
      <c r="C41" s="92">
        <v>-103632.96457692039</v>
      </c>
      <c r="E41" s="71"/>
      <c r="G41" s="86"/>
    </row>
    <row r="42" spans="1:14" outlineLevel="1" x14ac:dyDescent="0.35">
      <c r="B42"/>
      <c r="C42" s="80"/>
      <c r="E42" s="71"/>
      <c r="G42" s="86"/>
    </row>
    <row r="43" spans="1:14" x14ac:dyDescent="0.35">
      <c r="A43" s="68">
        <f>MAX($A$10:A42)+1</f>
        <v>33</v>
      </c>
      <c r="B43" s="132" t="s">
        <v>688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</row>
    <row r="44" spans="1:14" x14ac:dyDescent="0.35">
      <c r="A44" s="68">
        <f>MAX($A$10:A43)+1</f>
        <v>34</v>
      </c>
      <c r="B44" s="72" t="s">
        <v>689</v>
      </c>
      <c r="C44" s="94">
        <v>45322</v>
      </c>
      <c r="D44" s="94">
        <v>45351</v>
      </c>
      <c r="E44" s="94">
        <v>45382</v>
      </c>
      <c r="F44" s="94">
        <v>45412</v>
      </c>
      <c r="G44" s="94">
        <v>45443</v>
      </c>
      <c r="H44" s="94">
        <v>45473</v>
      </c>
      <c r="I44" s="94">
        <v>45504</v>
      </c>
      <c r="J44" s="94">
        <v>45535</v>
      </c>
      <c r="K44" s="94">
        <v>45565</v>
      </c>
      <c r="L44" s="94">
        <v>45596</v>
      </c>
      <c r="M44" s="94">
        <v>45626</v>
      </c>
      <c r="N44" s="94">
        <v>45657</v>
      </c>
    </row>
    <row r="45" spans="1:14" x14ac:dyDescent="0.35">
      <c r="A45" s="68">
        <f>MAX($A$10:A44)+1</f>
        <v>35</v>
      </c>
      <c r="B45" s="93" t="s">
        <v>29</v>
      </c>
      <c r="C45" s="95" t="s">
        <v>60</v>
      </c>
      <c r="D45" s="95" t="s">
        <v>581</v>
      </c>
      <c r="E45" s="95" t="s">
        <v>638</v>
      </c>
      <c r="F45" s="95" t="s">
        <v>640</v>
      </c>
      <c r="G45" s="95" t="s">
        <v>690</v>
      </c>
      <c r="H45" s="95" t="s">
        <v>691</v>
      </c>
      <c r="I45" s="95" t="s">
        <v>692</v>
      </c>
      <c r="J45" s="95" t="s">
        <v>693</v>
      </c>
      <c r="K45" s="95" t="s">
        <v>694</v>
      </c>
      <c r="L45" s="95" t="s">
        <v>695</v>
      </c>
      <c r="M45" s="95" t="s">
        <v>696</v>
      </c>
      <c r="N45" s="95" t="s">
        <v>697</v>
      </c>
    </row>
    <row r="46" spans="1:14" x14ac:dyDescent="0.35">
      <c r="A46" s="68">
        <f>MAX($A$10:A45)+1</f>
        <v>36</v>
      </c>
      <c r="B46" s="67" t="s">
        <v>698</v>
      </c>
      <c r="C46" s="96">
        <v>347</v>
      </c>
      <c r="D46" s="96">
        <v>265</v>
      </c>
      <c r="E46" s="96">
        <v>63</v>
      </c>
      <c r="F46" s="96">
        <v>-11</v>
      </c>
      <c r="G46" s="96">
        <v>-63</v>
      </c>
      <c r="H46" s="96">
        <v>-55</v>
      </c>
      <c r="I46" s="96">
        <v>44</v>
      </c>
      <c r="J46" s="96">
        <v>331</v>
      </c>
      <c r="K46" s="96">
        <v>755</v>
      </c>
      <c r="L46" s="96">
        <v>821</v>
      </c>
      <c r="M46" s="96">
        <v>696</v>
      </c>
      <c r="N46" s="96">
        <v>383</v>
      </c>
    </row>
    <row r="47" spans="1:14" x14ac:dyDescent="0.35">
      <c r="A47" s="68">
        <f>MAX($A$10:A46)+1</f>
        <v>37</v>
      </c>
      <c r="B47" s="67" t="s">
        <v>699</v>
      </c>
      <c r="C47" s="96">
        <v>65</v>
      </c>
      <c r="D47" s="96">
        <v>16</v>
      </c>
      <c r="E47" s="96">
        <v>-9</v>
      </c>
      <c r="F47" s="96">
        <v>-34</v>
      </c>
      <c r="G47" s="96">
        <v>-33</v>
      </c>
      <c r="H47" s="96">
        <v>-24</v>
      </c>
      <c r="I47" s="96">
        <v>-13</v>
      </c>
      <c r="J47" s="96">
        <v>17</v>
      </c>
      <c r="K47" s="96">
        <v>96</v>
      </c>
      <c r="L47" s="96">
        <v>143</v>
      </c>
      <c r="M47" s="96">
        <v>141</v>
      </c>
      <c r="N47" s="96">
        <v>81</v>
      </c>
    </row>
    <row r="48" spans="1:14" x14ac:dyDescent="0.35">
      <c r="A48" s="68">
        <f>MAX($A$10:A47)+1</f>
        <v>38</v>
      </c>
      <c r="B48" s="67" t="s">
        <v>700</v>
      </c>
      <c r="C48" s="96">
        <v>2</v>
      </c>
      <c r="D48" s="96">
        <v>0</v>
      </c>
      <c r="E48" s="96">
        <v>0</v>
      </c>
      <c r="F48" s="96">
        <v>2</v>
      </c>
      <c r="G48" s="96">
        <v>0</v>
      </c>
      <c r="H48" s="96">
        <v>0</v>
      </c>
      <c r="I48" s="96">
        <v>0</v>
      </c>
      <c r="J48" s="96">
        <v>1</v>
      </c>
      <c r="K48" s="96">
        <v>1</v>
      </c>
      <c r="L48" s="96">
        <v>0</v>
      </c>
      <c r="M48" s="96">
        <v>0</v>
      </c>
      <c r="N48" s="96">
        <v>1</v>
      </c>
    </row>
    <row r="49" spans="1:14" x14ac:dyDescent="0.35">
      <c r="A49" s="68">
        <f>MAX($A$10:A48)+1</f>
        <v>39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35">
      <c r="A50" s="68">
        <f>MAX($A$10:A49)+1</f>
        <v>40</v>
      </c>
      <c r="B50" t="s">
        <v>701</v>
      </c>
    </row>
    <row r="51" spans="1:14" x14ac:dyDescent="0.35">
      <c r="A51" s="68">
        <f>MAX($A$10:A50)+1</f>
        <v>41</v>
      </c>
      <c r="B51" s="67" t="s">
        <v>698</v>
      </c>
      <c r="C51" s="74">
        <f t="shared" ref="C51:N51" si="0">SUM($C$46:$N$46)</f>
        <v>3576</v>
      </c>
      <c r="D51" s="74">
        <f t="shared" si="0"/>
        <v>3576</v>
      </c>
      <c r="E51" s="74">
        <f t="shared" si="0"/>
        <v>3576</v>
      </c>
      <c r="F51" s="74">
        <f t="shared" si="0"/>
        <v>3576</v>
      </c>
      <c r="G51" s="74">
        <f t="shared" si="0"/>
        <v>3576</v>
      </c>
      <c r="H51" s="74">
        <f t="shared" si="0"/>
        <v>3576</v>
      </c>
      <c r="I51" s="74">
        <f t="shared" si="0"/>
        <v>3576</v>
      </c>
      <c r="J51" s="74">
        <f t="shared" si="0"/>
        <v>3576</v>
      </c>
      <c r="K51" s="74">
        <f t="shared" si="0"/>
        <v>3576</v>
      </c>
      <c r="L51" s="74">
        <f t="shared" si="0"/>
        <v>3576</v>
      </c>
      <c r="M51" s="74">
        <f t="shared" si="0"/>
        <v>3576</v>
      </c>
      <c r="N51" s="74">
        <f t="shared" si="0"/>
        <v>3576</v>
      </c>
    </row>
    <row r="52" spans="1:14" x14ac:dyDescent="0.35">
      <c r="A52" s="68">
        <f>MAX($A$10:A51)+1</f>
        <v>42</v>
      </c>
      <c r="B52" s="67" t="s">
        <v>699</v>
      </c>
      <c r="C52" s="74">
        <f t="shared" ref="C52:N52" si="1">SUM($C$47:$N$47)</f>
        <v>446</v>
      </c>
      <c r="D52" s="74">
        <f t="shared" si="1"/>
        <v>446</v>
      </c>
      <c r="E52" s="74">
        <f t="shared" si="1"/>
        <v>446</v>
      </c>
      <c r="F52" s="74">
        <f t="shared" si="1"/>
        <v>446</v>
      </c>
      <c r="G52" s="74">
        <f t="shared" si="1"/>
        <v>446</v>
      </c>
      <c r="H52" s="74">
        <f t="shared" si="1"/>
        <v>446</v>
      </c>
      <c r="I52" s="74">
        <f t="shared" si="1"/>
        <v>446</v>
      </c>
      <c r="J52" s="74">
        <f t="shared" si="1"/>
        <v>446</v>
      </c>
      <c r="K52" s="74">
        <f t="shared" si="1"/>
        <v>446</v>
      </c>
      <c r="L52" s="74">
        <f t="shared" si="1"/>
        <v>446</v>
      </c>
      <c r="M52" s="74">
        <f t="shared" si="1"/>
        <v>446</v>
      </c>
      <c r="N52" s="74">
        <f t="shared" si="1"/>
        <v>446</v>
      </c>
    </row>
    <row r="53" spans="1:14" x14ac:dyDescent="0.35">
      <c r="A53" s="68">
        <f>MAX($A$10:A52)+1</f>
        <v>43</v>
      </c>
      <c r="B53" s="67" t="s">
        <v>700</v>
      </c>
      <c r="C53" s="74">
        <f t="shared" ref="C53:N53" si="2">SUM($C$48:$N$48)</f>
        <v>7</v>
      </c>
      <c r="D53" s="74">
        <f t="shared" si="2"/>
        <v>7</v>
      </c>
      <c r="E53" s="74">
        <f t="shared" si="2"/>
        <v>7</v>
      </c>
      <c r="F53" s="74">
        <f t="shared" si="2"/>
        <v>7</v>
      </c>
      <c r="G53" s="74">
        <f t="shared" si="2"/>
        <v>7</v>
      </c>
      <c r="H53" s="74">
        <f t="shared" si="2"/>
        <v>7</v>
      </c>
      <c r="I53" s="74">
        <f t="shared" si="2"/>
        <v>7</v>
      </c>
      <c r="J53" s="74">
        <f t="shared" si="2"/>
        <v>7</v>
      </c>
      <c r="K53" s="74">
        <f t="shared" si="2"/>
        <v>7</v>
      </c>
      <c r="L53" s="74">
        <f t="shared" si="2"/>
        <v>7</v>
      </c>
      <c r="M53" s="74">
        <f t="shared" si="2"/>
        <v>7</v>
      </c>
      <c r="N53" s="74">
        <f t="shared" si="2"/>
        <v>7</v>
      </c>
    </row>
    <row r="54" spans="1:14" x14ac:dyDescent="0.35">
      <c r="A54" s="68">
        <f>MAX($A$10:A53)+1</f>
        <v>44</v>
      </c>
    </row>
    <row r="55" spans="1:14" x14ac:dyDescent="0.35">
      <c r="A55" s="68">
        <f>MAX($A$10:A54)+1</f>
        <v>45</v>
      </c>
      <c r="B55" t="s">
        <v>702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x14ac:dyDescent="0.35">
      <c r="A56" s="68">
        <f>MAX($A$10:A55)+1</f>
        <v>46</v>
      </c>
      <c r="B56" s="67" t="s">
        <v>698</v>
      </c>
      <c r="C56" s="96">
        <v>108.07154471226879</v>
      </c>
      <c r="D56" s="96">
        <v>84.813874401057902</v>
      </c>
      <c r="E56" s="96">
        <v>72.4304354092898</v>
      </c>
      <c r="F56" s="96">
        <v>46.815098722157352</v>
      </c>
      <c r="G56" s="96">
        <v>29.685743867513779</v>
      </c>
      <c r="H56" s="96">
        <v>15.445667869727089</v>
      </c>
      <c r="I56" s="96">
        <v>15.95753879917452</v>
      </c>
      <c r="J56" s="96">
        <v>8.3753890355553491</v>
      </c>
      <c r="K56" s="96">
        <v>18.240616055119915</v>
      </c>
      <c r="L56" s="96">
        <v>44.407995705203234</v>
      </c>
      <c r="M56" s="96">
        <v>83.334127182396685</v>
      </c>
      <c r="N56" s="96">
        <v>107.64584390469717</v>
      </c>
    </row>
    <row r="57" spans="1:14" x14ac:dyDescent="0.35">
      <c r="A57" s="68">
        <f>MAX($A$10:A56)+1</f>
        <v>47</v>
      </c>
      <c r="B57" s="67" t="s">
        <v>699</v>
      </c>
      <c r="C57" s="96">
        <v>536.8671963527222</v>
      </c>
      <c r="D57" s="96">
        <v>426.75094790926624</v>
      </c>
      <c r="E57" s="96">
        <v>348.53133876442234</v>
      </c>
      <c r="F57" s="96">
        <v>223.88078713478959</v>
      </c>
      <c r="G57" s="96">
        <v>155.89457244009878</v>
      </c>
      <c r="H57" s="96">
        <v>99.435152246588572</v>
      </c>
      <c r="I57" s="96">
        <v>102.74604529221038</v>
      </c>
      <c r="J57" s="96">
        <v>102.74750165267722</v>
      </c>
      <c r="K57" s="96">
        <v>144.39116799310455</v>
      </c>
      <c r="L57" s="96">
        <v>263.38436683233249</v>
      </c>
      <c r="M57" s="96">
        <v>390.32963020388507</v>
      </c>
      <c r="N57" s="96">
        <v>528.96644966539111</v>
      </c>
    </row>
    <row r="58" spans="1:14" x14ac:dyDescent="0.35">
      <c r="A58" s="68">
        <f>MAX($A$10:A57)+1</f>
        <v>48</v>
      </c>
      <c r="B58" s="67" t="s">
        <v>703</v>
      </c>
      <c r="C58" s="96">
        <v>424.06048387096774</v>
      </c>
      <c r="D58" s="96">
        <v>395.49193548387098</v>
      </c>
      <c r="E58" s="96">
        <v>414.22020202020201</v>
      </c>
      <c r="F58" s="96">
        <v>382.00814663951121</v>
      </c>
      <c r="G58" s="96">
        <v>323.56530612244899</v>
      </c>
      <c r="H58" s="96">
        <v>207.22857142857143</v>
      </c>
      <c r="I58" s="96">
        <v>177.50306748466258</v>
      </c>
      <c r="J58" s="96">
        <v>169.86065573770492</v>
      </c>
      <c r="K58" s="96">
        <v>179.62090163934425</v>
      </c>
      <c r="L58" s="96">
        <v>222.68163265306123</v>
      </c>
      <c r="M58" s="96">
        <v>324.32251521298173</v>
      </c>
      <c r="N58" s="96">
        <v>388.71515151515149</v>
      </c>
    </row>
    <row r="59" spans="1:14" x14ac:dyDescent="0.35">
      <c r="A59" s="68">
        <f>MAX($A$10:A58)+1</f>
        <v>49</v>
      </c>
      <c r="B59" s="67" t="s">
        <v>704</v>
      </c>
      <c r="C59" s="96">
        <v>1651.703629032258</v>
      </c>
      <c r="D59" s="96">
        <v>1366.4435483870968</v>
      </c>
      <c r="E59" s="96">
        <v>1494.6101010101011</v>
      </c>
      <c r="F59" s="96">
        <v>1158.551934826884</v>
      </c>
      <c r="G59" s="96">
        <v>916.01428571428573</v>
      </c>
      <c r="H59" s="96">
        <v>564.77755102040817</v>
      </c>
      <c r="I59" s="96">
        <v>454.38036809815952</v>
      </c>
      <c r="J59" s="96">
        <v>475.56762295081967</v>
      </c>
      <c r="K59" s="96">
        <v>496.0840163934426</v>
      </c>
      <c r="L59" s="96">
        <v>643.98979591836735</v>
      </c>
      <c r="M59" s="96">
        <v>900.43407707910751</v>
      </c>
      <c r="N59" s="96">
        <v>1289.3898989898989</v>
      </c>
    </row>
    <row r="60" spans="1:14" x14ac:dyDescent="0.35">
      <c r="A60" s="68">
        <f>MAX($A$10:A59)+1</f>
        <v>50</v>
      </c>
      <c r="B60" s="67" t="s">
        <v>705</v>
      </c>
      <c r="C60" s="96">
        <v>1649.828629032258</v>
      </c>
      <c r="D60" s="96">
        <v>929.44556451612902</v>
      </c>
      <c r="E60" s="96">
        <v>1422.8888888888889</v>
      </c>
      <c r="F60" s="96">
        <v>776.56822810590631</v>
      </c>
      <c r="G60" s="96">
        <v>572.10204081632651</v>
      </c>
      <c r="H60" s="96">
        <v>328.90204081632652</v>
      </c>
      <c r="I60" s="96">
        <v>267.24948875255626</v>
      </c>
      <c r="J60" s="96">
        <v>349.20081967213116</v>
      </c>
      <c r="K60" s="96">
        <v>420.17418032786884</v>
      </c>
      <c r="L60" s="96">
        <v>1009.969387755102</v>
      </c>
      <c r="M60" s="96">
        <v>782.1501014198783</v>
      </c>
      <c r="N60" s="96">
        <v>1064.5353535353536</v>
      </c>
    </row>
    <row r="61" spans="1:14" x14ac:dyDescent="0.35">
      <c r="A61" s="68">
        <f>MAX($A$10:A60)+1</f>
        <v>51</v>
      </c>
    </row>
    <row r="62" spans="1:14" x14ac:dyDescent="0.35">
      <c r="A62" s="68">
        <f>MAX($A$10:A61)+1</f>
        <v>52</v>
      </c>
      <c r="B62" t="s">
        <v>706</v>
      </c>
    </row>
    <row r="63" spans="1:14" x14ac:dyDescent="0.35">
      <c r="A63" s="68">
        <f>MAX($A$10:A62)+1</f>
        <v>53</v>
      </c>
      <c r="B63" s="67" t="s">
        <v>698</v>
      </c>
      <c r="C63" s="96">
        <f t="shared" ref="C63:N64" si="3">C51*C56</f>
        <v>386463.84389107319</v>
      </c>
      <c r="D63" s="96">
        <f t="shared" si="3"/>
        <v>303294.41485818307</v>
      </c>
      <c r="E63" s="96">
        <f t="shared" si="3"/>
        <v>259011.23702362031</v>
      </c>
      <c r="F63" s="96">
        <f t="shared" si="3"/>
        <v>167410.7930304347</v>
      </c>
      <c r="G63" s="96">
        <f t="shared" si="3"/>
        <v>106156.22007022928</v>
      </c>
      <c r="H63" s="96">
        <f t="shared" si="3"/>
        <v>55233.70830214407</v>
      </c>
      <c r="I63" s="96">
        <f t="shared" si="3"/>
        <v>57064.158745848086</v>
      </c>
      <c r="J63" s="96">
        <f t="shared" si="3"/>
        <v>29950.391191145929</v>
      </c>
      <c r="K63" s="96">
        <f t="shared" si="3"/>
        <v>65228.443013108816</v>
      </c>
      <c r="L63" s="96">
        <f t="shared" si="3"/>
        <v>158802.99264180678</v>
      </c>
      <c r="M63" s="96">
        <f t="shared" si="3"/>
        <v>298002.83880425052</v>
      </c>
      <c r="N63" s="96">
        <f t="shared" si="3"/>
        <v>384941.5378031971</v>
      </c>
    </row>
    <row r="64" spans="1:14" x14ac:dyDescent="0.35">
      <c r="A64" s="68">
        <f>MAX($A$10:A63)+1</f>
        <v>54</v>
      </c>
      <c r="B64" s="67" t="s">
        <v>699</v>
      </c>
      <c r="C64" s="96">
        <f t="shared" si="3"/>
        <v>239442.76957331412</v>
      </c>
      <c r="D64" s="96">
        <f t="shared" si="3"/>
        <v>190330.92276753276</v>
      </c>
      <c r="E64" s="96">
        <f t="shared" si="3"/>
        <v>155444.97708893236</v>
      </c>
      <c r="F64" s="96">
        <f t="shared" si="3"/>
        <v>99850.831062116151</v>
      </c>
      <c r="G64" s="96">
        <f t="shared" si="3"/>
        <v>69528.979308284062</v>
      </c>
      <c r="H64" s="96">
        <f t="shared" si="3"/>
        <v>44348.077901978504</v>
      </c>
      <c r="I64" s="96">
        <f t="shared" si="3"/>
        <v>45824.736200325831</v>
      </c>
      <c r="J64" s="96">
        <f t="shared" si="3"/>
        <v>45825.385737094039</v>
      </c>
      <c r="K64" s="96">
        <f t="shared" si="3"/>
        <v>64398.460924924628</v>
      </c>
      <c r="L64" s="96">
        <f t="shared" si="3"/>
        <v>117469.42760722029</v>
      </c>
      <c r="M64" s="96">
        <f t="shared" si="3"/>
        <v>174087.01507093274</v>
      </c>
      <c r="N64" s="96">
        <f t="shared" si="3"/>
        <v>235919.03655076443</v>
      </c>
    </row>
    <row r="65" spans="1:14" x14ac:dyDescent="0.35">
      <c r="A65" s="68">
        <f>MAX($A$10:A64)+1</f>
        <v>55</v>
      </c>
      <c r="B65" s="67" t="s">
        <v>703</v>
      </c>
      <c r="C65" s="96">
        <f t="shared" ref="C65:N67" si="4">C$53*C58</f>
        <v>2968.4233870967741</v>
      </c>
      <c r="D65" s="96">
        <f t="shared" si="4"/>
        <v>2768.4435483870966</v>
      </c>
      <c r="E65" s="96">
        <f t="shared" si="4"/>
        <v>2899.541414141414</v>
      </c>
      <c r="F65" s="96">
        <f t="shared" si="4"/>
        <v>2674.0570264765784</v>
      </c>
      <c r="G65" s="96">
        <f t="shared" si="4"/>
        <v>2264.957142857143</v>
      </c>
      <c r="H65" s="96">
        <f t="shared" si="4"/>
        <v>1450.6</v>
      </c>
      <c r="I65" s="96">
        <f t="shared" si="4"/>
        <v>1242.5214723926381</v>
      </c>
      <c r="J65" s="96">
        <f t="shared" si="4"/>
        <v>1189.0245901639344</v>
      </c>
      <c r="K65" s="96">
        <f t="shared" si="4"/>
        <v>1257.3463114754097</v>
      </c>
      <c r="L65" s="96">
        <f t="shared" si="4"/>
        <v>1558.7714285714287</v>
      </c>
      <c r="M65" s="96">
        <f t="shared" si="4"/>
        <v>2270.2576064908721</v>
      </c>
      <c r="N65" s="96">
        <f t="shared" si="4"/>
        <v>2721.0060606060606</v>
      </c>
    </row>
    <row r="66" spans="1:14" x14ac:dyDescent="0.35">
      <c r="A66" s="68">
        <f>MAX($A$10:A65)+1</f>
        <v>56</v>
      </c>
      <c r="B66" s="67" t="s">
        <v>704</v>
      </c>
      <c r="C66" s="96">
        <f t="shared" si="4"/>
        <v>11561.925403225807</v>
      </c>
      <c r="D66" s="96">
        <f t="shared" si="4"/>
        <v>9565.104838709678</v>
      </c>
      <c r="E66" s="96">
        <f t="shared" si="4"/>
        <v>10462.270707070707</v>
      </c>
      <c r="F66" s="96">
        <f t="shared" si="4"/>
        <v>8109.8635437881876</v>
      </c>
      <c r="G66" s="96">
        <f t="shared" si="4"/>
        <v>6412.1</v>
      </c>
      <c r="H66" s="96">
        <f t="shared" si="4"/>
        <v>3953.4428571428571</v>
      </c>
      <c r="I66" s="96">
        <f t="shared" si="4"/>
        <v>3180.6625766871166</v>
      </c>
      <c r="J66" s="96">
        <f t="shared" si="4"/>
        <v>3328.9733606557375</v>
      </c>
      <c r="K66" s="96">
        <f t="shared" si="4"/>
        <v>3472.5881147540981</v>
      </c>
      <c r="L66" s="96">
        <f t="shared" si="4"/>
        <v>4507.9285714285716</v>
      </c>
      <c r="M66" s="96">
        <f t="shared" si="4"/>
        <v>6303.0385395537523</v>
      </c>
      <c r="N66" s="96">
        <f t="shared" si="4"/>
        <v>9025.7292929292926</v>
      </c>
    </row>
    <row r="67" spans="1:14" x14ac:dyDescent="0.35">
      <c r="A67" s="68">
        <f>MAX($A$10:A66)+1</f>
        <v>57</v>
      </c>
      <c r="B67" s="67" t="s">
        <v>705</v>
      </c>
      <c r="C67" s="96">
        <f t="shared" si="4"/>
        <v>11548.800403225807</v>
      </c>
      <c r="D67" s="96">
        <f t="shared" si="4"/>
        <v>6506.1189516129034</v>
      </c>
      <c r="E67" s="96">
        <f t="shared" si="4"/>
        <v>9960.2222222222226</v>
      </c>
      <c r="F67" s="96">
        <f t="shared" si="4"/>
        <v>5435.9775967413443</v>
      </c>
      <c r="G67" s="96">
        <f t="shared" si="4"/>
        <v>4004.7142857142853</v>
      </c>
      <c r="H67" s="96">
        <f t="shared" si="4"/>
        <v>2302.3142857142857</v>
      </c>
      <c r="I67" s="96">
        <f t="shared" si="4"/>
        <v>1870.7464212678938</v>
      </c>
      <c r="J67" s="96">
        <f t="shared" si="4"/>
        <v>2444.405737704918</v>
      </c>
      <c r="K67" s="96">
        <f t="shared" si="4"/>
        <v>2941.219262295082</v>
      </c>
      <c r="L67" s="96">
        <f t="shared" si="4"/>
        <v>7069.7857142857147</v>
      </c>
      <c r="M67" s="96">
        <f t="shared" si="4"/>
        <v>5475.050709939148</v>
      </c>
      <c r="N67" s="96">
        <f t="shared" si="4"/>
        <v>7451.7474747474753</v>
      </c>
    </row>
    <row r="68" spans="1:14" x14ac:dyDescent="0.35">
      <c r="A68" s="68">
        <f>MAX($A$10:A67)+1</f>
        <v>58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</row>
    <row r="69" spans="1:14" x14ac:dyDescent="0.35">
      <c r="A69" s="68">
        <f>MAX($A$10:A68)+1</f>
        <v>59</v>
      </c>
      <c r="B69" t="s">
        <v>707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</row>
    <row r="70" spans="1:14" x14ac:dyDescent="0.35">
      <c r="A70" s="68">
        <f>MAX($A$10:A69)+1</f>
        <v>60</v>
      </c>
      <c r="B70" s="67" t="s">
        <v>708</v>
      </c>
      <c r="C70" s="98">
        <v>5</v>
      </c>
      <c r="D70" s="98">
        <v>5</v>
      </c>
      <c r="E70" s="98">
        <v>5</v>
      </c>
      <c r="F70" s="98">
        <v>5</v>
      </c>
      <c r="G70" s="98">
        <v>5</v>
      </c>
      <c r="H70" s="98">
        <v>5</v>
      </c>
      <c r="I70" s="98">
        <v>5</v>
      </c>
      <c r="J70" s="98">
        <v>5</v>
      </c>
      <c r="K70" s="98">
        <v>5</v>
      </c>
      <c r="L70" s="98">
        <v>5</v>
      </c>
      <c r="M70" s="98">
        <v>5</v>
      </c>
      <c r="N70" s="98">
        <v>5</v>
      </c>
    </row>
    <row r="71" spans="1:14" x14ac:dyDescent="0.35">
      <c r="A71" s="68">
        <f>MAX($A$10:A70)+1</f>
        <v>61</v>
      </c>
      <c r="B71" s="67" t="s">
        <v>709</v>
      </c>
      <c r="C71" s="99">
        <v>0.35719999999999996</v>
      </c>
      <c r="D71" s="99">
        <v>0.35719999999999996</v>
      </c>
      <c r="E71" s="99">
        <v>0.35719999999999996</v>
      </c>
      <c r="F71" s="99">
        <v>0.35719999999999996</v>
      </c>
      <c r="G71" s="99">
        <v>0.35719999999999996</v>
      </c>
      <c r="H71" s="99">
        <v>0.35719999999999996</v>
      </c>
      <c r="I71" s="99">
        <v>0.35719999999999996</v>
      </c>
      <c r="J71" s="99">
        <v>0.35719999999999996</v>
      </c>
      <c r="K71" s="99">
        <v>0.35719999999999996</v>
      </c>
      <c r="L71" s="99">
        <v>0.35719999999999996</v>
      </c>
      <c r="M71" s="99">
        <v>0.35719999999999996</v>
      </c>
      <c r="N71" s="99">
        <v>0.35719999999999996</v>
      </c>
    </row>
    <row r="72" spans="1:14" x14ac:dyDescent="0.35">
      <c r="A72" s="68">
        <f>MAX($A$10:A71)+1</f>
        <v>62</v>
      </c>
      <c r="B72" s="67" t="s">
        <v>710</v>
      </c>
      <c r="C72" s="98">
        <v>13</v>
      </c>
      <c r="D72" s="98">
        <v>13</v>
      </c>
      <c r="E72" s="98">
        <v>13</v>
      </c>
      <c r="F72" s="98">
        <v>13</v>
      </c>
      <c r="G72" s="98">
        <v>13</v>
      </c>
      <c r="H72" s="98">
        <v>13</v>
      </c>
      <c r="I72" s="98">
        <v>13</v>
      </c>
      <c r="J72" s="98">
        <v>13</v>
      </c>
      <c r="K72" s="98">
        <v>13</v>
      </c>
      <c r="L72" s="98">
        <v>13</v>
      </c>
      <c r="M72" s="98">
        <v>13</v>
      </c>
      <c r="N72" s="98">
        <v>13</v>
      </c>
    </row>
    <row r="73" spans="1:14" x14ac:dyDescent="0.35">
      <c r="A73" s="68">
        <f>MAX($A$10:A72)+1</f>
        <v>63</v>
      </c>
      <c r="B73" s="67" t="s">
        <v>711</v>
      </c>
      <c r="C73" s="99">
        <v>0.29528000000000004</v>
      </c>
      <c r="D73" s="99">
        <v>0.29528000000000004</v>
      </c>
      <c r="E73" s="99">
        <v>0.29528000000000004</v>
      </c>
      <c r="F73" s="99">
        <v>0.29528000000000004</v>
      </c>
      <c r="G73" s="99">
        <v>0.29528000000000004</v>
      </c>
      <c r="H73" s="99">
        <v>0.29528000000000004</v>
      </c>
      <c r="I73" s="99">
        <v>0.29528000000000004</v>
      </c>
      <c r="J73" s="99">
        <v>0.29528000000000004</v>
      </c>
      <c r="K73" s="99">
        <v>0.29528000000000004</v>
      </c>
      <c r="L73" s="99">
        <v>0.29528000000000004</v>
      </c>
      <c r="M73" s="99">
        <v>0.29528000000000004</v>
      </c>
      <c r="N73" s="99">
        <v>0.29528000000000004</v>
      </c>
    </row>
    <row r="74" spans="1:14" x14ac:dyDescent="0.35">
      <c r="A74" s="68">
        <f>MAX($A$10:A73)+1</f>
        <v>64</v>
      </c>
      <c r="B74" s="67" t="s">
        <v>712</v>
      </c>
      <c r="C74" s="98">
        <v>60</v>
      </c>
      <c r="D74" s="98">
        <v>60</v>
      </c>
      <c r="E74" s="98">
        <v>60</v>
      </c>
      <c r="F74" s="98">
        <v>60</v>
      </c>
      <c r="G74" s="98">
        <v>60</v>
      </c>
      <c r="H74" s="98">
        <v>60</v>
      </c>
      <c r="I74" s="98">
        <v>60</v>
      </c>
      <c r="J74" s="98">
        <v>60</v>
      </c>
      <c r="K74" s="98">
        <v>60</v>
      </c>
      <c r="L74" s="98">
        <v>60</v>
      </c>
      <c r="M74" s="98">
        <v>60</v>
      </c>
      <c r="N74" s="98">
        <v>60</v>
      </c>
    </row>
    <row r="75" spans="1:14" x14ac:dyDescent="0.35">
      <c r="A75" s="68">
        <f>MAX($A$10:A74)+1</f>
        <v>65</v>
      </c>
      <c r="B75" s="67" t="s">
        <v>713</v>
      </c>
      <c r="C75" s="99">
        <v>0.22844</v>
      </c>
      <c r="D75" s="99">
        <v>0.22844</v>
      </c>
      <c r="E75" s="99">
        <v>0.22844</v>
      </c>
      <c r="F75" s="99">
        <v>0.22844</v>
      </c>
      <c r="G75" s="99">
        <v>0.22844</v>
      </c>
      <c r="H75" s="99">
        <v>0.22844</v>
      </c>
      <c r="I75" s="99">
        <v>0.22844</v>
      </c>
      <c r="J75" s="99">
        <v>0.22844</v>
      </c>
      <c r="K75" s="99">
        <v>0.22844</v>
      </c>
      <c r="L75" s="99">
        <v>0.22844</v>
      </c>
      <c r="M75" s="99">
        <v>0.22844</v>
      </c>
      <c r="N75" s="99">
        <v>0.22844</v>
      </c>
    </row>
    <row r="76" spans="1:14" x14ac:dyDescent="0.35">
      <c r="A76" s="68">
        <f>MAX($A$10:A75)+1</f>
        <v>66</v>
      </c>
      <c r="B76" s="67" t="s">
        <v>714</v>
      </c>
      <c r="C76" s="99">
        <v>0.18912999999999999</v>
      </c>
      <c r="D76" s="99">
        <v>0.18912999999999999</v>
      </c>
      <c r="E76" s="99">
        <v>0.18912999999999999</v>
      </c>
      <c r="F76" s="99">
        <v>0.18912999999999999</v>
      </c>
      <c r="G76" s="99">
        <v>0.18912999999999999</v>
      </c>
      <c r="H76" s="99">
        <v>0.18912999999999999</v>
      </c>
      <c r="I76" s="99">
        <v>0.18912999999999999</v>
      </c>
      <c r="J76" s="99">
        <v>0.18912999999999999</v>
      </c>
      <c r="K76" s="99">
        <v>0.18912999999999999</v>
      </c>
      <c r="L76" s="99">
        <v>0.18912999999999999</v>
      </c>
      <c r="M76" s="99">
        <v>0.18912999999999999</v>
      </c>
      <c r="N76" s="99">
        <v>0.18912999999999999</v>
      </c>
    </row>
    <row r="77" spans="1:14" x14ac:dyDescent="0.35">
      <c r="A77" s="68">
        <f>MAX($A$10:A76)+1</f>
        <v>67</v>
      </c>
      <c r="B77" s="67" t="s">
        <v>715</v>
      </c>
      <c r="C77" s="99">
        <v>0.18318999999999999</v>
      </c>
      <c r="D77" s="99">
        <v>0.18318999999999999</v>
      </c>
      <c r="E77" s="99">
        <v>0.18318999999999999</v>
      </c>
      <c r="F77" s="99">
        <v>0.18318999999999999</v>
      </c>
      <c r="G77" s="99">
        <v>0.18318999999999999</v>
      </c>
      <c r="H77" s="99">
        <v>0.18318999999999999</v>
      </c>
      <c r="I77" s="99">
        <v>0.18318999999999999</v>
      </c>
      <c r="J77" s="99">
        <v>0.18318999999999999</v>
      </c>
      <c r="K77" s="99">
        <v>0.18318999999999999</v>
      </c>
      <c r="L77" s="99">
        <v>0.18318999999999999</v>
      </c>
      <c r="M77" s="99">
        <v>0.18318999999999999</v>
      </c>
      <c r="N77" s="99">
        <v>0.18318999999999999</v>
      </c>
    </row>
    <row r="78" spans="1:14" x14ac:dyDescent="0.35">
      <c r="A78" s="69">
        <f>MAX($A$10:A77)+1</f>
        <v>68</v>
      </c>
    </row>
    <row r="79" spans="1:14" x14ac:dyDescent="0.35">
      <c r="A79" s="69">
        <f>MAX($A$10:A78)+1</f>
        <v>69</v>
      </c>
      <c r="B79" t="s">
        <v>716</v>
      </c>
    </row>
    <row r="80" spans="1:14" x14ac:dyDescent="0.35">
      <c r="A80" s="68">
        <f>MAX($A$10:A79)+1</f>
        <v>70</v>
      </c>
      <c r="B80" s="67" t="s">
        <v>698</v>
      </c>
    </row>
    <row r="81" spans="1:14" x14ac:dyDescent="0.35">
      <c r="A81" s="68">
        <f>MAX($A$10:A80)+1</f>
        <v>71</v>
      </c>
      <c r="B81" t="s">
        <v>717</v>
      </c>
      <c r="C81" s="84">
        <f t="shared" ref="C81:N81" si="5">C70*C51</f>
        <v>17880</v>
      </c>
      <c r="D81" s="84">
        <f t="shared" si="5"/>
        <v>17880</v>
      </c>
      <c r="E81" s="84">
        <f t="shared" si="5"/>
        <v>17880</v>
      </c>
      <c r="F81" s="84">
        <f t="shared" si="5"/>
        <v>17880</v>
      </c>
      <c r="G81" s="84">
        <f t="shared" si="5"/>
        <v>17880</v>
      </c>
      <c r="H81" s="84">
        <f t="shared" si="5"/>
        <v>17880</v>
      </c>
      <c r="I81" s="84">
        <f t="shared" si="5"/>
        <v>17880</v>
      </c>
      <c r="J81" s="84">
        <f t="shared" si="5"/>
        <v>17880</v>
      </c>
      <c r="K81" s="84">
        <f t="shared" si="5"/>
        <v>17880</v>
      </c>
      <c r="L81" s="84">
        <f t="shared" si="5"/>
        <v>17880</v>
      </c>
      <c r="M81" s="84">
        <f t="shared" si="5"/>
        <v>17880</v>
      </c>
      <c r="N81" s="84">
        <f t="shared" si="5"/>
        <v>17880</v>
      </c>
    </row>
    <row r="82" spans="1:14" x14ac:dyDescent="0.35">
      <c r="A82" s="68">
        <f>MAX($A$10:A81)+1</f>
        <v>72</v>
      </c>
      <c r="B82" t="s">
        <v>718</v>
      </c>
      <c r="C82" s="100">
        <f t="shared" ref="C82:N82" si="6">C63*C71</f>
        <v>138044.88503789133</v>
      </c>
      <c r="D82" s="100">
        <f t="shared" si="6"/>
        <v>108336.76498734298</v>
      </c>
      <c r="E82" s="100">
        <f t="shared" si="6"/>
        <v>92518.813864837168</v>
      </c>
      <c r="F82" s="100">
        <f t="shared" si="6"/>
        <v>59799.13527047127</v>
      </c>
      <c r="G82" s="100">
        <f t="shared" si="6"/>
        <v>37919.001809085894</v>
      </c>
      <c r="H82" s="100">
        <f t="shared" si="6"/>
        <v>19729.48060552586</v>
      </c>
      <c r="I82" s="100">
        <f t="shared" si="6"/>
        <v>20383.317504016934</v>
      </c>
      <c r="J82" s="100">
        <f t="shared" si="6"/>
        <v>10698.279733477324</v>
      </c>
      <c r="K82" s="100">
        <f t="shared" si="6"/>
        <v>23299.599844282468</v>
      </c>
      <c r="L82" s="100">
        <f t="shared" si="6"/>
        <v>56724.428971653375</v>
      </c>
      <c r="M82" s="100">
        <f t="shared" si="6"/>
        <v>106446.61402087827</v>
      </c>
      <c r="N82" s="100">
        <f t="shared" si="6"/>
        <v>137501.11730330199</v>
      </c>
    </row>
    <row r="83" spans="1:14" x14ac:dyDescent="0.35">
      <c r="A83" s="68">
        <f>MAX($A$10:A82)+1</f>
        <v>73</v>
      </c>
      <c r="B83" t="s">
        <v>719</v>
      </c>
      <c r="C83" s="77">
        <f t="shared" ref="C83:N83" si="7">SUM(C81:C82)</f>
        <v>155924.88503789133</v>
      </c>
      <c r="D83" s="77">
        <f t="shared" si="7"/>
        <v>126216.76498734298</v>
      </c>
      <c r="E83" s="77">
        <f t="shared" si="7"/>
        <v>110398.81386483717</v>
      </c>
      <c r="F83" s="77">
        <f t="shared" si="7"/>
        <v>77679.135270471277</v>
      </c>
      <c r="G83" s="77">
        <f t="shared" si="7"/>
        <v>55799.001809085894</v>
      </c>
      <c r="H83" s="77">
        <f t="shared" si="7"/>
        <v>37609.48060552586</v>
      </c>
      <c r="I83" s="77">
        <f t="shared" si="7"/>
        <v>38263.31750401693</v>
      </c>
      <c r="J83" s="77">
        <f t="shared" si="7"/>
        <v>28578.279733477324</v>
      </c>
      <c r="K83" s="77">
        <f t="shared" si="7"/>
        <v>41179.599844282464</v>
      </c>
      <c r="L83" s="77">
        <f t="shared" si="7"/>
        <v>74604.428971653368</v>
      </c>
      <c r="M83" s="77">
        <f t="shared" si="7"/>
        <v>124326.61402087827</v>
      </c>
      <c r="N83" s="77">
        <f t="shared" si="7"/>
        <v>155381.11730330199</v>
      </c>
    </row>
    <row r="84" spans="1:14" x14ac:dyDescent="0.35">
      <c r="A84" s="68">
        <f>MAX($A$10:A83)+1</f>
        <v>74</v>
      </c>
    </row>
    <row r="85" spans="1:14" x14ac:dyDescent="0.35">
      <c r="A85" s="68">
        <f>MAX($A$10:A84)+1</f>
        <v>75</v>
      </c>
      <c r="B85" s="67" t="s">
        <v>699</v>
      </c>
    </row>
    <row r="86" spans="1:14" x14ac:dyDescent="0.35">
      <c r="A86" s="68">
        <f>MAX($A$10:A85)+1</f>
        <v>76</v>
      </c>
      <c r="B86" t="s">
        <v>717</v>
      </c>
      <c r="C86" s="84">
        <f t="shared" ref="C86:N86" si="8">C52*C72</f>
        <v>5798</v>
      </c>
      <c r="D86" s="84">
        <f t="shared" si="8"/>
        <v>5798</v>
      </c>
      <c r="E86" s="84">
        <f t="shared" si="8"/>
        <v>5798</v>
      </c>
      <c r="F86" s="84">
        <f t="shared" si="8"/>
        <v>5798</v>
      </c>
      <c r="G86" s="84">
        <f t="shared" si="8"/>
        <v>5798</v>
      </c>
      <c r="H86" s="84">
        <f t="shared" si="8"/>
        <v>5798</v>
      </c>
      <c r="I86" s="84">
        <f t="shared" si="8"/>
        <v>5798</v>
      </c>
      <c r="J86" s="84">
        <f t="shared" si="8"/>
        <v>5798</v>
      </c>
      <c r="K86" s="84">
        <f t="shared" si="8"/>
        <v>5798</v>
      </c>
      <c r="L86" s="84">
        <f t="shared" si="8"/>
        <v>5798</v>
      </c>
      <c r="M86" s="84">
        <f t="shared" si="8"/>
        <v>5798</v>
      </c>
      <c r="N86" s="84">
        <f t="shared" si="8"/>
        <v>5798</v>
      </c>
    </row>
    <row r="87" spans="1:14" x14ac:dyDescent="0.35">
      <c r="A87" s="68">
        <f>MAX($A$10:A86)+1</f>
        <v>77</v>
      </c>
      <c r="B87" t="s">
        <v>718</v>
      </c>
      <c r="C87" s="100">
        <f t="shared" ref="C87:N87" si="9">C64*C73</f>
        <v>70702.660999608197</v>
      </c>
      <c r="D87" s="100">
        <f t="shared" si="9"/>
        <v>56200.914874797083</v>
      </c>
      <c r="E87" s="100">
        <f t="shared" si="9"/>
        <v>45899.792834819949</v>
      </c>
      <c r="F87" s="100">
        <f t="shared" si="9"/>
        <v>29483.953396021661</v>
      </c>
      <c r="G87" s="100">
        <f t="shared" si="9"/>
        <v>20530.517010150121</v>
      </c>
      <c r="H87" s="100">
        <f t="shared" si="9"/>
        <v>13095.100442896215</v>
      </c>
      <c r="I87" s="100">
        <f t="shared" si="9"/>
        <v>13531.128105232214</v>
      </c>
      <c r="J87" s="100">
        <f t="shared" si="9"/>
        <v>13531.319900449129</v>
      </c>
      <c r="K87" s="100">
        <f t="shared" si="9"/>
        <v>19015.577541911745</v>
      </c>
      <c r="L87" s="100">
        <f t="shared" si="9"/>
        <v>34686.372583860015</v>
      </c>
      <c r="M87" s="100">
        <f t="shared" si="9"/>
        <v>51404.41381014503</v>
      </c>
      <c r="N87" s="100">
        <f t="shared" si="9"/>
        <v>69662.17311270973</v>
      </c>
    </row>
    <row r="88" spans="1:14" x14ac:dyDescent="0.35">
      <c r="A88" s="68">
        <f>MAX($A$10:A87)+1</f>
        <v>78</v>
      </c>
      <c r="B88" t="s">
        <v>720</v>
      </c>
      <c r="C88" s="77">
        <f t="shared" ref="C88:N88" si="10">SUM(C86:C87)</f>
        <v>76500.660999608197</v>
      </c>
      <c r="D88" s="77">
        <f t="shared" si="10"/>
        <v>61998.914874797083</v>
      </c>
      <c r="E88" s="77">
        <f t="shared" si="10"/>
        <v>51697.792834819949</v>
      </c>
      <c r="F88" s="77">
        <f t="shared" si="10"/>
        <v>35281.953396021665</v>
      </c>
      <c r="G88" s="77">
        <f t="shared" si="10"/>
        <v>26328.517010150121</v>
      </c>
      <c r="H88" s="77">
        <f t="shared" si="10"/>
        <v>18893.100442896215</v>
      </c>
      <c r="I88" s="77">
        <f t="shared" si="10"/>
        <v>19329.128105232216</v>
      </c>
      <c r="J88" s="77">
        <f t="shared" si="10"/>
        <v>19329.319900449129</v>
      </c>
      <c r="K88" s="77">
        <f t="shared" si="10"/>
        <v>24813.577541911745</v>
      </c>
      <c r="L88" s="77">
        <f t="shared" si="10"/>
        <v>40484.372583860015</v>
      </c>
      <c r="M88" s="77">
        <f t="shared" si="10"/>
        <v>57202.41381014503</v>
      </c>
      <c r="N88" s="77">
        <f t="shared" si="10"/>
        <v>75460.17311270973</v>
      </c>
    </row>
    <row r="89" spans="1:14" x14ac:dyDescent="0.35">
      <c r="A89" s="68">
        <f>MAX($A$10:A88)+1</f>
        <v>79</v>
      </c>
    </row>
    <row r="90" spans="1:14" x14ac:dyDescent="0.35">
      <c r="A90" s="68">
        <f>MAX($A$10:A89)+1</f>
        <v>80</v>
      </c>
      <c r="B90" s="67" t="s">
        <v>700</v>
      </c>
    </row>
    <row r="91" spans="1:14" x14ac:dyDescent="0.35">
      <c r="A91" s="68">
        <f>MAX($A$10:A90)+1</f>
        <v>81</v>
      </c>
      <c r="B91" t="s">
        <v>717</v>
      </c>
      <c r="C91" s="84">
        <f t="shared" ref="C91:N91" si="11">C53*C74</f>
        <v>420</v>
      </c>
      <c r="D91" s="84">
        <f t="shared" si="11"/>
        <v>420</v>
      </c>
      <c r="E91" s="84">
        <f t="shared" si="11"/>
        <v>420</v>
      </c>
      <c r="F91" s="84">
        <f t="shared" si="11"/>
        <v>420</v>
      </c>
      <c r="G91" s="84">
        <f t="shared" si="11"/>
        <v>420</v>
      </c>
      <c r="H91" s="84">
        <f t="shared" si="11"/>
        <v>420</v>
      </c>
      <c r="I91" s="84">
        <f t="shared" si="11"/>
        <v>420</v>
      </c>
      <c r="J91" s="84">
        <f t="shared" si="11"/>
        <v>420</v>
      </c>
      <c r="K91" s="84">
        <f t="shared" si="11"/>
        <v>420</v>
      </c>
      <c r="L91" s="84">
        <f t="shared" si="11"/>
        <v>420</v>
      </c>
      <c r="M91" s="84">
        <f t="shared" si="11"/>
        <v>420</v>
      </c>
      <c r="N91" s="84">
        <f t="shared" si="11"/>
        <v>420</v>
      </c>
    </row>
    <row r="92" spans="1:14" x14ac:dyDescent="0.35">
      <c r="A92" s="68">
        <f>MAX($A$10:A91)+1</f>
        <v>82</v>
      </c>
      <c r="B92" t="s">
        <v>721</v>
      </c>
      <c r="C92" s="96">
        <f t="shared" ref="C92:N94" si="12">C65*C75</f>
        <v>678.10663854838708</v>
      </c>
      <c r="D92" s="96">
        <f t="shared" si="12"/>
        <v>632.42324419354838</v>
      </c>
      <c r="E92" s="96">
        <f t="shared" si="12"/>
        <v>662.37124064646457</v>
      </c>
      <c r="F92" s="96">
        <f t="shared" si="12"/>
        <v>610.86158712830957</v>
      </c>
      <c r="G92" s="96">
        <f t="shared" si="12"/>
        <v>517.40680971428571</v>
      </c>
      <c r="H92" s="96">
        <f t="shared" si="12"/>
        <v>331.37506400000001</v>
      </c>
      <c r="I92" s="96">
        <f t="shared" si="12"/>
        <v>283.84160515337425</v>
      </c>
      <c r="J92" s="96">
        <f t="shared" si="12"/>
        <v>271.62077737704919</v>
      </c>
      <c r="K92" s="96">
        <f t="shared" si="12"/>
        <v>287.22819139344261</v>
      </c>
      <c r="L92" s="96">
        <f t="shared" si="12"/>
        <v>356.08574514285721</v>
      </c>
      <c r="M92" s="96">
        <f t="shared" si="12"/>
        <v>518.6176476267749</v>
      </c>
      <c r="N92" s="96">
        <f t="shared" si="12"/>
        <v>621.58662448484847</v>
      </c>
    </row>
    <row r="93" spans="1:14" x14ac:dyDescent="0.35">
      <c r="A93" s="68">
        <f>MAX($A$10:A92)+1</f>
        <v>83</v>
      </c>
      <c r="B93" t="s">
        <v>722</v>
      </c>
      <c r="C93" s="96">
        <f t="shared" si="12"/>
        <v>2186.7069515120966</v>
      </c>
      <c r="D93" s="96">
        <f t="shared" si="12"/>
        <v>1809.0482781451612</v>
      </c>
      <c r="E93" s="96">
        <f t="shared" si="12"/>
        <v>1978.7292588282828</v>
      </c>
      <c r="F93" s="96">
        <f t="shared" si="12"/>
        <v>1533.8184920366598</v>
      </c>
      <c r="G93" s="96">
        <f t="shared" si="12"/>
        <v>1212.7204730000001</v>
      </c>
      <c r="H93" s="96">
        <f t="shared" si="12"/>
        <v>747.71464757142849</v>
      </c>
      <c r="I93" s="96">
        <f t="shared" si="12"/>
        <v>601.55871312883437</v>
      </c>
      <c r="J93" s="96">
        <f t="shared" si="12"/>
        <v>629.60873170081959</v>
      </c>
      <c r="K93" s="96">
        <f t="shared" si="12"/>
        <v>656.77059014344252</v>
      </c>
      <c r="L93" s="96">
        <f t="shared" si="12"/>
        <v>852.58453071428573</v>
      </c>
      <c r="M93" s="96">
        <f t="shared" si="12"/>
        <v>1192.093678985801</v>
      </c>
      <c r="N93" s="96">
        <f t="shared" si="12"/>
        <v>1707.0361811717171</v>
      </c>
    </row>
    <row r="94" spans="1:14" x14ac:dyDescent="0.35">
      <c r="A94" s="68">
        <f>MAX($A$10:A93)+1</f>
        <v>84</v>
      </c>
      <c r="B94" t="s">
        <v>723</v>
      </c>
      <c r="C94" s="100">
        <f t="shared" si="12"/>
        <v>2115.6247458669354</v>
      </c>
      <c r="D94" s="100">
        <f t="shared" si="12"/>
        <v>1191.8559307459677</v>
      </c>
      <c r="E94" s="100">
        <f t="shared" si="12"/>
        <v>1824.613108888889</v>
      </c>
      <c r="F94" s="100">
        <f t="shared" si="12"/>
        <v>995.81673594704682</v>
      </c>
      <c r="G94" s="100">
        <f t="shared" si="12"/>
        <v>733.62360999999987</v>
      </c>
      <c r="H94" s="100">
        <f t="shared" si="12"/>
        <v>421.76095399999997</v>
      </c>
      <c r="I94" s="100">
        <f t="shared" si="12"/>
        <v>342.70203691206547</v>
      </c>
      <c r="J94" s="100">
        <f t="shared" si="12"/>
        <v>447.79068709016389</v>
      </c>
      <c r="K94" s="100">
        <f t="shared" si="12"/>
        <v>538.80195665983604</v>
      </c>
      <c r="L94" s="100">
        <f t="shared" si="12"/>
        <v>1295.114045</v>
      </c>
      <c r="M94" s="100">
        <f t="shared" si="12"/>
        <v>1002.9745395537525</v>
      </c>
      <c r="N94" s="100">
        <f t="shared" si="12"/>
        <v>1365.08561989899</v>
      </c>
    </row>
    <row r="95" spans="1:14" x14ac:dyDescent="0.35">
      <c r="A95" s="68">
        <f>MAX($A$10:A94)+1</f>
        <v>85</v>
      </c>
      <c r="B95" t="s">
        <v>724</v>
      </c>
      <c r="C95" s="77">
        <f t="shared" ref="C95:N95" si="13">SUM(C91:C94)</f>
        <v>5400.4383359274198</v>
      </c>
      <c r="D95" s="77">
        <f t="shared" si="13"/>
        <v>4053.327453084677</v>
      </c>
      <c r="E95" s="77">
        <f t="shared" si="13"/>
        <v>4885.713608363636</v>
      </c>
      <c r="F95" s="77">
        <f t="shared" si="13"/>
        <v>3560.4968151120161</v>
      </c>
      <c r="G95" s="77">
        <f t="shared" si="13"/>
        <v>2883.7508927142853</v>
      </c>
      <c r="H95" s="77">
        <f t="shared" si="13"/>
        <v>1920.8506655714286</v>
      </c>
      <c r="I95" s="77">
        <f t="shared" si="13"/>
        <v>1648.1023551942742</v>
      </c>
      <c r="J95" s="77">
        <f t="shared" si="13"/>
        <v>1769.0201961680327</v>
      </c>
      <c r="K95" s="77">
        <f t="shared" si="13"/>
        <v>1902.8007381967209</v>
      </c>
      <c r="L95" s="77">
        <f t="shared" si="13"/>
        <v>2923.784320857143</v>
      </c>
      <c r="M95" s="77">
        <f t="shared" si="13"/>
        <v>3133.6858661663287</v>
      </c>
      <c r="N95" s="77">
        <f t="shared" si="13"/>
        <v>4113.7084255555556</v>
      </c>
    </row>
    <row r="96" spans="1:14" x14ac:dyDescent="0.35">
      <c r="B96"/>
    </row>
    <row r="97" spans="1:5" x14ac:dyDescent="0.35">
      <c r="A97"/>
      <c r="B97"/>
      <c r="C97"/>
      <c r="D97"/>
      <c r="E97"/>
    </row>
    <row r="98" spans="1:5" x14ac:dyDescent="0.35">
      <c r="A98"/>
      <c r="B98"/>
      <c r="C98"/>
      <c r="D98"/>
      <c r="E98"/>
    </row>
    <row r="99" spans="1:5" x14ac:dyDescent="0.35">
      <c r="A99"/>
      <c r="B99"/>
      <c r="C99"/>
      <c r="D99"/>
      <c r="E99"/>
    </row>
    <row r="100" spans="1:5" x14ac:dyDescent="0.35">
      <c r="A100"/>
      <c r="B100"/>
      <c r="C100"/>
      <c r="D100"/>
      <c r="E100"/>
    </row>
    <row r="101" spans="1:5" x14ac:dyDescent="0.35">
      <c r="A101"/>
      <c r="B101"/>
      <c r="C101"/>
      <c r="D101"/>
      <c r="E101"/>
    </row>
    <row r="108" spans="1:5" x14ac:dyDescent="0.35">
      <c r="B108"/>
    </row>
    <row r="115" spans="2:2" x14ac:dyDescent="0.35">
      <c r="B115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</sheetData>
  <mergeCells count="9">
    <mergeCell ref="B10:C10"/>
    <mergeCell ref="B22:C22"/>
    <mergeCell ref="B43:N43"/>
    <mergeCell ref="A1:C1"/>
    <mergeCell ref="A2:C2"/>
    <mergeCell ref="A3:C3"/>
    <mergeCell ref="A4:C4"/>
    <mergeCell ref="A5:C5"/>
    <mergeCell ref="A6:C6"/>
  </mergeCells>
  <printOptions horizontalCentered="1"/>
  <pageMargins left="0.45" right="0.45" top="0.5" bottom="0.45" header="0.3" footer="0.3"/>
  <pageSetup scale="60" fitToHeight="2" orientation="landscape" r:id="rId1"/>
  <headerFooter scaleWithDoc="0" alignWithMargins="0">
    <oddHeader>&amp;RPage &amp;P of &amp;N</oddHeader>
  </headerFooter>
  <rowBreaks count="1" manualBreakCount="1">
    <brk id="95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0062-4AE0-48B3-9AA9-A1D8CB21EED1}">
  <sheetPr>
    <pageSetUpPr fitToPage="1"/>
  </sheetPr>
  <dimension ref="A1:S131"/>
  <sheetViews>
    <sheetView topLeftCell="A43" zoomScaleNormal="100" workbookViewId="0">
      <selection activeCell="A43" sqref="A43:N95"/>
    </sheetView>
  </sheetViews>
  <sheetFormatPr defaultColWidth="9.1796875" defaultRowHeight="14.5" outlineLevelRow="1" x14ac:dyDescent="0.35"/>
  <cols>
    <col min="1" max="1" width="6.54296875" style="68" bestFit="1" customWidth="1"/>
    <col min="2" max="2" width="57.1796875" style="67" customWidth="1"/>
    <col min="3" max="3" width="48.453125" style="67" customWidth="1"/>
    <col min="4" max="4" width="22.453125" style="67" customWidth="1"/>
    <col min="5" max="5" width="14.453125" style="67" bestFit="1" customWidth="1"/>
    <col min="6" max="6" width="36.81640625" style="67" customWidth="1"/>
    <col min="7" max="7" width="35.453125" style="67" bestFit="1" customWidth="1"/>
    <col min="8" max="13" width="12" style="67" bestFit="1" customWidth="1"/>
    <col min="14" max="14" width="9.54296875" style="67" bestFit="1" customWidth="1"/>
    <col min="15" max="15" width="8" style="67" bestFit="1" customWidth="1"/>
    <col min="16" max="17" width="9" style="67" bestFit="1" customWidth="1"/>
    <col min="18" max="19" width="10" style="67" bestFit="1" customWidth="1"/>
    <col min="20" max="16384" width="9.1796875" style="67"/>
  </cols>
  <sheetData>
    <row r="1" spans="1:19" x14ac:dyDescent="0.35">
      <c r="A1" s="133" t="s">
        <v>0</v>
      </c>
      <c r="B1" s="133"/>
      <c r="C1" s="133"/>
      <c r="D1" s="66"/>
      <c r="E1" s="66"/>
    </row>
    <row r="2" spans="1:19" x14ac:dyDescent="0.35">
      <c r="A2" s="133" t="s">
        <v>654</v>
      </c>
      <c r="B2" s="133"/>
      <c r="C2" s="133"/>
      <c r="D2" s="66"/>
      <c r="E2" s="66"/>
    </row>
    <row r="3" spans="1:19" x14ac:dyDescent="0.35">
      <c r="A3" s="133" t="s">
        <v>655</v>
      </c>
      <c r="B3" s="133"/>
      <c r="C3" s="133"/>
      <c r="D3" s="66"/>
      <c r="E3" s="66"/>
    </row>
    <row r="4" spans="1:19" x14ac:dyDescent="0.35">
      <c r="A4" s="133" t="s">
        <v>656</v>
      </c>
      <c r="B4" s="133"/>
      <c r="C4" s="133"/>
      <c r="D4" s="66"/>
      <c r="E4" s="66"/>
    </row>
    <row r="5" spans="1:19" x14ac:dyDescent="0.35">
      <c r="A5" s="133" t="s">
        <v>657</v>
      </c>
      <c r="B5" s="133"/>
      <c r="C5" s="133"/>
      <c r="D5" s="66"/>
      <c r="E5" s="66"/>
    </row>
    <row r="6" spans="1:19" x14ac:dyDescent="0.35">
      <c r="A6" s="133" t="s">
        <v>744</v>
      </c>
      <c r="B6" s="133"/>
      <c r="C6" s="133"/>
      <c r="D6" s="66"/>
      <c r="E6" s="66"/>
    </row>
    <row r="7" spans="1:19" x14ac:dyDescent="0.35"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s="68" customFormat="1" ht="29" outlineLevel="1" x14ac:dyDescent="0.35">
      <c r="A8" s="70" t="s">
        <v>658</v>
      </c>
      <c r="B8" s="70" t="s">
        <v>659</v>
      </c>
      <c r="C8" s="70" t="s">
        <v>660</v>
      </c>
      <c r="G8" s="67"/>
      <c r="H8" s="67"/>
      <c r="I8" s="67"/>
      <c r="J8" s="71"/>
      <c r="K8" s="67"/>
      <c r="L8" s="67"/>
      <c r="M8" s="67"/>
      <c r="N8" s="67"/>
    </row>
    <row r="9" spans="1:19" outlineLevel="1" x14ac:dyDescent="0.35">
      <c r="A9" s="72"/>
      <c r="B9" s="72" t="s">
        <v>29</v>
      </c>
      <c r="C9" s="72" t="s">
        <v>60</v>
      </c>
      <c r="D9" s="69"/>
    </row>
    <row r="10" spans="1:19" outlineLevel="1" x14ac:dyDescent="0.35">
      <c r="A10" s="68">
        <v>1</v>
      </c>
      <c r="B10" s="131" t="s">
        <v>661</v>
      </c>
      <c r="C10" s="131"/>
      <c r="F10" s="72" t="s">
        <v>659</v>
      </c>
      <c r="G10" s="72" t="s">
        <v>660</v>
      </c>
    </row>
    <row r="11" spans="1:19" outlineLevel="1" x14ac:dyDescent="0.35">
      <c r="A11" s="68">
        <f>MAX($A$10:A10)+1</f>
        <v>2</v>
      </c>
      <c r="B11" s="67" t="s">
        <v>662</v>
      </c>
      <c r="C11" s="73">
        <f>'2024 Provisional Plant'!R304</f>
        <v>67984747.05972302</v>
      </c>
      <c r="D11" s="69"/>
      <c r="F11" t="s">
        <v>663</v>
      </c>
      <c r="G11" s="74">
        <f>-C31-C34+((C31+C34)*0.21)-C39</f>
        <v>-1865089.6693954298</v>
      </c>
    </row>
    <row r="12" spans="1:19" outlineLevel="1" x14ac:dyDescent="0.35">
      <c r="A12" s="68">
        <f>MAX($A$10:A11)+1</f>
        <v>3</v>
      </c>
      <c r="B12" s="75" t="s">
        <v>664</v>
      </c>
      <c r="C12" s="76">
        <f>ROUND(C11*-2.9%,0)</f>
        <v>-1971558</v>
      </c>
      <c r="D12" s="77"/>
      <c r="F12" t="s">
        <v>665</v>
      </c>
      <c r="G12" s="74">
        <f>C13+C18+C20</f>
        <v>33783863.661093347</v>
      </c>
    </row>
    <row r="13" spans="1:19" outlineLevel="1" x14ac:dyDescent="0.35">
      <c r="A13" s="68">
        <f>MAX($A$10:A12)+1</f>
        <v>4</v>
      </c>
      <c r="B13" s="75" t="s">
        <v>666</v>
      </c>
      <c r="C13" s="73">
        <f>SUM(C11:C12)</f>
        <v>66013189.05972302</v>
      </c>
    </row>
    <row r="14" spans="1:19" outlineLevel="1" x14ac:dyDescent="0.35">
      <c r="A14" s="68">
        <f>MAX($A$10:A13)+1</f>
        <v>5</v>
      </c>
      <c r="B14" s="75"/>
      <c r="C14" s="78"/>
      <c r="F14" t="s">
        <v>667</v>
      </c>
      <c r="G14" s="79">
        <v>7.1849999999999997E-2</v>
      </c>
    </row>
    <row r="15" spans="1:19" outlineLevel="1" x14ac:dyDescent="0.35">
      <c r="A15" s="68">
        <f>MAX($A$10:A14)+1</f>
        <v>6</v>
      </c>
      <c r="B15" s="75" t="s">
        <v>668</v>
      </c>
      <c r="C15" s="80">
        <f>-((C31/2)+32285329.3)</f>
        <v>-33424221.113161664</v>
      </c>
      <c r="F15" t="s">
        <v>669</v>
      </c>
      <c r="G15" s="81">
        <v>0.75110130289694599</v>
      </c>
    </row>
    <row r="16" spans="1:19" outlineLevel="1" x14ac:dyDescent="0.35">
      <c r="A16" s="68">
        <f>MAX($A$10:A15)+1</f>
        <v>7</v>
      </c>
      <c r="B16" s="75" t="s">
        <v>664</v>
      </c>
      <c r="C16" s="82">
        <f>-C12</f>
        <v>1971558</v>
      </c>
    </row>
    <row r="17" spans="1:7" outlineLevel="1" x14ac:dyDescent="0.35">
      <c r="A17" s="68">
        <f>MAX($A$10:A16)+1</f>
        <v>8</v>
      </c>
      <c r="B17" s="75" t="s">
        <v>670</v>
      </c>
      <c r="C17" s="83">
        <v>-1530560.75</v>
      </c>
      <c r="F17" t="s">
        <v>671</v>
      </c>
      <c r="G17" s="84">
        <f>((G12*G14)-G11)/G15</f>
        <v>5714888.6000986332</v>
      </c>
    </row>
    <row r="18" spans="1:7" outlineLevel="1" x14ac:dyDescent="0.35">
      <c r="A18" s="68">
        <f>MAX($A$10:A17)+1</f>
        <v>9</v>
      </c>
      <c r="B18" s="75" t="s">
        <v>672</v>
      </c>
      <c r="C18" s="82">
        <f>SUM(C15:C17)</f>
        <v>-32983223.863161664</v>
      </c>
      <c r="F18" t="s">
        <v>725</v>
      </c>
      <c r="G18" s="77">
        <f>G17-'Provisional Plant Additions-1'!G17</f>
        <v>-3710321.9798597014</v>
      </c>
    </row>
    <row r="19" spans="1:7" outlineLevel="1" x14ac:dyDescent="0.35">
      <c r="A19" s="68">
        <f>MAX($A$10:A18)+1</f>
        <v>10</v>
      </c>
      <c r="B19" s="75"/>
      <c r="C19" s="78"/>
      <c r="D19" s="71"/>
    </row>
    <row r="20" spans="1:7" outlineLevel="1" x14ac:dyDescent="0.35">
      <c r="A20" s="68">
        <f>MAX($A$10:A19)+1</f>
        <v>11</v>
      </c>
      <c r="B20" s="75" t="s">
        <v>673</v>
      </c>
      <c r="C20" s="80">
        <v>753898.46453198965</v>
      </c>
    </row>
    <row r="21" spans="1:7" outlineLevel="1" x14ac:dyDescent="0.35">
      <c r="A21" s="68">
        <f>MAX($A$10:A20)+1</f>
        <v>12</v>
      </c>
      <c r="B21" s="72"/>
      <c r="C21" s="72"/>
    </row>
    <row r="22" spans="1:7" outlineLevel="1" x14ac:dyDescent="0.35">
      <c r="A22" s="68">
        <f>MAX($A$10:A21)+1</f>
        <v>13</v>
      </c>
      <c r="B22" s="131" t="s">
        <v>674</v>
      </c>
      <c r="C22" s="131"/>
      <c r="D22"/>
    </row>
    <row r="23" spans="1:7" outlineLevel="1" x14ac:dyDescent="0.35">
      <c r="A23" s="68">
        <f>MAX($A$10:A22)+1</f>
        <v>14</v>
      </c>
      <c r="B23" s="67" t="s">
        <v>675</v>
      </c>
      <c r="C23" s="85">
        <f>SUM(C83:N83,C88:N88,C95:N95)</f>
        <v>1571477.0432382778</v>
      </c>
    </row>
    <row r="24" spans="1:7" outlineLevel="1" x14ac:dyDescent="0.35">
      <c r="A24" s="68">
        <f>MAX($A$10:A23)+1</f>
        <v>15</v>
      </c>
      <c r="C24" s="74"/>
    </row>
    <row r="25" spans="1:7" outlineLevel="1" x14ac:dyDescent="0.35">
      <c r="A25" s="68">
        <f>MAX($A$10:A24)+1</f>
        <v>16</v>
      </c>
      <c r="B25" s="75" t="s">
        <v>676</v>
      </c>
      <c r="C25" s="80">
        <f>C23*0.04252</f>
        <v>66819.203878491579</v>
      </c>
      <c r="D25" s="86"/>
    </row>
    <row r="26" spans="1:7" outlineLevel="1" x14ac:dyDescent="0.35">
      <c r="A26" s="68">
        <f>MAX($A$10:A25)+1</f>
        <v>17</v>
      </c>
      <c r="B26" s="75"/>
      <c r="C26" s="80"/>
    </row>
    <row r="27" spans="1:7" outlineLevel="1" x14ac:dyDescent="0.35">
      <c r="A27" s="68">
        <f>MAX($A$10:A26)+1</f>
        <v>18</v>
      </c>
      <c r="B27" s="67" t="s">
        <v>677</v>
      </c>
      <c r="C27" s="74">
        <f>C23*0.00671885709247342</f>
        <v>10558.529677620663</v>
      </c>
    </row>
    <row r="28" spans="1:7" outlineLevel="1" x14ac:dyDescent="0.35">
      <c r="A28" s="68">
        <f>MAX($A$10:A27)+1</f>
        <v>19</v>
      </c>
      <c r="C28" s="74"/>
    </row>
    <row r="29" spans="1:7" outlineLevel="1" x14ac:dyDescent="0.35">
      <c r="A29" s="68">
        <f>MAX($A$10:A28)+1</f>
        <v>20</v>
      </c>
      <c r="B29" s="67" t="s">
        <v>678</v>
      </c>
      <c r="C29" s="80">
        <v>2338113.2963233283</v>
      </c>
    </row>
    <row r="30" spans="1:7" outlineLevel="1" x14ac:dyDescent="0.35">
      <c r="A30" s="68">
        <f>MAX($A$10:A29)+1</f>
        <v>21</v>
      </c>
      <c r="B30" s="67" t="s">
        <v>679</v>
      </c>
      <c r="C30" s="87">
        <f>ROUND(C12*0.0306,2)</f>
        <v>-60329.67</v>
      </c>
      <c r="E30" s="86"/>
    </row>
    <row r="31" spans="1:7" outlineLevel="1" x14ac:dyDescent="0.35">
      <c r="A31" s="68">
        <f>MAX($A$10:A30)+1</f>
        <v>22</v>
      </c>
      <c r="B31" s="67" t="s">
        <v>680</v>
      </c>
      <c r="C31" s="80">
        <f>C29+C30</f>
        <v>2277783.6263233284</v>
      </c>
      <c r="E31" s="86"/>
    </row>
    <row r="32" spans="1:7" outlineLevel="1" x14ac:dyDescent="0.35">
      <c r="A32" s="68">
        <f>MAX($A$10:A31)+1</f>
        <v>23</v>
      </c>
      <c r="C32" s="74"/>
      <c r="E32" s="86"/>
    </row>
    <row r="33" spans="1:14" outlineLevel="1" x14ac:dyDescent="0.35">
      <c r="A33" s="68">
        <f>MAX($A$10:A32)+1</f>
        <v>24</v>
      </c>
      <c r="B33" s="67" t="s">
        <v>681</v>
      </c>
      <c r="C33" s="101">
        <v>2.3110645880156972E-3</v>
      </c>
      <c r="E33" s="86"/>
      <c r="F33" s="89"/>
    </row>
    <row r="34" spans="1:14" outlineLevel="1" x14ac:dyDescent="0.35">
      <c r="A34" s="68">
        <f>MAX($A$10:A33)+1</f>
        <v>25</v>
      </c>
      <c r="B34" s="67" t="s">
        <v>682</v>
      </c>
      <c r="C34" s="80">
        <f>ROUND(C13*C33,2)</f>
        <v>152560.74</v>
      </c>
      <c r="E34" s="86"/>
      <c r="F34" s="90"/>
    </row>
    <row r="35" spans="1:14" outlineLevel="1" x14ac:dyDescent="0.35">
      <c r="A35" s="68">
        <f>MAX($A$10:A34)+1</f>
        <v>26</v>
      </c>
      <c r="C35" s="80"/>
    </row>
    <row r="36" spans="1:14" outlineLevel="1" x14ac:dyDescent="0.35">
      <c r="A36" s="68">
        <f>MAX($A$10:A35)+1</f>
        <v>27</v>
      </c>
      <c r="B36" t="s">
        <v>683</v>
      </c>
      <c r="C36" s="80">
        <v>-292500</v>
      </c>
      <c r="D36" s="67" t="s">
        <v>684</v>
      </c>
      <c r="E36" s="86">
        <f>C36-E37</f>
        <v>-280000</v>
      </c>
      <c r="F36" s="86"/>
    </row>
    <row r="37" spans="1:14" outlineLevel="1" x14ac:dyDescent="0.35">
      <c r="A37" s="68">
        <f>MAX($A$10:A36)+1</f>
        <v>28</v>
      </c>
      <c r="C37" s="80"/>
      <c r="D37" s="67" t="s">
        <v>685</v>
      </c>
      <c r="E37" s="86">
        <v>-12500</v>
      </c>
      <c r="G37" s="86"/>
    </row>
    <row r="38" spans="1:14" outlineLevel="1" x14ac:dyDescent="0.35">
      <c r="A38" s="68">
        <f>MAX($A$10:A37)+1</f>
        <v>29</v>
      </c>
      <c r="B38" s="67" t="s">
        <v>686</v>
      </c>
      <c r="C38" s="85">
        <f>(C23-SUM(C25,C27,C34,C31,C36))*0.21</f>
        <v>-135186.46189464413</v>
      </c>
      <c r="E38" s="71"/>
      <c r="G38" s="91"/>
    </row>
    <row r="39" spans="1:14" outlineLevel="1" x14ac:dyDescent="0.35">
      <c r="A39" s="68">
        <f>MAX($A$10:A38)+1</f>
        <v>30</v>
      </c>
      <c r="B39" t="s">
        <v>687</v>
      </c>
      <c r="C39" s="80">
        <f>-1807511.69+27635-(-1722565.5-30063.81+27635)</f>
        <v>-54882.379999999888</v>
      </c>
      <c r="E39" s="71"/>
      <c r="G39" s="86"/>
    </row>
    <row r="40" spans="1:14" outlineLevel="1" x14ac:dyDescent="0.35">
      <c r="A40" s="68">
        <f>MAX($A$10:A39)+1</f>
        <v>31</v>
      </c>
      <c r="B40"/>
      <c r="C40" s="80"/>
      <c r="E40" s="71"/>
      <c r="G40" s="86"/>
    </row>
    <row r="41" spans="1:14" outlineLevel="1" x14ac:dyDescent="0.35">
      <c r="A41" s="68">
        <f>MAX($A$10:A40)+1</f>
        <v>32</v>
      </c>
      <c r="B41" s="75" t="s">
        <v>639</v>
      </c>
      <c r="C41" s="92">
        <v>-103632.96457692039</v>
      </c>
      <c r="E41" s="71"/>
      <c r="G41" s="86"/>
    </row>
    <row r="42" spans="1:14" outlineLevel="1" x14ac:dyDescent="0.35">
      <c r="B42"/>
      <c r="C42" s="80"/>
      <c r="E42" s="71"/>
      <c r="G42" s="86"/>
    </row>
    <row r="43" spans="1:14" x14ac:dyDescent="0.35">
      <c r="A43" s="68">
        <f>MAX($A$10:A42)+1</f>
        <v>33</v>
      </c>
      <c r="B43" s="132" t="s">
        <v>688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</row>
    <row r="44" spans="1:14" x14ac:dyDescent="0.35">
      <c r="A44" s="68">
        <f>MAX($A$10:A43)+1</f>
        <v>34</v>
      </c>
      <c r="B44" s="72" t="s">
        <v>689</v>
      </c>
      <c r="C44" s="94">
        <v>45322</v>
      </c>
      <c r="D44" s="94">
        <v>45351</v>
      </c>
      <c r="E44" s="94">
        <v>45382</v>
      </c>
      <c r="F44" s="94">
        <v>45412</v>
      </c>
      <c r="G44" s="94">
        <v>45443</v>
      </c>
      <c r="H44" s="94">
        <v>45473</v>
      </c>
      <c r="I44" s="94">
        <v>45504</v>
      </c>
      <c r="J44" s="94">
        <v>45535</v>
      </c>
      <c r="K44" s="94">
        <v>45565</v>
      </c>
      <c r="L44" s="94">
        <v>45596</v>
      </c>
      <c r="M44" s="94">
        <v>45626</v>
      </c>
      <c r="N44" s="94">
        <v>45657</v>
      </c>
    </row>
    <row r="45" spans="1:14" x14ac:dyDescent="0.35">
      <c r="A45" s="68">
        <f>MAX($A$10:A44)+1</f>
        <v>35</v>
      </c>
      <c r="B45" s="93" t="s">
        <v>29</v>
      </c>
      <c r="C45" s="95" t="s">
        <v>60</v>
      </c>
      <c r="D45" s="95" t="s">
        <v>581</v>
      </c>
      <c r="E45" s="95" t="s">
        <v>638</v>
      </c>
      <c r="F45" s="95" t="s">
        <v>640</v>
      </c>
      <c r="G45" s="95" t="s">
        <v>690</v>
      </c>
      <c r="H45" s="95" t="s">
        <v>691</v>
      </c>
      <c r="I45" s="95" t="s">
        <v>692</v>
      </c>
      <c r="J45" s="95" t="s">
        <v>693</v>
      </c>
      <c r="K45" s="95" t="s">
        <v>694</v>
      </c>
      <c r="L45" s="95" t="s">
        <v>695</v>
      </c>
      <c r="M45" s="95" t="s">
        <v>696</v>
      </c>
      <c r="N45" s="95" t="s">
        <v>697</v>
      </c>
    </row>
    <row r="46" spans="1:14" x14ac:dyDescent="0.35">
      <c r="A46" s="68">
        <f>MAX($A$10:A45)+1</f>
        <v>36</v>
      </c>
      <c r="B46" s="67" t="s">
        <v>698</v>
      </c>
      <c r="C46" s="96">
        <v>347</v>
      </c>
      <c r="D46" s="96">
        <v>265</v>
      </c>
      <c r="E46" s="96">
        <v>63</v>
      </c>
      <c r="F46" s="96">
        <v>-11</v>
      </c>
      <c r="G46" s="96">
        <v>-63</v>
      </c>
      <c r="H46" s="96">
        <v>-55</v>
      </c>
      <c r="I46" s="96">
        <v>44</v>
      </c>
      <c r="J46" s="96">
        <v>331</v>
      </c>
      <c r="K46" s="96">
        <v>755</v>
      </c>
      <c r="L46" s="96">
        <v>821</v>
      </c>
      <c r="M46" s="96">
        <v>696</v>
      </c>
      <c r="N46" s="96">
        <v>383</v>
      </c>
    </row>
    <row r="47" spans="1:14" x14ac:dyDescent="0.35">
      <c r="A47" s="68">
        <f>MAX($A$10:A46)+1</f>
        <v>37</v>
      </c>
      <c r="B47" s="67" t="s">
        <v>699</v>
      </c>
      <c r="C47" s="96">
        <v>65</v>
      </c>
      <c r="D47" s="96">
        <v>16</v>
      </c>
      <c r="E47" s="96">
        <v>-9</v>
      </c>
      <c r="F47" s="96">
        <v>-34</v>
      </c>
      <c r="G47" s="96">
        <v>-33</v>
      </c>
      <c r="H47" s="96">
        <v>-24</v>
      </c>
      <c r="I47" s="96">
        <v>-13</v>
      </c>
      <c r="J47" s="96">
        <v>17</v>
      </c>
      <c r="K47" s="96">
        <v>96</v>
      </c>
      <c r="L47" s="96">
        <v>143</v>
      </c>
      <c r="M47" s="96">
        <v>141</v>
      </c>
      <c r="N47" s="96">
        <v>81</v>
      </c>
    </row>
    <row r="48" spans="1:14" x14ac:dyDescent="0.35">
      <c r="A48" s="68">
        <f>MAX($A$10:A47)+1</f>
        <v>38</v>
      </c>
      <c r="B48" s="67" t="s">
        <v>700</v>
      </c>
      <c r="C48" s="96">
        <v>2</v>
      </c>
      <c r="D48" s="96">
        <v>0</v>
      </c>
      <c r="E48" s="96">
        <v>0</v>
      </c>
      <c r="F48" s="96">
        <v>2</v>
      </c>
      <c r="G48" s="96">
        <v>0</v>
      </c>
      <c r="H48" s="96">
        <v>0</v>
      </c>
      <c r="I48" s="96">
        <v>0</v>
      </c>
      <c r="J48" s="96">
        <v>1</v>
      </c>
      <c r="K48" s="96">
        <v>1</v>
      </c>
      <c r="L48" s="96">
        <v>0</v>
      </c>
      <c r="M48" s="96">
        <v>0</v>
      </c>
      <c r="N48" s="96">
        <v>1</v>
      </c>
    </row>
    <row r="49" spans="1:14" x14ac:dyDescent="0.35">
      <c r="A49" s="68">
        <f>MAX($A$10:A48)+1</f>
        <v>39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35">
      <c r="A50" s="68">
        <f>MAX($A$10:A49)+1</f>
        <v>40</v>
      </c>
      <c r="B50" t="s">
        <v>701</v>
      </c>
    </row>
    <row r="51" spans="1:14" x14ac:dyDescent="0.35">
      <c r="A51" s="68">
        <f>MAX($A$10:A50)+1</f>
        <v>41</v>
      </c>
      <c r="B51" s="67" t="s">
        <v>698</v>
      </c>
      <c r="C51" s="74">
        <f t="shared" ref="C51:N51" si="0">SUM($C$46:$N$46)</f>
        <v>3576</v>
      </c>
      <c r="D51" s="74">
        <f t="shared" si="0"/>
        <v>3576</v>
      </c>
      <c r="E51" s="74">
        <f t="shared" si="0"/>
        <v>3576</v>
      </c>
      <c r="F51" s="74">
        <f t="shared" si="0"/>
        <v>3576</v>
      </c>
      <c r="G51" s="74">
        <f t="shared" si="0"/>
        <v>3576</v>
      </c>
      <c r="H51" s="74">
        <f t="shared" si="0"/>
        <v>3576</v>
      </c>
      <c r="I51" s="74">
        <f t="shared" si="0"/>
        <v>3576</v>
      </c>
      <c r="J51" s="74">
        <f t="shared" si="0"/>
        <v>3576</v>
      </c>
      <c r="K51" s="74">
        <f t="shared" si="0"/>
        <v>3576</v>
      </c>
      <c r="L51" s="74">
        <f t="shared" si="0"/>
        <v>3576</v>
      </c>
      <c r="M51" s="74">
        <f t="shared" si="0"/>
        <v>3576</v>
      </c>
      <c r="N51" s="74">
        <f t="shared" si="0"/>
        <v>3576</v>
      </c>
    </row>
    <row r="52" spans="1:14" x14ac:dyDescent="0.35">
      <c r="A52" s="68">
        <f>MAX($A$10:A51)+1</f>
        <v>42</v>
      </c>
      <c r="B52" s="67" t="s">
        <v>699</v>
      </c>
      <c r="C52" s="74">
        <f t="shared" ref="C52:N52" si="1">SUM($C$47:$N$47)</f>
        <v>446</v>
      </c>
      <c r="D52" s="74">
        <f t="shared" si="1"/>
        <v>446</v>
      </c>
      <c r="E52" s="74">
        <f t="shared" si="1"/>
        <v>446</v>
      </c>
      <c r="F52" s="74">
        <f t="shared" si="1"/>
        <v>446</v>
      </c>
      <c r="G52" s="74">
        <f t="shared" si="1"/>
        <v>446</v>
      </c>
      <c r="H52" s="74">
        <f t="shared" si="1"/>
        <v>446</v>
      </c>
      <c r="I52" s="74">
        <f t="shared" si="1"/>
        <v>446</v>
      </c>
      <c r="J52" s="74">
        <f t="shared" si="1"/>
        <v>446</v>
      </c>
      <c r="K52" s="74">
        <f t="shared" si="1"/>
        <v>446</v>
      </c>
      <c r="L52" s="74">
        <f t="shared" si="1"/>
        <v>446</v>
      </c>
      <c r="M52" s="74">
        <f t="shared" si="1"/>
        <v>446</v>
      </c>
      <c r="N52" s="74">
        <f t="shared" si="1"/>
        <v>446</v>
      </c>
    </row>
    <row r="53" spans="1:14" x14ac:dyDescent="0.35">
      <c r="A53" s="68">
        <f>MAX($A$10:A52)+1</f>
        <v>43</v>
      </c>
      <c r="B53" s="67" t="s">
        <v>700</v>
      </c>
      <c r="C53" s="74">
        <f t="shared" ref="C53:N53" si="2">SUM($C$48:$N$48)</f>
        <v>7</v>
      </c>
      <c r="D53" s="74">
        <f t="shared" si="2"/>
        <v>7</v>
      </c>
      <c r="E53" s="74">
        <f t="shared" si="2"/>
        <v>7</v>
      </c>
      <c r="F53" s="74">
        <f t="shared" si="2"/>
        <v>7</v>
      </c>
      <c r="G53" s="74">
        <f t="shared" si="2"/>
        <v>7</v>
      </c>
      <c r="H53" s="74">
        <f t="shared" si="2"/>
        <v>7</v>
      </c>
      <c r="I53" s="74">
        <f t="shared" si="2"/>
        <v>7</v>
      </c>
      <c r="J53" s="74">
        <f t="shared" si="2"/>
        <v>7</v>
      </c>
      <c r="K53" s="74">
        <f t="shared" si="2"/>
        <v>7</v>
      </c>
      <c r="L53" s="74">
        <f t="shared" si="2"/>
        <v>7</v>
      </c>
      <c r="M53" s="74">
        <f t="shared" si="2"/>
        <v>7</v>
      </c>
      <c r="N53" s="74">
        <f t="shared" si="2"/>
        <v>7</v>
      </c>
    </row>
    <row r="54" spans="1:14" x14ac:dyDescent="0.35">
      <c r="A54" s="68">
        <f>MAX($A$10:A53)+1</f>
        <v>44</v>
      </c>
    </row>
    <row r="55" spans="1:14" x14ac:dyDescent="0.35">
      <c r="A55" s="68">
        <f>MAX($A$10:A54)+1</f>
        <v>45</v>
      </c>
      <c r="B55" t="s">
        <v>702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x14ac:dyDescent="0.35">
      <c r="A56" s="68">
        <f>MAX($A$10:A55)+1</f>
        <v>46</v>
      </c>
      <c r="B56" s="67" t="s">
        <v>698</v>
      </c>
      <c r="C56" s="96">
        <v>108.07154471226879</v>
      </c>
      <c r="D56" s="96">
        <v>84.813874401057902</v>
      </c>
      <c r="E56" s="96">
        <v>72.4304354092898</v>
      </c>
      <c r="F56" s="96">
        <v>46.815098722157352</v>
      </c>
      <c r="G56" s="96">
        <v>29.685743867513779</v>
      </c>
      <c r="H56" s="96">
        <v>15.445667869727089</v>
      </c>
      <c r="I56" s="96">
        <v>15.95753879917452</v>
      </c>
      <c r="J56" s="96">
        <v>8.3753890355553491</v>
      </c>
      <c r="K56" s="96">
        <v>18.240616055119915</v>
      </c>
      <c r="L56" s="96">
        <v>44.407995705203234</v>
      </c>
      <c r="M56" s="96">
        <v>83.334127182396685</v>
      </c>
      <c r="N56" s="96">
        <v>107.64584390469717</v>
      </c>
    </row>
    <row r="57" spans="1:14" x14ac:dyDescent="0.35">
      <c r="A57" s="68">
        <f>MAX($A$10:A56)+1</f>
        <v>47</v>
      </c>
      <c r="B57" s="67" t="s">
        <v>699</v>
      </c>
      <c r="C57" s="96">
        <v>536.8671963527222</v>
      </c>
      <c r="D57" s="96">
        <v>426.75094790926624</v>
      </c>
      <c r="E57" s="96">
        <v>348.53133876442234</v>
      </c>
      <c r="F57" s="96">
        <v>223.88078713478959</v>
      </c>
      <c r="G57" s="96">
        <v>155.89457244009878</v>
      </c>
      <c r="H57" s="96">
        <v>99.435152246588572</v>
      </c>
      <c r="I57" s="96">
        <v>102.74604529221038</v>
      </c>
      <c r="J57" s="96">
        <v>102.74750165267722</v>
      </c>
      <c r="K57" s="96">
        <v>144.39116799310455</v>
      </c>
      <c r="L57" s="96">
        <v>263.38436683233249</v>
      </c>
      <c r="M57" s="96">
        <v>390.32963020388507</v>
      </c>
      <c r="N57" s="96">
        <v>528.96644966539111</v>
      </c>
    </row>
    <row r="58" spans="1:14" x14ac:dyDescent="0.35">
      <c r="A58" s="68">
        <f>MAX($A$10:A57)+1</f>
        <v>48</v>
      </c>
      <c r="B58" s="67" t="s">
        <v>703</v>
      </c>
      <c r="C58" s="96">
        <v>424.06048387096774</v>
      </c>
      <c r="D58" s="96">
        <v>395.49193548387098</v>
      </c>
      <c r="E58" s="96">
        <v>414.22020202020201</v>
      </c>
      <c r="F58" s="96">
        <v>382.00814663951121</v>
      </c>
      <c r="G58" s="96">
        <v>323.56530612244899</v>
      </c>
      <c r="H58" s="96">
        <v>207.22857142857143</v>
      </c>
      <c r="I58" s="96">
        <v>177.50306748466258</v>
      </c>
      <c r="J58" s="96">
        <v>169.86065573770492</v>
      </c>
      <c r="K58" s="96">
        <v>179.62090163934425</v>
      </c>
      <c r="L58" s="96">
        <v>222.68163265306123</v>
      </c>
      <c r="M58" s="96">
        <v>324.32251521298173</v>
      </c>
      <c r="N58" s="96">
        <v>388.71515151515149</v>
      </c>
    </row>
    <row r="59" spans="1:14" x14ac:dyDescent="0.35">
      <c r="A59" s="68">
        <f>MAX($A$10:A58)+1</f>
        <v>49</v>
      </c>
      <c r="B59" s="67" t="s">
        <v>704</v>
      </c>
      <c r="C59" s="96">
        <v>1651.703629032258</v>
      </c>
      <c r="D59" s="96">
        <v>1366.4435483870968</v>
      </c>
      <c r="E59" s="96">
        <v>1494.6101010101011</v>
      </c>
      <c r="F59" s="96">
        <v>1158.551934826884</v>
      </c>
      <c r="G59" s="96">
        <v>916.01428571428573</v>
      </c>
      <c r="H59" s="96">
        <v>564.77755102040817</v>
      </c>
      <c r="I59" s="96">
        <v>454.38036809815952</v>
      </c>
      <c r="J59" s="96">
        <v>475.56762295081967</v>
      </c>
      <c r="K59" s="96">
        <v>496.0840163934426</v>
      </c>
      <c r="L59" s="96">
        <v>643.98979591836735</v>
      </c>
      <c r="M59" s="96">
        <v>900.43407707910751</v>
      </c>
      <c r="N59" s="96">
        <v>1289.3898989898989</v>
      </c>
    </row>
    <row r="60" spans="1:14" x14ac:dyDescent="0.35">
      <c r="A60" s="68">
        <f>MAX($A$10:A59)+1</f>
        <v>50</v>
      </c>
      <c r="B60" s="67" t="s">
        <v>705</v>
      </c>
      <c r="C60" s="96">
        <v>1649.828629032258</v>
      </c>
      <c r="D60" s="96">
        <v>929.44556451612902</v>
      </c>
      <c r="E60" s="96">
        <v>1422.8888888888889</v>
      </c>
      <c r="F60" s="96">
        <v>776.56822810590631</v>
      </c>
      <c r="G60" s="96">
        <v>572.10204081632651</v>
      </c>
      <c r="H60" s="96">
        <v>328.90204081632652</v>
      </c>
      <c r="I60" s="96">
        <v>267.24948875255626</v>
      </c>
      <c r="J60" s="96">
        <v>349.20081967213116</v>
      </c>
      <c r="K60" s="96">
        <v>420.17418032786884</v>
      </c>
      <c r="L60" s="96">
        <v>1009.969387755102</v>
      </c>
      <c r="M60" s="96">
        <v>782.1501014198783</v>
      </c>
      <c r="N60" s="96">
        <v>1064.5353535353536</v>
      </c>
    </row>
    <row r="61" spans="1:14" x14ac:dyDescent="0.35">
      <c r="A61" s="68">
        <f>MAX($A$10:A60)+1</f>
        <v>51</v>
      </c>
    </row>
    <row r="62" spans="1:14" x14ac:dyDescent="0.35">
      <c r="A62" s="68">
        <f>MAX($A$10:A61)+1</f>
        <v>52</v>
      </c>
      <c r="B62" t="s">
        <v>706</v>
      </c>
    </row>
    <row r="63" spans="1:14" x14ac:dyDescent="0.35">
      <c r="A63" s="68">
        <f>MAX($A$10:A62)+1</f>
        <v>53</v>
      </c>
      <c r="B63" s="67" t="s">
        <v>698</v>
      </c>
      <c r="C63" s="96">
        <f t="shared" ref="C63:N64" si="3">C51*C56</f>
        <v>386463.84389107319</v>
      </c>
      <c r="D63" s="96">
        <f t="shared" si="3"/>
        <v>303294.41485818307</v>
      </c>
      <c r="E63" s="96">
        <f t="shared" si="3"/>
        <v>259011.23702362031</v>
      </c>
      <c r="F63" s="96">
        <f t="shared" si="3"/>
        <v>167410.7930304347</v>
      </c>
      <c r="G63" s="96">
        <f t="shared" si="3"/>
        <v>106156.22007022928</v>
      </c>
      <c r="H63" s="96">
        <f t="shared" si="3"/>
        <v>55233.70830214407</v>
      </c>
      <c r="I63" s="96">
        <f t="shared" si="3"/>
        <v>57064.158745848086</v>
      </c>
      <c r="J63" s="96">
        <f t="shared" si="3"/>
        <v>29950.391191145929</v>
      </c>
      <c r="K63" s="96">
        <f t="shared" si="3"/>
        <v>65228.443013108816</v>
      </c>
      <c r="L63" s="96">
        <f t="shared" si="3"/>
        <v>158802.99264180678</v>
      </c>
      <c r="M63" s="96">
        <f t="shared" si="3"/>
        <v>298002.83880425052</v>
      </c>
      <c r="N63" s="96">
        <f t="shared" si="3"/>
        <v>384941.5378031971</v>
      </c>
    </row>
    <row r="64" spans="1:14" x14ac:dyDescent="0.35">
      <c r="A64" s="68">
        <f>MAX($A$10:A63)+1</f>
        <v>54</v>
      </c>
      <c r="B64" s="67" t="s">
        <v>699</v>
      </c>
      <c r="C64" s="96">
        <f t="shared" si="3"/>
        <v>239442.76957331412</v>
      </c>
      <c r="D64" s="96">
        <f t="shared" si="3"/>
        <v>190330.92276753276</v>
      </c>
      <c r="E64" s="96">
        <f t="shared" si="3"/>
        <v>155444.97708893236</v>
      </c>
      <c r="F64" s="96">
        <f t="shared" si="3"/>
        <v>99850.831062116151</v>
      </c>
      <c r="G64" s="96">
        <f t="shared" si="3"/>
        <v>69528.979308284062</v>
      </c>
      <c r="H64" s="96">
        <f t="shared" si="3"/>
        <v>44348.077901978504</v>
      </c>
      <c r="I64" s="96">
        <f t="shared" si="3"/>
        <v>45824.736200325831</v>
      </c>
      <c r="J64" s="96">
        <f t="shared" si="3"/>
        <v>45825.385737094039</v>
      </c>
      <c r="K64" s="96">
        <f t="shared" si="3"/>
        <v>64398.460924924628</v>
      </c>
      <c r="L64" s="96">
        <f t="shared" si="3"/>
        <v>117469.42760722029</v>
      </c>
      <c r="M64" s="96">
        <f t="shared" si="3"/>
        <v>174087.01507093274</v>
      </c>
      <c r="N64" s="96">
        <f t="shared" si="3"/>
        <v>235919.03655076443</v>
      </c>
    </row>
    <row r="65" spans="1:14" x14ac:dyDescent="0.35">
      <c r="A65" s="68">
        <f>MAX($A$10:A64)+1</f>
        <v>55</v>
      </c>
      <c r="B65" s="67" t="s">
        <v>703</v>
      </c>
      <c r="C65" s="96">
        <f t="shared" ref="C65:N67" si="4">C$53*C58</f>
        <v>2968.4233870967741</v>
      </c>
      <c r="D65" s="96">
        <f t="shared" si="4"/>
        <v>2768.4435483870966</v>
      </c>
      <c r="E65" s="96">
        <f t="shared" si="4"/>
        <v>2899.541414141414</v>
      </c>
      <c r="F65" s="96">
        <f t="shared" si="4"/>
        <v>2674.0570264765784</v>
      </c>
      <c r="G65" s="96">
        <f t="shared" si="4"/>
        <v>2264.957142857143</v>
      </c>
      <c r="H65" s="96">
        <f t="shared" si="4"/>
        <v>1450.6</v>
      </c>
      <c r="I65" s="96">
        <f t="shared" si="4"/>
        <v>1242.5214723926381</v>
      </c>
      <c r="J65" s="96">
        <f t="shared" si="4"/>
        <v>1189.0245901639344</v>
      </c>
      <c r="K65" s="96">
        <f t="shared" si="4"/>
        <v>1257.3463114754097</v>
      </c>
      <c r="L65" s="96">
        <f t="shared" si="4"/>
        <v>1558.7714285714287</v>
      </c>
      <c r="M65" s="96">
        <f t="shared" si="4"/>
        <v>2270.2576064908721</v>
      </c>
      <c r="N65" s="96">
        <f t="shared" si="4"/>
        <v>2721.0060606060606</v>
      </c>
    </row>
    <row r="66" spans="1:14" x14ac:dyDescent="0.35">
      <c r="A66" s="68">
        <f>MAX($A$10:A65)+1</f>
        <v>56</v>
      </c>
      <c r="B66" s="67" t="s">
        <v>704</v>
      </c>
      <c r="C66" s="96">
        <f t="shared" si="4"/>
        <v>11561.925403225807</v>
      </c>
      <c r="D66" s="96">
        <f t="shared" si="4"/>
        <v>9565.104838709678</v>
      </c>
      <c r="E66" s="96">
        <f t="shared" si="4"/>
        <v>10462.270707070707</v>
      </c>
      <c r="F66" s="96">
        <f t="shared" si="4"/>
        <v>8109.8635437881876</v>
      </c>
      <c r="G66" s="96">
        <f t="shared" si="4"/>
        <v>6412.1</v>
      </c>
      <c r="H66" s="96">
        <f t="shared" si="4"/>
        <v>3953.4428571428571</v>
      </c>
      <c r="I66" s="96">
        <f t="shared" si="4"/>
        <v>3180.6625766871166</v>
      </c>
      <c r="J66" s="96">
        <f t="shared" si="4"/>
        <v>3328.9733606557375</v>
      </c>
      <c r="K66" s="96">
        <f t="shared" si="4"/>
        <v>3472.5881147540981</v>
      </c>
      <c r="L66" s="96">
        <f t="shared" si="4"/>
        <v>4507.9285714285716</v>
      </c>
      <c r="M66" s="96">
        <f t="shared" si="4"/>
        <v>6303.0385395537523</v>
      </c>
      <c r="N66" s="96">
        <f t="shared" si="4"/>
        <v>9025.7292929292926</v>
      </c>
    </row>
    <row r="67" spans="1:14" x14ac:dyDescent="0.35">
      <c r="A67" s="68">
        <f>MAX($A$10:A66)+1</f>
        <v>57</v>
      </c>
      <c r="B67" s="67" t="s">
        <v>705</v>
      </c>
      <c r="C67" s="96">
        <f t="shared" si="4"/>
        <v>11548.800403225807</v>
      </c>
      <c r="D67" s="96">
        <f t="shared" si="4"/>
        <v>6506.1189516129034</v>
      </c>
      <c r="E67" s="96">
        <f t="shared" si="4"/>
        <v>9960.2222222222226</v>
      </c>
      <c r="F67" s="96">
        <f t="shared" si="4"/>
        <v>5435.9775967413443</v>
      </c>
      <c r="G67" s="96">
        <f t="shared" si="4"/>
        <v>4004.7142857142853</v>
      </c>
      <c r="H67" s="96">
        <f t="shared" si="4"/>
        <v>2302.3142857142857</v>
      </c>
      <c r="I67" s="96">
        <f t="shared" si="4"/>
        <v>1870.7464212678938</v>
      </c>
      <c r="J67" s="96">
        <f t="shared" si="4"/>
        <v>2444.405737704918</v>
      </c>
      <c r="K67" s="96">
        <f t="shared" si="4"/>
        <v>2941.219262295082</v>
      </c>
      <c r="L67" s="96">
        <f t="shared" si="4"/>
        <v>7069.7857142857147</v>
      </c>
      <c r="M67" s="96">
        <f t="shared" si="4"/>
        <v>5475.050709939148</v>
      </c>
      <c r="N67" s="96">
        <f t="shared" si="4"/>
        <v>7451.7474747474753</v>
      </c>
    </row>
    <row r="68" spans="1:14" x14ac:dyDescent="0.35">
      <c r="A68" s="68">
        <f>MAX($A$10:A67)+1</f>
        <v>58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</row>
    <row r="69" spans="1:14" x14ac:dyDescent="0.35">
      <c r="A69" s="68">
        <f>MAX($A$10:A68)+1</f>
        <v>59</v>
      </c>
      <c r="B69" t="s">
        <v>707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</row>
    <row r="70" spans="1:14" x14ac:dyDescent="0.35">
      <c r="A70" s="68">
        <f>MAX($A$10:A69)+1</f>
        <v>60</v>
      </c>
      <c r="B70" s="67" t="s">
        <v>708</v>
      </c>
      <c r="C70" s="98">
        <v>5</v>
      </c>
      <c r="D70" s="98">
        <v>5</v>
      </c>
      <c r="E70" s="98">
        <v>5</v>
      </c>
      <c r="F70" s="98">
        <v>5</v>
      </c>
      <c r="G70" s="98">
        <v>5</v>
      </c>
      <c r="H70" s="98">
        <v>5</v>
      </c>
      <c r="I70" s="98">
        <v>5</v>
      </c>
      <c r="J70" s="98">
        <v>5</v>
      </c>
      <c r="K70" s="98">
        <v>5</v>
      </c>
      <c r="L70" s="98">
        <v>5</v>
      </c>
      <c r="M70" s="98">
        <v>5</v>
      </c>
      <c r="N70" s="98">
        <v>5</v>
      </c>
    </row>
    <row r="71" spans="1:14" x14ac:dyDescent="0.35">
      <c r="A71" s="68">
        <f>MAX($A$10:A70)+1</f>
        <v>61</v>
      </c>
      <c r="B71" s="67" t="s">
        <v>709</v>
      </c>
      <c r="C71" s="99">
        <v>0.35719999999999996</v>
      </c>
      <c r="D71" s="99">
        <v>0.35719999999999996</v>
      </c>
      <c r="E71" s="99">
        <v>0.35719999999999996</v>
      </c>
      <c r="F71" s="99">
        <v>0.35719999999999996</v>
      </c>
      <c r="G71" s="99">
        <v>0.35719999999999996</v>
      </c>
      <c r="H71" s="99">
        <v>0.35719999999999996</v>
      </c>
      <c r="I71" s="99">
        <v>0.35719999999999996</v>
      </c>
      <c r="J71" s="99">
        <v>0.35719999999999996</v>
      </c>
      <c r="K71" s="99">
        <v>0.35719999999999996</v>
      </c>
      <c r="L71" s="99">
        <v>0.35719999999999996</v>
      </c>
      <c r="M71" s="99">
        <v>0.35719999999999996</v>
      </c>
      <c r="N71" s="99">
        <v>0.35719999999999996</v>
      </c>
    </row>
    <row r="72" spans="1:14" x14ac:dyDescent="0.35">
      <c r="A72" s="68">
        <f>MAX($A$10:A71)+1</f>
        <v>62</v>
      </c>
      <c r="B72" s="67" t="s">
        <v>710</v>
      </c>
      <c r="C72" s="98">
        <v>13</v>
      </c>
      <c r="D72" s="98">
        <v>13</v>
      </c>
      <c r="E72" s="98">
        <v>13</v>
      </c>
      <c r="F72" s="98">
        <v>13</v>
      </c>
      <c r="G72" s="98">
        <v>13</v>
      </c>
      <c r="H72" s="98">
        <v>13</v>
      </c>
      <c r="I72" s="98">
        <v>13</v>
      </c>
      <c r="J72" s="98">
        <v>13</v>
      </c>
      <c r="K72" s="98">
        <v>13</v>
      </c>
      <c r="L72" s="98">
        <v>13</v>
      </c>
      <c r="M72" s="98">
        <v>13</v>
      </c>
      <c r="N72" s="98">
        <v>13</v>
      </c>
    </row>
    <row r="73" spans="1:14" x14ac:dyDescent="0.35">
      <c r="A73" s="68">
        <f>MAX($A$10:A72)+1</f>
        <v>63</v>
      </c>
      <c r="B73" s="67" t="s">
        <v>711</v>
      </c>
      <c r="C73" s="99">
        <v>0.29528000000000004</v>
      </c>
      <c r="D73" s="99">
        <v>0.29528000000000004</v>
      </c>
      <c r="E73" s="99">
        <v>0.29528000000000004</v>
      </c>
      <c r="F73" s="99">
        <v>0.29528000000000004</v>
      </c>
      <c r="G73" s="99">
        <v>0.29528000000000004</v>
      </c>
      <c r="H73" s="99">
        <v>0.29528000000000004</v>
      </c>
      <c r="I73" s="99">
        <v>0.29528000000000004</v>
      </c>
      <c r="J73" s="99">
        <v>0.29528000000000004</v>
      </c>
      <c r="K73" s="99">
        <v>0.29528000000000004</v>
      </c>
      <c r="L73" s="99">
        <v>0.29528000000000004</v>
      </c>
      <c r="M73" s="99">
        <v>0.29528000000000004</v>
      </c>
      <c r="N73" s="99">
        <v>0.29528000000000004</v>
      </c>
    </row>
    <row r="74" spans="1:14" x14ac:dyDescent="0.35">
      <c r="A74" s="68">
        <f>MAX($A$10:A73)+1</f>
        <v>64</v>
      </c>
      <c r="B74" s="67" t="s">
        <v>712</v>
      </c>
      <c r="C74" s="98">
        <v>60</v>
      </c>
      <c r="D74" s="98">
        <v>60</v>
      </c>
      <c r="E74" s="98">
        <v>60</v>
      </c>
      <c r="F74" s="98">
        <v>60</v>
      </c>
      <c r="G74" s="98">
        <v>60</v>
      </c>
      <c r="H74" s="98">
        <v>60</v>
      </c>
      <c r="I74" s="98">
        <v>60</v>
      </c>
      <c r="J74" s="98">
        <v>60</v>
      </c>
      <c r="K74" s="98">
        <v>60</v>
      </c>
      <c r="L74" s="98">
        <v>60</v>
      </c>
      <c r="M74" s="98">
        <v>60</v>
      </c>
      <c r="N74" s="98">
        <v>60</v>
      </c>
    </row>
    <row r="75" spans="1:14" x14ac:dyDescent="0.35">
      <c r="A75" s="68">
        <f>MAX($A$10:A74)+1</f>
        <v>65</v>
      </c>
      <c r="B75" s="67" t="s">
        <v>713</v>
      </c>
      <c r="C75" s="99">
        <v>0.22844</v>
      </c>
      <c r="D75" s="99">
        <v>0.22844</v>
      </c>
      <c r="E75" s="99">
        <v>0.22844</v>
      </c>
      <c r="F75" s="99">
        <v>0.22844</v>
      </c>
      <c r="G75" s="99">
        <v>0.22844</v>
      </c>
      <c r="H75" s="99">
        <v>0.22844</v>
      </c>
      <c r="I75" s="99">
        <v>0.22844</v>
      </c>
      <c r="J75" s="99">
        <v>0.22844</v>
      </c>
      <c r="K75" s="99">
        <v>0.22844</v>
      </c>
      <c r="L75" s="99">
        <v>0.22844</v>
      </c>
      <c r="M75" s="99">
        <v>0.22844</v>
      </c>
      <c r="N75" s="99">
        <v>0.22844</v>
      </c>
    </row>
    <row r="76" spans="1:14" x14ac:dyDescent="0.35">
      <c r="A76" s="68">
        <f>MAX($A$10:A75)+1</f>
        <v>66</v>
      </c>
      <c r="B76" s="67" t="s">
        <v>714</v>
      </c>
      <c r="C76" s="99">
        <v>0.18912999999999999</v>
      </c>
      <c r="D76" s="99">
        <v>0.18912999999999999</v>
      </c>
      <c r="E76" s="99">
        <v>0.18912999999999999</v>
      </c>
      <c r="F76" s="99">
        <v>0.18912999999999999</v>
      </c>
      <c r="G76" s="99">
        <v>0.18912999999999999</v>
      </c>
      <c r="H76" s="99">
        <v>0.18912999999999999</v>
      </c>
      <c r="I76" s="99">
        <v>0.18912999999999999</v>
      </c>
      <c r="J76" s="99">
        <v>0.18912999999999999</v>
      </c>
      <c r="K76" s="99">
        <v>0.18912999999999999</v>
      </c>
      <c r="L76" s="99">
        <v>0.18912999999999999</v>
      </c>
      <c r="M76" s="99">
        <v>0.18912999999999999</v>
      </c>
      <c r="N76" s="99">
        <v>0.18912999999999999</v>
      </c>
    </row>
    <row r="77" spans="1:14" x14ac:dyDescent="0.35">
      <c r="A77" s="68">
        <f>MAX($A$10:A76)+1</f>
        <v>67</v>
      </c>
      <c r="B77" s="67" t="s">
        <v>715</v>
      </c>
      <c r="C77" s="99">
        <v>0.18318999999999999</v>
      </c>
      <c r="D77" s="99">
        <v>0.18318999999999999</v>
      </c>
      <c r="E77" s="99">
        <v>0.18318999999999999</v>
      </c>
      <c r="F77" s="99">
        <v>0.18318999999999999</v>
      </c>
      <c r="G77" s="99">
        <v>0.18318999999999999</v>
      </c>
      <c r="H77" s="99">
        <v>0.18318999999999999</v>
      </c>
      <c r="I77" s="99">
        <v>0.18318999999999999</v>
      </c>
      <c r="J77" s="99">
        <v>0.18318999999999999</v>
      </c>
      <c r="K77" s="99">
        <v>0.18318999999999999</v>
      </c>
      <c r="L77" s="99">
        <v>0.18318999999999999</v>
      </c>
      <c r="M77" s="99">
        <v>0.18318999999999999</v>
      </c>
      <c r="N77" s="99">
        <v>0.18318999999999999</v>
      </c>
    </row>
    <row r="78" spans="1:14" x14ac:dyDescent="0.35">
      <c r="A78" s="69">
        <f>MAX($A$10:A77)+1</f>
        <v>68</v>
      </c>
    </row>
    <row r="79" spans="1:14" x14ac:dyDescent="0.35">
      <c r="A79" s="69">
        <f>MAX($A$10:A78)+1</f>
        <v>69</v>
      </c>
      <c r="B79" t="s">
        <v>716</v>
      </c>
    </row>
    <row r="80" spans="1:14" x14ac:dyDescent="0.35">
      <c r="A80" s="68">
        <f>MAX($A$10:A79)+1</f>
        <v>70</v>
      </c>
      <c r="B80" s="67" t="s">
        <v>698</v>
      </c>
    </row>
    <row r="81" spans="1:14" x14ac:dyDescent="0.35">
      <c r="A81" s="68">
        <f>MAX($A$10:A80)+1</f>
        <v>71</v>
      </c>
      <c r="B81" t="s">
        <v>717</v>
      </c>
      <c r="C81" s="84">
        <f t="shared" ref="C81:N81" si="5">C70*C51</f>
        <v>17880</v>
      </c>
      <c r="D81" s="84">
        <f t="shared" si="5"/>
        <v>17880</v>
      </c>
      <c r="E81" s="84">
        <f t="shared" si="5"/>
        <v>17880</v>
      </c>
      <c r="F81" s="84">
        <f t="shared" si="5"/>
        <v>17880</v>
      </c>
      <c r="G81" s="84">
        <f t="shared" si="5"/>
        <v>17880</v>
      </c>
      <c r="H81" s="84">
        <f t="shared" si="5"/>
        <v>17880</v>
      </c>
      <c r="I81" s="84">
        <f t="shared" si="5"/>
        <v>17880</v>
      </c>
      <c r="J81" s="84">
        <f t="shared" si="5"/>
        <v>17880</v>
      </c>
      <c r="K81" s="84">
        <f t="shared" si="5"/>
        <v>17880</v>
      </c>
      <c r="L81" s="84">
        <f t="shared" si="5"/>
        <v>17880</v>
      </c>
      <c r="M81" s="84">
        <f t="shared" si="5"/>
        <v>17880</v>
      </c>
      <c r="N81" s="84">
        <f t="shared" si="5"/>
        <v>17880</v>
      </c>
    </row>
    <row r="82" spans="1:14" x14ac:dyDescent="0.35">
      <c r="A82" s="68">
        <f>MAX($A$10:A81)+1</f>
        <v>72</v>
      </c>
      <c r="B82" t="s">
        <v>718</v>
      </c>
      <c r="C82" s="100">
        <f t="shared" ref="C82:N82" si="6">C63*C71</f>
        <v>138044.88503789133</v>
      </c>
      <c r="D82" s="100">
        <f t="shared" si="6"/>
        <v>108336.76498734298</v>
      </c>
      <c r="E82" s="100">
        <f t="shared" si="6"/>
        <v>92518.813864837168</v>
      </c>
      <c r="F82" s="100">
        <f t="shared" si="6"/>
        <v>59799.13527047127</v>
      </c>
      <c r="G82" s="100">
        <f t="shared" si="6"/>
        <v>37919.001809085894</v>
      </c>
      <c r="H82" s="100">
        <f t="shared" si="6"/>
        <v>19729.48060552586</v>
      </c>
      <c r="I82" s="100">
        <f t="shared" si="6"/>
        <v>20383.317504016934</v>
      </c>
      <c r="J82" s="100">
        <f t="shared" si="6"/>
        <v>10698.279733477324</v>
      </c>
      <c r="K82" s="100">
        <f t="shared" si="6"/>
        <v>23299.599844282468</v>
      </c>
      <c r="L82" s="100">
        <f t="shared" si="6"/>
        <v>56724.428971653375</v>
      </c>
      <c r="M82" s="100">
        <f t="shared" si="6"/>
        <v>106446.61402087827</v>
      </c>
      <c r="N82" s="100">
        <f t="shared" si="6"/>
        <v>137501.11730330199</v>
      </c>
    </row>
    <row r="83" spans="1:14" x14ac:dyDescent="0.35">
      <c r="A83" s="68">
        <f>MAX($A$10:A82)+1</f>
        <v>73</v>
      </c>
      <c r="B83" t="s">
        <v>719</v>
      </c>
      <c r="C83" s="77">
        <f t="shared" ref="C83:N83" si="7">SUM(C81:C82)</f>
        <v>155924.88503789133</v>
      </c>
      <c r="D83" s="77">
        <f t="shared" si="7"/>
        <v>126216.76498734298</v>
      </c>
      <c r="E83" s="77">
        <f t="shared" si="7"/>
        <v>110398.81386483717</v>
      </c>
      <c r="F83" s="77">
        <f t="shared" si="7"/>
        <v>77679.135270471277</v>
      </c>
      <c r="G83" s="77">
        <f t="shared" si="7"/>
        <v>55799.001809085894</v>
      </c>
      <c r="H83" s="77">
        <f t="shared" si="7"/>
        <v>37609.48060552586</v>
      </c>
      <c r="I83" s="77">
        <f t="shared" si="7"/>
        <v>38263.31750401693</v>
      </c>
      <c r="J83" s="77">
        <f t="shared" si="7"/>
        <v>28578.279733477324</v>
      </c>
      <c r="K83" s="77">
        <f t="shared" si="7"/>
        <v>41179.599844282464</v>
      </c>
      <c r="L83" s="77">
        <f t="shared" si="7"/>
        <v>74604.428971653368</v>
      </c>
      <c r="M83" s="77">
        <f t="shared" si="7"/>
        <v>124326.61402087827</v>
      </c>
      <c r="N83" s="77">
        <f t="shared" si="7"/>
        <v>155381.11730330199</v>
      </c>
    </row>
    <row r="84" spans="1:14" x14ac:dyDescent="0.35">
      <c r="A84" s="68">
        <f>MAX($A$10:A83)+1</f>
        <v>74</v>
      </c>
    </row>
    <row r="85" spans="1:14" x14ac:dyDescent="0.35">
      <c r="A85" s="68">
        <f>MAX($A$10:A84)+1</f>
        <v>75</v>
      </c>
      <c r="B85" s="67" t="s">
        <v>699</v>
      </c>
    </row>
    <row r="86" spans="1:14" x14ac:dyDescent="0.35">
      <c r="A86" s="68">
        <f>MAX($A$10:A85)+1</f>
        <v>76</v>
      </c>
      <c r="B86" t="s">
        <v>717</v>
      </c>
      <c r="C86" s="84">
        <f t="shared" ref="C86:N86" si="8">C52*C72</f>
        <v>5798</v>
      </c>
      <c r="D86" s="84">
        <f t="shared" si="8"/>
        <v>5798</v>
      </c>
      <c r="E86" s="84">
        <f t="shared" si="8"/>
        <v>5798</v>
      </c>
      <c r="F86" s="84">
        <f t="shared" si="8"/>
        <v>5798</v>
      </c>
      <c r="G86" s="84">
        <f t="shared" si="8"/>
        <v>5798</v>
      </c>
      <c r="H86" s="84">
        <f t="shared" si="8"/>
        <v>5798</v>
      </c>
      <c r="I86" s="84">
        <f t="shared" si="8"/>
        <v>5798</v>
      </c>
      <c r="J86" s="84">
        <f t="shared" si="8"/>
        <v>5798</v>
      </c>
      <c r="K86" s="84">
        <f t="shared" si="8"/>
        <v>5798</v>
      </c>
      <c r="L86" s="84">
        <f t="shared" si="8"/>
        <v>5798</v>
      </c>
      <c r="M86" s="84">
        <f t="shared" si="8"/>
        <v>5798</v>
      </c>
      <c r="N86" s="84">
        <f t="shared" si="8"/>
        <v>5798</v>
      </c>
    </row>
    <row r="87" spans="1:14" x14ac:dyDescent="0.35">
      <c r="A87" s="68">
        <f>MAX($A$10:A86)+1</f>
        <v>77</v>
      </c>
      <c r="B87" t="s">
        <v>718</v>
      </c>
      <c r="C87" s="100">
        <f t="shared" ref="C87:N87" si="9">C64*C73</f>
        <v>70702.660999608197</v>
      </c>
      <c r="D87" s="100">
        <f t="shared" si="9"/>
        <v>56200.914874797083</v>
      </c>
      <c r="E87" s="100">
        <f t="shared" si="9"/>
        <v>45899.792834819949</v>
      </c>
      <c r="F87" s="100">
        <f t="shared" si="9"/>
        <v>29483.953396021661</v>
      </c>
      <c r="G87" s="100">
        <f t="shared" si="9"/>
        <v>20530.517010150121</v>
      </c>
      <c r="H87" s="100">
        <f t="shared" si="9"/>
        <v>13095.100442896215</v>
      </c>
      <c r="I87" s="100">
        <f t="shared" si="9"/>
        <v>13531.128105232214</v>
      </c>
      <c r="J87" s="100">
        <f t="shared" si="9"/>
        <v>13531.319900449129</v>
      </c>
      <c r="K87" s="100">
        <f t="shared" si="9"/>
        <v>19015.577541911745</v>
      </c>
      <c r="L87" s="100">
        <f t="shared" si="9"/>
        <v>34686.372583860015</v>
      </c>
      <c r="M87" s="100">
        <f t="shared" si="9"/>
        <v>51404.41381014503</v>
      </c>
      <c r="N87" s="100">
        <f t="shared" si="9"/>
        <v>69662.17311270973</v>
      </c>
    </row>
    <row r="88" spans="1:14" x14ac:dyDescent="0.35">
      <c r="A88" s="68">
        <f>MAX($A$10:A87)+1</f>
        <v>78</v>
      </c>
      <c r="B88" t="s">
        <v>720</v>
      </c>
      <c r="C88" s="77">
        <f t="shared" ref="C88:N88" si="10">SUM(C86:C87)</f>
        <v>76500.660999608197</v>
      </c>
      <c r="D88" s="77">
        <f t="shared" si="10"/>
        <v>61998.914874797083</v>
      </c>
      <c r="E88" s="77">
        <f t="shared" si="10"/>
        <v>51697.792834819949</v>
      </c>
      <c r="F88" s="77">
        <f t="shared" si="10"/>
        <v>35281.953396021665</v>
      </c>
      <c r="G88" s="77">
        <f t="shared" si="10"/>
        <v>26328.517010150121</v>
      </c>
      <c r="H88" s="77">
        <f t="shared" si="10"/>
        <v>18893.100442896215</v>
      </c>
      <c r="I88" s="77">
        <f t="shared" si="10"/>
        <v>19329.128105232216</v>
      </c>
      <c r="J88" s="77">
        <f t="shared" si="10"/>
        <v>19329.319900449129</v>
      </c>
      <c r="K88" s="77">
        <f t="shared" si="10"/>
        <v>24813.577541911745</v>
      </c>
      <c r="L88" s="77">
        <f t="shared" si="10"/>
        <v>40484.372583860015</v>
      </c>
      <c r="M88" s="77">
        <f t="shared" si="10"/>
        <v>57202.41381014503</v>
      </c>
      <c r="N88" s="77">
        <f t="shared" si="10"/>
        <v>75460.17311270973</v>
      </c>
    </row>
    <row r="89" spans="1:14" x14ac:dyDescent="0.35">
      <c r="A89" s="68">
        <f>MAX($A$10:A88)+1</f>
        <v>79</v>
      </c>
    </row>
    <row r="90" spans="1:14" x14ac:dyDescent="0.35">
      <c r="A90" s="68">
        <f>MAX($A$10:A89)+1</f>
        <v>80</v>
      </c>
      <c r="B90" s="67" t="s">
        <v>700</v>
      </c>
    </row>
    <row r="91" spans="1:14" x14ac:dyDescent="0.35">
      <c r="A91" s="68">
        <f>MAX($A$10:A90)+1</f>
        <v>81</v>
      </c>
      <c r="B91" t="s">
        <v>717</v>
      </c>
      <c r="C91" s="84">
        <f t="shared" ref="C91:N91" si="11">C53*C74</f>
        <v>420</v>
      </c>
      <c r="D91" s="84">
        <f t="shared" si="11"/>
        <v>420</v>
      </c>
      <c r="E91" s="84">
        <f t="shared" si="11"/>
        <v>420</v>
      </c>
      <c r="F91" s="84">
        <f t="shared" si="11"/>
        <v>420</v>
      </c>
      <c r="G91" s="84">
        <f t="shared" si="11"/>
        <v>420</v>
      </c>
      <c r="H91" s="84">
        <f t="shared" si="11"/>
        <v>420</v>
      </c>
      <c r="I91" s="84">
        <f t="shared" si="11"/>
        <v>420</v>
      </c>
      <c r="J91" s="84">
        <f t="shared" si="11"/>
        <v>420</v>
      </c>
      <c r="K91" s="84">
        <f t="shared" si="11"/>
        <v>420</v>
      </c>
      <c r="L91" s="84">
        <f t="shared" si="11"/>
        <v>420</v>
      </c>
      <c r="M91" s="84">
        <f t="shared" si="11"/>
        <v>420</v>
      </c>
      <c r="N91" s="84">
        <f t="shared" si="11"/>
        <v>420</v>
      </c>
    </row>
    <row r="92" spans="1:14" x14ac:dyDescent="0.35">
      <c r="A92" s="68">
        <f>MAX($A$10:A91)+1</f>
        <v>82</v>
      </c>
      <c r="B92" t="s">
        <v>721</v>
      </c>
      <c r="C92" s="96">
        <f t="shared" ref="C92:N94" si="12">C65*C75</f>
        <v>678.10663854838708</v>
      </c>
      <c r="D92" s="96">
        <f t="shared" si="12"/>
        <v>632.42324419354838</v>
      </c>
      <c r="E92" s="96">
        <f t="shared" si="12"/>
        <v>662.37124064646457</v>
      </c>
      <c r="F92" s="96">
        <f t="shared" si="12"/>
        <v>610.86158712830957</v>
      </c>
      <c r="G92" s="96">
        <f t="shared" si="12"/>
        <v>517.40680971428571</v>
      </c>
      <c r="H92" s="96">
        <f t="shared" si="12"/>
        <v>331.37506400000001</v>
      </c>
      <c r="I92" s="96">
        <f t="shared" si="12"/>
        <v>283.84160515337425</v>
      </c>
      <c r="J92" s="96">
        <f t="shared" si="12"/>
        <v>271.62077737704919</v>
      </c>
      <c r="K92" s="96">
        <f t="shared" si="12"/>
        <v>287.22819139344261</v>
      </c>
      <c r="L92" s="96">
        <f t="shared" si="12"/>
        <v>356.08574514285721</v>
      </c>
      <c r="M92" s="96">
        <f t="shared" si="12"/>
        <v>518.6176476267749</v>
      </c>
      <c r="N92" s="96">
        <f t="shared" si="12"/>
        <v>621.58662448484847</v>
      </c>
    </row>
    <row r="93" spans="1:14" x14ac:dyDescent="0.35">
      <c r="A93" s="68">
        <f>MAX($A$10:A92)+1</f>
        <v>83</v>
      </c>
      <c r="B93" t="s">
        <v>722</v>
      </c>
      <c r="C93" s="96">
        <f t="shared" si="12"/>
        <v>2186.7069515120966</v>
      </c>
      <c r="D93" s="96">
        <f t="shared" si="12"/>
        <v>1809.0482781451612</v>
      </c>
      <c r="E93" s="96">
        <f t="shared" si="12"/>
        <v>1978.7292588282828</v>
      </c>
      <c r="F93" s="96">
        <f t="shared" si="12"/>
        <v>1533.8184920366598</v>
      </c>
      <c r="G93" s="96">
        <f t="shared" si="12"/>
        <v>1212.7204730000001</v>
      </c>
      <c r="H93" s="96">
        <f t="shared" si="12"/>
        <v>747.71464757142849</v>
      </c>
      <c r="I93" s="96">
        <f t="shared" si="12"/>
        <v>601.55871312883437</v>
      </c>
      <c r="J93" s="96">
        <f t="shared" si="12"/>
        <v>629.60873170081959</v>
      </c>
      <c r="K93" s="96">
        <f t="shared" si="12"/>
        <v>656.77059014344252</v>
      </c>
      <c r="L93" s="96">
        <f t="shared" si="12"/>
        <v>852.58453071428573</v>
      </c>
      <c r="M93" s="96">
        <f t="shared" si="12"/>
        <v>1192.093678985801</v>
      </c>
      <c r="N93" s="96">
        <f t="shared" si="12"/>
        <v>1707.0361811717171</v>
      </c>
    </row>
    <row r="94" spans="1:14" x14ac:dyDescent="0.35">
      <c r="A94" s="68">
        <f>MAX($A$10:A93)+1</f>
        <v>84</v>
      </c>
      <c r="B94" t="s">
        <v>723</v>
      </c>
      <c r="C94" s="100">
        <f t="shared" si="12"/>
        <v>2115.6247458669354</v>
      </c>
      <c r="D94" s="100">
        <f t="shared" si="12"/>
        <v>1191.8559307459677</v>
      </c>
      <c r="E94" s="100">
        <f t="shared" si="12"/>
        <v>1824.613108888889</v>
      </c>
      <c r="F94" s="100">
        <f t="shared" si="12"/>
        <v>995.81673594704682</v>
      </c>
      <c r="G94" s="100">
        <f t="shared" si="12"/>
        <v>733.62360999999987</v>
      </c>
      <c r="H94" s="100">
        <f t="shared" si="12"/>
        <v>421.76095399999997</v>
      </c>
      <c r="I94" s="100">
        <f t="shared" si="12"/>
        <v>342.70203691206547</v>
      </c>
      <c r="J94" s="100">
        <f t="shared" si="12"/>
        <v>447.79068709016389</v>
      </c>
      <c r="K94" s="100">
        <f t="shared" si="12"/>
        <v>538.80195665983604</v>
      </c>
      <c r="L94" s="100">
        <f t="shared" si="12"/>
        <v>1295.114045</v>
      </c>
      <c r="M94" s="100">
        <f t="shared" si="12"/>
        <v>1002.9745395537525</v>
      </c>
      <c r="N94" s="100">
        <f t="shared" si="12"/>
        <v>1365.08561989899</v>
      </c>
    </row>
    <row r="95" spans="1:14" x14ac:dyDescent="0.35">
      <c r="A95" s="68">
        <f>MAX($A$10:A94)+1</f>
        <v>85</v>
      </c>
      <c r="B95" t="s">
        <v>724</v>
      </c>
      <c r="C95" s="77">
        <f t="shared" ref="C95:N95" si="13">SUM(C91:C94)</f>
        <v>5400.4383359274198</v>
      </c>
      <c r="D95" s="77">
        <f t="shared" si="13"/>
        <v>4053.327453084677</v>
      </c>
      <c r="E95" s="77">
        <f t="shared" si="13"/>
        <v>4885.713608363636</v>
      </c>
      <c r="F95" s="77">
        <f t="shared" si="13"/>
        <v>3560.4968151120161</v>
      </c>
      <c r="G95" s="77">
        <f t="shared" si="13"/>
        <v>2883.7508927142853</v>
      </c>
      <c r="H95" s="77">
        <f t="shared" si="13"/>
        <v>1920.8506655714286</v>
      </c>
      <c r="I95" s="77">
        <f t="shared" si="13"/>
        <v>1648.1023551942742</v>
      </c>
      <c r="J95" s="77">
        <f t="shared" si="13"/>
        <v>1769.0201961680327</v>
      </c>
      <c r="K95" s="77">
        <f t="shared" si="13"/>
        <v>1902.8007381967209</v>
      </c>
      <c r="L95" s="77">
        <f t="shared" si="13"/>
        <v>2923.784320857143</v>
      </c>
      <c r="M95" s="77">
        <f t="shared" si="13"/>
        <v>3133.6858661663287</v>
      </c>
      <c r="N95" s="77">
        <f t="shared" si="13"/>
        <v>4113.7084255555556</v>
      </c>
    </row>
    <row r="96" spans="1:14" x14ac:dyDescent="0.35">
      <c r="B96"/>
    </row>
    <row r="97" spans="1:5" x14ac:dyDescent="0.35">
      <c r="A97"/>
      <c r="B97"/>
      <c r="C97"/>
      <c r="D97"/>
      <c r="E97"/>
    </row>
    <row r="98" spans="1:5" x14ac:dyDescent="0.35">
      <c r="A98"/>
      <c r="B98"/>
      <c r="C98"/>
      <c r="D98"/>
      <c r="E98"/>
    </row>
    <row r="99" spans="1:5" x14ac:dyDescent="0.35">
      <c r="A99"/>
      <c r="B99"/>
      <c r="C99"/>
      <c r="D99"/>
      <c r="E99"/>
    </row>
    <row r="100" spans="1:5" x14ac:dyDescent="0.35">
      <c r="A100"/>
      <c r="B100"/>
      <c r="C100"/>
      <c r="D100"/>
      <c r="E100"/>
    </row>
    <row r="101" spans="1:5" x14ac:dyDescent="0.35">
      <c r="A101"/>
      <c r="B101"/>
      <c r="C101"/>
      <c r="D101"/>
      <c r="E101"/>
    </row>
    <row r="108" spans="1:5" x14ac:dyDescent="0.35">
      <c r="B108"/>
    </row>
    <row r="115" spans="2:2" x14ac:dyDescent="0.35">
      <c r="B115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</sheetData>
  <mergeCells count="9">
    <mergeCell ref="B10:C10"/>
    <mergeCell ref="B22:C22"/>
    <mergeCell ref="B43:N43"/>
    <mergeCell ref="A1:C1"/>
    <mergeCell ref="A2:C2"/>
    <mergeCell ref="A3:C3"/>
    <mergeCell ref="A4:C4"/>
    <mergeCell ref="A5:C5"/>
    <mergeCell ref="A6:C6"/>
  </mergeCells>
  <printOptions horizontalCentered="1"/>
  <pageMargins left="0.45" right="0.45" top="0.5" bottom="0.45" header="0.3" footer="0.3"/>
  <pageSetup scale="42" fitToHeight="2" orientation="landscape" r:id="rId1"/>
  <headerFooter scaleWithDoc="0" alignWithMargins="0">
    <oddHeader>&amp;RPage &amp;P of &amp;N</oddHeader>
    <oddFooter>&amp;LElectronic Tab Name:&amp;A</oddFooter>
  </headerFooter>
  <rowBreaks count="1" manualBreakCount="1">
    <brk id="95" max="2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576329D-5F3F-435A-9733-04CF194C402D}"/>
</file>

<file path=customXml/itemProps2.xml><?xml version="1.0" encoding="utf-8"?>
<ds:datastoreItem xmlns:ds="http://schemas.openxmlformats.org/officeDocument/2006/customXml" ds:itemID="{3DEBD8C9-6E8F-42AD-8D24-1D29872A80D6}">
  <ds:schemaRefs>
    <ds:schemaRef ds:uri="http://purl.org/dc/elements/1.1/"/>
    <ds:schemaRef ds:uri="http://schemas.microsoft.com/office/2006/metadata/properties"/>
    <ds:schemaRef ds:uri="9f5829b0-3c83-407a-9888-15708671f8c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6a7949fb-eacc-49ff-8531-d4b1ca318f6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4782B8-81E8-495E-B539-189B5AB515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2049F1-1D25-401A-9CF7-CDEA325E5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2024 Provisional Plant</vt:lpstr>
      <vt:lpstr>Provisional Plant Additions-1</vt:lpstr>
      <vt:lpstr>Provisional Plant Additions-2</vt:lpstr>
      <vt:lpstr>'Provisional Plant Additions-1'!Print_Area</vt:lpstr>
      <vt:lpstr>'Provisional Plant Additions-2'!Print_Area</vt:lpstr>
      <vt:lpstr>'2024 Provisional Plant'!Print_Titles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Durham, Ryan</dc:creator>
  <cp:lastModifiedBy>Durham, Ryan</cp:lastModifiedBy>
  <cp:lastPrinted>2025-04-25T15:50:20Z</cp:lastPrinted>
  <dcterms:created xsi:type="dcterms:W3CDTF">2025-04-24T17:39:22Z</dcterms:created>
  <dcterms:modified xsi:type="dcterms:W3CDTF">2025-04-29T20:04:54Z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2025-04-24T17:39:43Z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2cde2b44-9ec4-4608-bb0b-141325580a5b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0x0101006E56B4D1795A2E4DB2F0B01679ED314A009EB8DA041E6AD244B4287ED7B15DC401</vt:lpwstr>
  </property>
  <property fmtid="{D5CDD505-2E9C-101B-9397-08002B2CF9AE}" pid="11" name="MediaServiceImageTags">
    <vt:lpwstr/>
  </property>
  <property fmtid="{D5CDD505-2E9C-101B-9397-08002B2CF9AE}" pid="12" name="_docset_NoMedatataSyncRequired">
    <vt:lpwstr>False</vt:lpwstr>
  </property>
</Properties>
</file>