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05" windowWidth="12120" windowHeight="6150" firstSheet="2" activeTab="13"/>
  </bookViews>
  <sheets>
    <sheet name="Sch 1" sheetId="1" r:id="rId1"/>
    <sheet name="Sch 2, p 1" sheetId="2" r:id="rId2"/>
    <sheet name="Sch 2, p 2" sheetId="3" r:id="rId3"/>
    <sheet name="Sch 2, p 3" sheetId="4" r:id="rId4"/>
    <sheet name="Sch 2, p 4" sheetId="5" r:id="rId5"/>
    <sheet name="Sch 2, p 5" sheetId="6" r:id="rId6"/>
    <sheet name="Sch 2, p 6" sheetId="7" r:id="rId7"/>
    <sheet name="Sch 3" sheetId="8" r:id="rId8"/>
    <sheet name="Sch 4" sheetId="9" r:id="rId9"/>
    <sheet name="Sch 5, p1" sheetId="10" r:id="rId10"/>
    <sheet name="Sch 5, p 2" sheetId="11" r:id="rId11"/>
    <sheet name="Sch 6 " sheetId="12" r:id="rId12"/>
    <sheet name="Sch 7" sheetId="13" r:id="rId13"/>
    <sheet name="Sch 8, p1" sheetId="14" r:id="rId14"/>
    <sheet name="Sch 8, p 2" sheetId="15" r:id="rId15"/>
    <sheet name="Sch 8, p 3" sheetId="16" r:id="rId16"/>
    <sheet name="Sch 8, p 4" sheetId="17" r:id="rId17"/>
    <sheet name="Sch 9" sheetId="18" r:id="rId18"/>
    <sheet name="Sch 10" sheetId="19" r:id="rId19"/>
    <sheet name="Sch 11, p 1" sheetId="20" r:id="rId20"/>
    <sheet name="Sch 11, p 2" sheetId="21" r:id="rId21"/>
    <sheet name="Sch 12" sheetId="22" r:id="rId22"/>
    <sheet name="Sch 13 WP" sheetId="23" r:id="rId23"/>
    <sheet name="Sch 13" sheetId="24" r:id="rId24"/>
    <sheet name="Sch 14" sheetId="25" r:id="rId25"/>
    <sheet name="Schedule 1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'[11]Jun 99'!#REF!</definedName>
    <definedName name="\P" localSheetId="19">#REF!</definedName>
    <definedName name="\P" localSheetId="20">#REF!</definedName>
    <definedName name="\P" localSheetId="1">'Sch 2, p 1'!#REF!</definedName>
    <definedName name="\P" localSheetId="2">'Sch 2, p 2'!#REF!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1">#REF!</definedName>
    <definedName name="\P" localSheetId="25">#REF!</definedName>
    <definedName name="\P">#REF!</definedName>
    <definedName name="\Q" localSheetId="19">#REF!</definedName>
    <definedName name="\Q" localSheetId="20">#REF!</definedName>
    <definedName name="\Q" localSheetId="1">'Sch 2, p 1'!#REF!</definedName>
    <definedName name="\Q" localSheetId="2">'Sch 2, p 2'!#REF!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1">#REF!</definedName>
    <definedName name="\Q" localSheetId="25">#REF!</definedName>
    <definedName name="\Q">#REF!</definedName>
    <definedName name="\R" localSheetId="19">#REF!</definedName>
    <definedName name="\R" localSheetId="20">#REF!</definedName>
    <definedName name="\R" localSheetId="1">'Sch 2, p 1'!#REF!</definedName>
    <definedName name="\R" localSheetId="2">'Sch 2, p 2'!#REF!</definedName>
    <definedName name="\R" localSheetId="3">#REF!</definedName>
    <definedName name="\R" localSheetId="4">#REF!</definedName>
    <definedName name="\R" localSheetId="5">#REF!</definedName>
    <definedName name="\R" localSheetId="6">#REF!</definedName>
    <definedName name="\R" localSheetId="11">#REF!</definedName>
    <definedName name="\R" localSheetId="25">#REF!</definedName>
    <definedName name="\R">#REF!</definedName>
    <definedName name="\S" localSheetId="19">#REF!</definedName>
    <definedName name="\S" localSheetId="20">#REF!</definedName>
    <definedName name="\S" localSheetId="1">'Sch 2, p 1'!#REF!</definedName>
    <definedName name="\S" localSheetId="2">'Sch 2, p 2'!#REF!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1">#REF!</definedName>
    <definedName name="\S" localSheetId="25">#REF!</definedName>
    <definedName name="\S">#REF!</definedName>
    <definedName name="\T" localSheetId="19">#REF!</definedName>
    <definedName name="\T" localSheetId="20">#REF!</definedName>
    <definedName name="\T" localSheetId="1">'Sch 2, p 1'!#REF!</definedName>
    <definedName name="\T" localSheetId="2">'Sch 2, p 2'!#REF!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1">#REF!</definedName>
    <definedName name="\T" localSheetId="25">#REF!</definedName>
    <definedName name="\T">#REF!</definedName>
    <definedName name="\U" localSheetId="19">#REF!</definedName>
    <definedName name="\U" localSheetId="20">#REF!</definedName>
    <definedName name="\U" localSheetId="1">'Sch 2, p 1'!#REF!</definedName>
    <definedName name="\U" localSheetId="2">'Sch 2, p 2'!#REF!</definedName>
    <definedName name="\U" localSheetId="3">#REF!</definedName>
    <definedName name="\U" localSheetId="4">#REF!</definedName>
    <definedName name="\U" localSheetId="5">#REF!</definedName>
    <definedName name="\U" localSheetId="6">#REF!</definedName>
    <definedName name="\U" localSheetId="11">#REF!</definedName>
    <definedName name="\U" localSheetId="25">#REF!</definedName>
    <definedName name="\U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AA" localSheetId="19">#REF!</definedName>
    <definedName name="AAA" localSheetId="20">#REF!</definedName>
    <definedName name="AAA" localSheetId="1">'Sch 2, p 1'!$A$4:$K$60</definedName>
    <definedName name="AAA" localSheetId="2">'Sch 2, p 2'!$A$4:$K$57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1">#REF!</definedName>
    <definedName name="AAA" localSheetId="25">#REF!</definedName>
    <definedName name="AAA">#REF!</definedName>
    <definedName name="atmos">#REF!</definedName>
    <definedName name="AVG_RESIDUAL_PROFORMA">'[9]DATA INPUT'!$D$43</definedName>
    <definedName name="BBB" localSheetId="19">#REF!</definedName>
    <definedName name="BBB" localSheetId="20">#REF!</definedName>
    <definedName name="BBB" localSheetId="1">#REF!</definedName>
    <definedName name="BBB" localSheetId="2">#REF!</definedName>
    <definedName name="BBB" localSheetId="3">'Sch 2, p 3'!$A$1:$O$112</definedName>
    <definedName name="BBB" localSheetId="4">'Sch 2, p 4'!$A$2:$O$127</definedName>
    <definedName name="BBB" localSheetId="5">#REF!</definedName>
    <definedName name="BBB" localSheetId="6">#REF!</definedName>
    <definedName name="BBB" localSheetId="11">#REF!</definedName>
    <definedName name="BBB" localSheetId="25">#REF!</definedName>
    <definedName name="BBB">#REF!</definedName>
    <definedName name="BUSUNIT">'[7]Input '!$C$9</definedName>
    <definedName name="BUTLER">#REF!</definedName>
    <definedName name="C_">'[10]Schedule 4 O&amp;M'!#REF!</definedName>
    <definedName name="CC" localSheetId="19">#REF!</definedName>
    <definedName name="CC" localSheetId="2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1">#REF!</definedName>
    <definedName name="CC" localSheetId="25">#REF!</definedName>
    <definedName name="CC">#REF!</definedName>
    <definedName name="CCC" localSheetId="19">#REF!</definedName>
    <definedName name="CCC" localSheetId="2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'Sch 2, p 5'!$A$3:$F$91</definedName>
    <definedName name="CCC" localSheetId="6">'Sch 2, p 6'!$A$3:$F$88</definedName>
    <definedName name="CCC" localSheetId="11">#REF!</definedName>
    <definedName name="CCC" localSheetId="25">#REF!</definedName>
    <definedName name="CCC">#REF!</definedName>
    <definedName name="Central_Only">'[10]Alloc factors'!#REF!</definedName>
    <definedName name="company" localSheetId="1">'[18]Company Groups'!#REF!</definedName>
    <definedName name="company" localSheetId="2">'[18]Company Groups'!#REF!</definedName>
    <definedName name="company" localSheetId="3">'[18]Company Groups'!#REF!</definedName>
    <definedName name="company" localSheetId="4">'[18]Company Groups'!#REF!</definedName>
    <definedName name="company" localSheetId="5">'[18]Company Groups'!#REF!</definedName>
    <definedName name="company" localSheetId="6">'[18]Company Groups'!#REF!</definedName>
    <definedName name="company" localSheetId="25">'[21]Company Groups'!#REF!</definedName>
    <definedName name="company">'[3]Company Groups'!#REF!</definedName>
    <definedName name="Cortez">'[10]Alloc factors'!#REF!</definedName>
    <definedName name="csDesignMode">1</definedName>
    <definedName name="customerinput">#REF!</definedName>
    <definedName name="dataset" localSheetId="11">#REF!</definedName>
    <definedName name="dataset">#REF!</definedName>
    <definedName name="date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25">#REF!</definedName>
    <definedName name="DDD">'Sch 5, p1'!$A$2:$F$42</definedName>
    <definedName name="DEPRECIATION">'[11]Jun 99'!#REF!</definedName>
    <definedName name="Div02">'[14]Alloc factors'!$D$12</definedName>
    <definedName name="div10">'[13]WP 1-2'!#REF!</definedName>
    <definedName name="DIV12">'[10]Alloc factors'!$D$13</definedName>
    <definedName name="div21">'[13]WP 1-2'!#REF!</definedName>
    <definedName name="DJInd">#REF!</definedName>
    <definedName name="DJUtil">#REF!</definedName>
    <definedName name="Durango">'[10]Alloc factors'!#REF!</definedName>
    <definedName name="EEE" localSheetId="19">#REF!</definedName>
    <definedName name="EEE" localSheetId="2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 localSheetId="11">#REF!</definedName>
    <definedName name="EEE" localSheetId="25">#REF!</definedName>
    <definedName name="EEE">#REF!</definedName>
    <definedName name="EXH1">#REF!</definedName>
    <definedName name="EXH1A">#REF!</definedName>
    <definedName name="EXH6">#REF!</definedName>
    <definedName name="FFF" localSheetId="19">#REF!</definedName>
    <definedName name="FFF" localSheetId="2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5">#REF!</definedName>
    <definedName name="FFF" localSheetId="6">#REF!</definedName>
    <definedName name="FFF" localSheetId="11">#REF!</definedName>
    <definedName name="FFF" localSheetId="25">#REF!</definedName>
    <definedName name="FFF">#REF!</definedName>
    <definedName name="Fremont">'[10]Alloc factors'!#REF!</definedName>
    <definedName name="GGG" localSheetId="19">#REF!</definedName>
    <definedName name="GGG" localSheetId="2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5">#REF!</definedName>
    <definedName name="GGG" localSheetId="6">#REF!</definedName>
    <definedName name="GGG" localSheetId="11">#REF!</definedName>
    <definedName name="GGG" localSheetId="25">#REF!</definedName>
    <definedName name="GGG">#REF!</definedName>
    <definedName name="GOEXP">'[7]Input '!#REF!</definedName>
    <definedName name="GOEXP_PROFORMA">'[9]DATA INPUT'!$D$53</definedName>
    <definedName name="GOPLANT">'[7]Input '!#REF!</definedName>
    <definedName name="GOPLANT_PROFORMA">'[9]DATA INPUT'!$D$57</definedName>
    <definedName name="JURISDICTION">'[7]Input '!$C$8</definedName>
    <definedName name="KIRK">#REF!</definedName>
    <definedName name="Kirk_Plant">#REF!</definedName>
    <definedName name="LDCs">#REF!</definedName>
    <definedName name="LTD_Rate">'[7]Input '!$C$23</definedName>
    <definedName name="LTDcostrate">#REF!</definedName>
    <definedName name="Market_Return" localSheetId="19">#REF!</definedName>
    <definedName name="Market_Return" localSheetId="20">#REF!</definedName>
    <definedName name="Market_Return" localSheetId="11">#REF!</definedName>
    <definedName name="Market_Return" localSheetId="25">#REF!</definedName>
    <definedName name="Market_Return">#REF!</definedName>
    <definedName name="MS">#REF!</definedName>
    <definedName name="MS_Plant">#REF!</definedName>
    <definedName name="NEadit">#REF!</definedName>
    <definedName name="NEadv">#REF!</definedName>
    <definedName name="NEcash">#REF!</definedName>
    <definedName name="NEcwip">#REF!</definedName>
    <definedName name="NEdep">#REF!</definedName>
    <definedName name="NEmatsup">#REF!</definedName>
    <definedName name="NEplant">#REF!</definedName>
    <definedName name="NEpp">#REF!</definedName>
    <definedName name="NEstorg">#REF!</definedName>
    <definedName name="NW_Only">'[10]Alloc factors'!#REF!</definedName>
    <definedName name="NWadit">#REF!</definedName>
    <definedName name="NWadv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PAGE1">#N/A</definedName>
    <definedName name="PAGE5">#REF!</definedName>
    <definedName name="PAGE6">#REF!</definedName>
    <definedName name="PAGE7">#REF!</definedName>
    <definedName name="PAGE8">#REF!</definedName>
    <definedName name="Parent_Company" localSheetId="19">'[4]Company Groups'!$B$3</definedName>
    <definedName name="Parent_Company" localSheetId="20">'[4]Company Groups'!$B$3</definedName>
    <definedName name="Parent_Company">'[4]Company Groups'!$B$3</definedName>
    <definedName name="PPP" localSheetId="1">#REF!</definedName>
    <definedName name="PPP" localSheetId="2">#REF!</definedName>
    <definedName name="PPP" localSheetId="3">#REF!</definedName>
    <definedName name="PPP" localSheetId="4">#REF!</definedName>
    <definedName name="PPP" localSheetId="5">#REF!</definedName>
    <definedName name="PPP" localSheetId="6">#REF!</definedName>
    <definedName name="PPP" localSheetId="11">#REF!</definedName>
    <definedName name="PPP">'Sch 12'!$A$1:$G$55</definedName>
    <definedName name="_xlnm.Print_Area" localSheetId="19">'Sch 11, p 1'!$A$1:$W$89</definedName>
    <definedName name="_xlnm.Print_Area" localSheetId="20">'Sch 11, p 2'!$A$1:$S$112</definedName>
    <definedName name="_xlnm.Print_Area" localSheetId="1">'Sch 2, p 1'!$A$1:$J$58</definedName>
    <definedName name="_xlnm.Print_Area" localSheetId="2">'Sch 2, p 2'!$A$1:$J$55</definedName>
    <definedName name="_xlnm.Print_Area" localSheetId="3">'Sch 2, p 3'!$A$1:$O$112</definedName>
    <definedName name="_xlnm.Print_Area" localSheetId="4">'Sch 2, p 4'!$A$1:$N$127</definedName>
    <definedName name="_xlnm.Print_Area" localSheetId="5">'Sch 2, p 5'!$A$1:$F$89</definedName>
    <definedName name="_xlnm.Print_Area" localSheetId="6">'Sch 2, p 6'!$A$1:$F$86</definedName>
    <definedName name="_xlnm.Print_Area" localSheetId="7">'Sch 3'!$A$1:$F$54</definedName>
    <definedName name="_xlnm.Print_Area" localSheetId="11">'Sch 6 '!$A$1:$G$29</definedName>
    <definedName name="_xlnm.Print_Area" localSheetId="14">'Sch 8, p 2'!$A$1:$L$89</definedName>
    <definedName name="_xlnm.Print_Area" localSheetId="15">'Sch 8, p 3'!$A$1:$K$91</definedName>
    <definedName name="_xlnm.Print_Area" localSheetId="25">'Schedule 15'!$B$2:$L$52</definedName>
    <definedName name="_xlnm.Print_Area">'Sch 14'!$A$40:$F$45</definedName>
    <definedName name="Print_Area_MI">'[11]Jun 99'!#REF!</definedName>
    <definedName name="_xlnm.Print_Titles" localSheetId="1">'Sch 2, p 1'!$5:$12</definedName>
    <definedName name="_xlnm.Print_Titles" localSheetId="2">'Sch 2, p 2'!$5:$13</definedName>
    <definedName name="_xlnm.Print_Titles" localSheetId="3">'Sch 2, p 3'!$5:$12</definedName>
    <definedName name="_xlnm.Print_Titles" localSheetId="4">'Sch 2, p 4'!$4:$11</definedName>
    <definedName name="_xlnm.Print_Titles" localSheetId="5">'Sch 2, p 5'!$5:$11</definedName>
    <definedName name="_xlnm.Print_Titles" localSheetId="6">'Sch 2, p 6'!$5:$11</definedName>
    <definedName name="_xlnm.Print_Titles">#N/A</definedName>
    <definedName name="PROPERTY">'[11]Jun 99'!#REF!</definedName>
    <definedName name="Risk_Free_Rate" localSheetId="19">#REF!</definedName>
    <definedName name="Risk_Free_Rate" localSheetId="20">#REF!</definedName>
    <definedName name="Risk_Free_Rate" localSheetId="11">#REF!</definedName>
    <definedName name="Risk_Free_Rate" localSheetId="25">#REF!</definedName>
    <definedName name="Risk_Free_Rate">#REF!</definedName>
    <definedName name="ROEXP">'[7]Input '!#REF!</definedName>
    <definedName name="ROPLANT">'[7]Input '!#REF!</definedName>
    <definedName name="ROR_Rate">'[7]Input '!$C$25</definedName>
    <definedName name="RRR" localSheetId="1">#REF!</definedName>
    <definedName name="RRR" localSheetId="2">#REF!</definedName>
    <definedName name="RRR" localSheetId="3">#REF!</definedName>
    <definedName name="RRR" localSheetId="4">#REF!</definedName>
    <definedName name="RRR" localSheetId="5">#REF!</definedName>
    <definedName name="RRR" localSheetId="6">#REF!</definedName>
    <definedName name="RRR">'Sch 13'!$A$2:$G$38</definedName>
    <definedName name="sch">'[16]WP_H9'!$A$1:$Q$46</definedName>
    <definedName name="SCH_B1">'[17]SCH_B1'!$A$1:$G$30</definedName>
    <definedName name="SCH_B3">'[17]SCH_B3'!$A$1:$G$42</definedName>
    <definedName name="SCH_C2">'[17]SCH_C2'!$A$1:$G$42</definedName>
    <definedName name="SCH_D2">'[17]SCH_D2'!$A$1:$G$42</definedName>
    <definedName name="SCH_H2">'[17]SCH_H2'!$A$1:$G$42</definedName>
    <definedName name="SE_Only">'[10]Alloc factors'!#REF!</definedName>
    <definedName name="SEadit">#REF!</definedName>
    <definedName name="SEadv">#REF!</definedName>
    <definedName name="SEcash">#REF!</definedName>
    <definedName name="SEcwip">#REF!</definedName>
    <definedName name="SEdep">#REF!</definedName>
    <definedName name="SEmatsup">#REF!</definedName>
    <definedName name="SEMO">#REF!</definedName>
    <definedName name="SEMO_Plant">#REF!</definedName>
    <definedName name="SEplant">#REF!</definedName>
    <definedName name="SEpp">#REF!</definedName>
    <definedName name="SEstorg">#REF!</definedName>
    <definedName name="sp" localSheetId="11">#REF!</definedName>
    <definedName name="sp">#REF!</definedName>
    <definedName name="SSExp">'[7]Input '!#REF!</definedName>
    <definedName name="SSPlant">'[7]Input '!#REF!</definedName>
    <definedName name="SSS" localSheetId="19">#REF!</definedName>
    <definedName name="SSS" localSheetId="2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6">#REF!</definedName>
    <definedName name="SSS" localSheetId="25">#REF!</definedName>
    <definedName name="SSS">#REF!</definedName>
    <definedName name="STD_Rate">'[7]Input '!$C$24</definedName>
    <definedName name="Sttax">#REF!</definedName>
    <definedName name="Study_Company" localSheetId="11">#REF!</definedName>
    <definedName name="Study_Company">#REF!</definedName>
    <definedName name="SWadit">#REF!</definedName>
    <definedName name="SWadv">#REF!</definedName>
    <definedName name="SWcash">#REF!</definedName>
    <definedName name="SWcwip">#REF!</definedName>
    <definedName name="SWdep">#REF!</definedName>
    <definedName name="swe80">'[6]Input'!$E$29</definedName>
    <definedName name="SWmatsup">#REF!</definedName>
    <definedName name="SWplant">#REF!</definedName>
    <definedName name="SWpp">#REF!</definedName>
    <definedName name="SWstorg">#REF!</definedName>
    <definedName name="TESTPERIOD">'[7]Input '!$C$10</definedName>
    <definedName name="TestPeriodDate">'[8]Inputs'!$D$20</definedName>
    <definedName name="TESTYEAR">'[9]DATA INPUT'!$C$9</definedName>
    <definedName name="TOTadit">#REF!</definedName>
    <definedName name="TOTadv">#REF!</definedName>
    <definedName name="TOTcash">#REF!</definedName>
    <definedName name="TOTcwip">#REF!</definedName>
    <definedName name="TOTdep">#REF!</definedName>
    <definedName name="TOTmatsup">#REF!</definedName>
    <definedName name="TOTplant">#REF!</definedName>
    <definedName name="TOTpp">#REF!</definedName>
    <definedName name="TOTstorg">#REF!</definedName>
    <definedName name="Trans">#REF!</definedName>
    <definedName name="ucg80">'[6]Input'!$E$31</definedName>
    <definedName name="valueline" localSheetId="11">#REF!</definedName>
    <definedName name="valueline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B9a">'[15]WP_B9'!$A$30:$U$49</definedName>
    <definedName name="WP_B9b">'[15]WP_B9'!#REF!</definedName>
    <definedName name="WP_G6">'[15]WP_B5'!$A$13:$J$349</definedName>
    <definedName name="wrn.MFR." localSheetId="1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</definedNames>
  <calcPr fullCalcOnLoad="1"/>
</workbook>
</file>

<file path=xl/sharedStrings.xml><?xml version="1.0" encoding="utf-8"?>
<sst xmlns="http://schemas.openxmlformats.org/spreadsheetml/2006/main" count="1114" uniqueCount="470">
  <si>
    <t>ECONOMIC INDICATORS</t>
  </si>
  <si>
    <t>YEAR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</si>
  <si>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</si>
  <si>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</si>
  <si>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</si>
  <si>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</si>
  <si>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</si>
  <si>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</si>
  <si>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</si>
  <si>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</si>
  <si>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</si>
  <si>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</si>
  <si>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</si>
  <si>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</si>
  <si>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</si>
  <si>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</si>
  <si>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</si>
  <si>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</si>
  <si>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</si>
  <si>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</si>
  <si>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</si>
  <si>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</si>
  <si>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</si>
  <si>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</si>
  <si>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</si>
  <si>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</si>
  <si>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</si>
  <si>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1st Qtr.</t>
  </si>
  <si>
    <t>2nd Qtr.</t>
  </si>
  <si>
    <t>3rd Qtr.</t>
  </si>
  <si>
    <t>4th Qtr.</t>
  </si>
  <si>
    <t>Source:  Council of Economic Advisors, Economic Indicators, various issues.</t>
  </si>
  <si>
    <t>GDP</t>
  </si>
  <si>
    <t>GROWTH</t>
  </si>
  <si>
    <t xml:space="preserve"> </t>
  </si>
  <si>
    <t>RATE</t>
  </si>
  <si>
    <t>Schedule 2</t>
  </si>
  <si>
    <t>INTEREST RATES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</si>
  <si>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</si>
  <si>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</si>
  <si>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</si>
  <si>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</si>
  <si>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</si>
  <si>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</si>
  <si>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</si>
  <si>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</si>
  <si>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</si>
  <si>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</si>
  <si>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</si>
  <si>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</si>
  <si>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Sources:  Council of Economic Advisors, Economic Indicators; Moody's Bond Record; Federal</t>
  </si>
  <si>
    <t xml:space="preserve">                 Reserve Bulletin; various issues.</t>
  </si>
  <si>
    <t xml:space="preserve">   Aaa</t>
  </si>
  <si>
    <t xml:space="preserve">    Aa</t>
  </si>
  <si>
    <t xml:space="preserve">    A</t>
  </si>
  <si>
    <t xml:space="preserve">   Baa</t>
  </si>
  <si>
    <t>STOCK PRICE INDICATORS</t>
  </si>
  <si>
    <t>DJIA</t>
  </si>
  <si>
    <t>S&amp;P</t>
  </si>
  <si>
    <t>D/P</t>
  </si>
  <si>
    <t>E/P</t>
  </si>
  <si>
    <t>SEGMENT FINANCIAL INFORMATION</t>
  </si>
  <si>
    <t>Schedule 3</t>
  </si>
  <si>
    <t>Year</t>
  </si>
  <si>
    <t>S &amp; P</t>
  </si>
  <si>
    <t>BBB</t>
  </si>
  <si>
    <t>Schedule 4</t>
  </si>
  <si>
    <t>CAPITAL STRUCTURE RATIOS</t>
  </si>
  <si>
    <t>Note:  Percentages may not total 100.0% due to rounding.</t>
  </si>
  <si>
    <t>COMMON</t>
  </si>
  <si>
    <t>EQUITY</t>
  </si>
  <si>
    <t>PREFERRED</t>
  </si>
  <si>
    <t>LONG-TERM</t>
  </si>
  <si>
    <t xml:space="preserve">  DEBT</t>
  </si>
  <si>
    <t>SHORT-TERM</t>
  </si>
  <si>
    <t>DEBT</t>
  </si>
  <si>
    <t>Common Equity</t>
  </si>
  <si>
    <t>Schedule 7</t>
  </si>
  <si>
    <t>(1)</t>
  </si>
  <si>
    <t>Schedule 8</t>
  </si>
  <si>
    <t>COMPARISON COMPANIES</t>
  </si>
  <si>
    <t>COMPANY</t>
  </si>
  <si>
    <t>PERCENT</t>
  </si>
  <si>
    <t>B+</t>
  </si>
  <si>
    <t>VALUE LINE</t>
  </si>
  <si>
    <t>SAFETY</t>
  </si>
  <si>
    <t>DIVIDEND YIELD</t>
  </si>
  <si>
    <t>AVERAGE</t>
  </si>
  <si>
    <t>DPS</t>
  </si>
  <si>
    <t>HIGH</t>
  </si>
  <si>
    <t>LOW</t>
  </si>
  <si>
    <t>Schedule 9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</si>
  <si>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</si>
  <si>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</si>
  <si>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</si>
  <si>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</si>
  <si>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</si>
  <si>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</si>
  <si>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</si>
  <si>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</si>
  <si>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</si>
  <si>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Sources:  Prior pages of this schedule.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</si>
  <si>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</si>
  <si>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</si>
  <si>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</si>
  <si>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</si>
  <si>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</si>
  <si>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</si>
  <si>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</si>
  <si>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</si>
  <si>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</si>
  <si>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</si>
  <si>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</si>
  <si>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MARKET</t>
  </si>
  <si>
    <t>RETURN</t>
  </si>
  <si>
    <t>CAPM</t>
  </si>
  <si>
    <t>Page 2 of 2</t>
  </si>
  <si>
    <t>Page 1 of 2</t>
  </si>
  <si>
    <t>RETURN ON AVERAGE COMMON EQUITY</t>
  </si>
  <si>
    <t>Source:  Standard &amp; Poor's Analysts' Handbook.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</si>
  <si>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</si>
  <si>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</si>
  <si>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</si>
  <si>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</si>
  <si>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</si>
  <si>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</si>
  <si>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</si>
  <si>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</si>
  <si>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B++</t>
  </si>
  <si>
    <t>B</t>
  </si>
  <si>
    <t>A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</si>
  <si>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</si>
  <si>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</si>
  <si>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</si>
  <si>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</si>
  <si>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</si>
  <si>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</si>
  <si>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</si>
  <si>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</si>
  <si>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</si>
  <si>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</si>
  <si>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</si>
  <si>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Common stock rankings range from D to A+, with the later representing the highest level.</t>
  </si>
  <si>
    <t>FIN STR</t>
  </si>
  <si>
    <t>STK RANK</t>
  </si>
  <si>
    <t>ITEM</t>
  </si>
  <si>
    <t>Total</t>
  </si>
  <si>
    <t>COST</t>
  </si>
  <si>
    <t>TOTAL CAPITAL</t>
  </si>
  <si>
    <t>PRE-TAX COVERAGE</t>
  </si>
  <si>
    <t>Pre-tax coverage =</t>
  </si>
  <si>
    <t>Standard &amp; Poor's Utility Benchmark Ratios:</t>
  </si>
  <si>
    <t>Pre-tax coverage (X)</t>
  </si>
  <si>
    <t>Business Position:</t>
  </si>
  <si>
    <t>WEIGHTED</t>
  </si>
  <si>
    <t>X</t>
  </si>
  <si>
    <t>PRE-TAX</t>
  </si>
  <si>
    <t>Company</t>
  </si>
  <si>
    <t>FIRST CALL</t>
  </si>
  <si>
    <t>Schedule 12</t>
  </si>
  <si>
    <t>Business Position</t>
  </si>
  <si>
    <t>1992 - 2001 Cycle</t>
  </si>
  <si>
    <t>Page 1 of 4</t>
  </si>
  <si>
    <t>Page 2 of 4</t>
  </si>
  <si>
    <t>Page 3 of 4</t>
  </si>
  <si>
    <t>Total Debt to Total Capital (%)</t>
  </si>
  <si>
    <t>SECURITIES</t>
  </si>
  <si>
    <t>($000)</t>
  </si>
  <si>
    <t>Electric</t>
  </si>
  <si>
    <t>Percent</t>
  </si>
  <si>
    <t>Revenues</t>
  </si>
  <si>
    <t>Common</t>
  </si>
  <si>
    <t>Equity</t>
  </si>
  <si>
    <t>Rating</t>
  </si>
  <si>
    <t>Comparison Group</t>
  </si>
  <si>
    <t>Cleco</t>
  </si>
  <si>
    <t>Hawaiian Electric Industries</t>
  </si>
  <si>
    <t>OGE Energy</t>
  </si>
  <si>
    <t>BASIS FOR SELECTION</t>
  </si>
  <si>
    <t>Page 4 of 4</t>
  </si>
  <si>
    <t>Schedule 5</t>
  </si>
  <si>
    <t>1992-2001</t>
  </si>
  <si>
    <t>American Electric Power</t>
  </si>
  <si>
    <t>Dominion Resources</t>
  </si>
  <si>
    <t>Northeast Utilities</t>
  </si>
  <si>
    <t>Southern Company</t>
  </si>
  <si>
    <t>TECO Energy</t>
  </si>
  <si>
    <t>Alliant Energy</t>
  </si>
  <si>
    <t>DTE Energy</t>
  </si>
  <si>
    <t>Wisconsin Energy</t>
  </si>
  <si>
    <t>Edison International</t>
  </si>
  <si>
    <t>IDACORP</t>
  </si>
  <si>
    <t>PPL Corp</t>
  </si>
  <si>
    <t>Progress Energy</t>
  </si>
  <si>
    <t>Puget Energy</t>
  </si>
  <si>
    <t>PNM Resources</t>
  </si>
  <si>
    <t>Moody's/</t>
  </si>
  <si>
    <t>Median</t>
  </si>
  <si>
    <t>Moody's</t>
  </si>
  <si>
    <t>Date</t>
  </si>
  <si>
    <t>BOND RATINGS</t>
  </si>
  <si>
    <t>Stock</t>
  </si>
  <si>
    <t>Ranking</t>
  </si>
  <si>
    <t>Segment</t>
  </si>
  <si>
    <t>Operating</t>
  </si>
  <si>
    <t>Revenue</t>
  </si>
  <si>
    <t>Income</t>
  </si>
  <si>
    <t>Assets</t>
  </si>
  <si>
    <t>Current Cycle</t>
  </si>
  <si>
    <t>RISK</t>
  </si>
  <si>
    <t>PREMIUM</t>
  </si>
  <si>
    <t>Cost</t>
  </si>
  <si>
    <t>Net Plant</t>
  </si>
  <si>
    <t>Mean</t>
  </si>
  <si>
    <t>Schedule 6</t>
  </si>
  <si>
    <t>(1)  Post-tax weighted cost divided by .65 (composite tax factor)</t>
  </si>
  <si>
    <t>S&amp;P Bond</t>
  </si>
  <si>
    <t>Electric Utilities</t>
  </si>
  <si>
    <t>Ameren Corp.</t>
  </si>
  <si>
    <t>Xcel Energy Inc.</t>
  </si>
  <si>
    <t>Source:  Yahoo! Finance.</t>
  </si>
  <si>
    <t>Item</t>
  </si>
  <si>
    <t>Weighted Cost</t>
  </si>
  <si>
    <t>Schedule 14</t>
  </si>
  <si>
    <t>TOTAL COST OF CAPITAL</t>
  </si>
  <si>
    <t>Mid-Point</t>
  </si>
  <si>
    <t>Schedule 10</t>
  </si>
  <si>
    <t>RISK PREMIUM BY DECADE AS</t>
  </si>
  <si>
    <t>Risk Premium</t>
  </si>
  <si>
    <t>Note:  Standard &amp; Poor's no longer employs the pre-tax coverage</t>
  </si>
  <si>
    <t>ratios as one of its qualitative ratings criteria.  The above-cited</t>
  </si>
  <si>
    <t>S&amp;P benchmark ratios reflect the 1999 criteria reported by S&amp;P.</t>
  </si>
  <si>
    <t>CH Energy</t>
  </si>
  <si>
    <t>Consolidated Edison</t>
  </si>
  <si>
    <t>PG&amp;E</t>
  </si>
  <si>
    <t>Moody's Electric Utilities</t>
  </si>
  <si>
    <t>Constellation Energy</t>
  </si>
  <si>
    <t>DPL Inc</t>
  </si>
  <si>
    <t>NiSource</t>
  </si>
  <si>
    <t>20-YEAR</t>
  </si>
  <si>
    <t>T-BOND</t>
  </si>
  <si>
    <t>ALLETE</t>
  </si>
  <si>
    <t>Avista Corp</t>
  </si>
  <si>
    <t>Empire District Electric</t>
  </si>
  <si>
    <t>Westar Energy</t>
  </si>
  <si>
    <t>DPL</t>
  </si>
  <si>
    <t>Energy East</t>
  </si>
  <si>
    <t>Entergy</t>
  </si>
  <si>
    <t>FPL Group</t>
  </si>
  <si>
    <t>Public Service Enterprise</t>
  </si>
  <si>
    <t>AVA</t>
  </si>
  <si>
    <t>EDE</t>
  </si>
  <si>
    <t>HE</t>
  </si>
  <si>
    <t>NU</t>
  </si>
  <si>
    <t>PNM</t>
  </si>
  <si>
    <t>PSD</t>
  </si>
  <si>
    <t>TE</t>
  </si>
  <si>
    <t>WR</t>
  </si>
  <si>
    <t>ALE</t>
  </si>
  <si>
    <t>LNT</t>
  </si>
  <si>
    <t>AEP</t>
  </si>
  <si>
    <t>AEE</t>
  </si>
  <si>
    <t>CNL</t>
  </si>
  <si>
    <t>CMS</t>
  </si>
  <si>
    <t>DTE</t>
  </si>
  <si>
    <t>EIX</t>
  </si>
  <si>
    <t>EAS</t>
  </si>
  <si>
    <t>ETR</t>
  </si>
  <si>
    <t>FPL</t>
  </si>
  <si>
    <t>MGEE</t>
  </si>
  <si>
    <t>PCG</t>
  </si>
  <si>
    <t>PNW</t>
  </si>
  <si>
    <t>POR</t>
  </si>
  <si>
    <t>PGN</t>
  </si>
  <si>
    <t>SO</t>
  </si>
  <si>
    <t>CHG</t>
  </si>
  <si>
    <t>ED</t>
  </si>
  <si>
    <t>CEG</t>
  </si>
  <si>
    <t>D</t>
  </si>
  <si>
    <t>DUK</t>
  </si>
  <si>
    <t>EXC</t>
  </si>
  <si>
    <t>FE</t>
  </si>
  <si>
    <t>NI</t>
  </si>
  <si>
    <t>OGE</t>
  </si>
  <si>
    <t>PPL</t>
  </si>
  <si>
    <t>PEG</t>
  </si>
  <si>
    <t>PUGET ENERGY</t>
  </si>
  <si>
    <t/>
  </si>
  <si>
    <t>Page 1 of 6</t>
  </si>
  <si>
    <t>Real</t>
  </si>
  <si>
    <t>Industrial</t>
  </si>
  <si>
    <t>Unemploy-</t>
  </si>
  <si>
    <t>Production</t>
  </si>
  <si>
    <t>ment</t>
  </si>
  <si>
    <t>Consumer</t>
  </si>
  <si>
    <t>Producer</t>
  </si>
  <si>
    <t>Growth*</t>
  </si>
  <si>
    <t>Growth</t>
  </si>
  <si>
    <t>Rate</t>
  </si>
  <si>
    <t>Price Index</t>
  </si>
  <si>
    <t>*GDP=Gross Domestic Product</t>
  </si>
  <si>
    <t>Page 2 of 6</t>
  </si>
  <si>
    <t>Page 3 of 6</t>
  </si>
  <si>
    <t>US Treas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</si>
  <si>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</si>
  <si>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</si>
  <si>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</si>
  <si>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</si>
  <si>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</si>
  <si>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</si>
  <si>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</si>
  <si>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>[1]</t>
  </si>
  <si>
    <t>[1] Note:  Moody's has not published Aaa utility bond yields since 2001.</t>
  </si>
  <si>
    <t>Page 4 of 6</t>
  </si>
  <si>
    <t>Aa</t>
  </si>
  <si>
    <t>Page 5 of 6</t>
  </si>
  <si>
    <t>NASDAQ</t>
  </si>
  <si>
    <t>Composite [1]</t>
  </si>
  <si>
    <t>[1] Note:  this source did not publish the S&amp;P Composite prior to 1988 and the NASDAQ</t>
  </si>
  <si>
    <t>Composite prior to 1991.</t>
  </si>
  <si>
    <t>Page 6 of 6</t>
  </si>
  <si>
    <t>Schedule 1</t>
  </si>
  <si>
    <t>2003 - 2007</t>
  </si>
  <si>
    <t>2003 - 2006</t>
  </si>
  <si>
    <t>2005 - 2007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</si>
  <si>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</si>
  <si>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</si>
  <si>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</si>
  <si>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</si>
  <si>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</si>
  <si>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</si>
  <si>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</si>
  <si>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Composite-Mean</t>
  </si>
  <si>
    <t>Composite-Median</t>
  </si>
  <si>
    <t>Source:  Standard &amp; Poor's Analyst's Handbook, 2007 edition, page 1.</t>
  </si>
  <si>
    <t>Risk Premium By Decade</t>
  </si>
  <si>
    <t>Schedule 13</t>
  </si>
  <si>
    <t>Schedule 15</t>
  </si>
  <si>
    <t>1992 - 2006</t>
  </si>
  <si>
    <t>'11-'13</t>
  </si>
  <si>
    <t>Est'd '04-'06 to '11-'13 Growth Rates</t>
  </si>
  <si>
    <t>PEPCO Holdings</t>
  </si>
  <si>
    <t>Pinnacle West</t>
  </si>
  <si>
    <t>S&amp;P Integrated</t>
  </si>
  <si>
    <t>FirstEnergy Corp</t>
  </si>
  <si>
    <t>AS OF DECEMBER 31, 2007</t>
  </si>
  <si>
    <t>Preferred Stock</t>
  </si>
  <si>
    <t>Regulated Utility</t>
  </si>
  <si>
    <t>Other</t>
  </si>
  <si>
    <t>Net Income from Continuing Operations</t>
  </si>
  <si>
    <t>Source:  Puget Sound Energy, fiscal year ended Dec 31, 2007 Form 10-K.</t>
  </si>
  <si>
    <t>1/  Includes current maturities of long-term debt</t>
  </si>
  <si>
    <r>
      <t xml:space="preserve">LONG-TERM </t>
    </r>
    <r>
      <rPr>
        <vertAlign val="superscript"/>
        <sz val="10.45"/>
        <rFont val="Arial"/>
        <family val="2"/>
      </rPr>
      <t>1/</t>
    </r>
  </si>
  <si>
    <t>PUGET SOUND ENERGY</t>
  </si>
  <si>
    <t>A-</t>
  </si>
  <si>
    <t>BBB-/Baa3</t>
  </si>
  <si>
    <t>BBB+/Baa1</t>
  </si>
  <si>
    <t>BBB-/Baa2</t>
  </si>
  <si>
    <t>BBB/Baa2</t>
  </si>
  <si>
    <t>BBB+/Baa2</t>
  </si>
  <si>
    <t>2002-2006</t>
  </si>
  <si>
    <t>Puget Energy Consolidated</t>
  </si>
  <si>
    <t>January - March, 2008</t>
  </si>
  <si>
    <t>Puget Sound Energy</t>
  </si>
  <si>
    <t>Baa2</t>
  </si>
  <si>
    <t>Baa3</t>
  </si>
  <si>
    <t>Source: Response to WUTC Staff Data Request No. 067.</t>
  </si>
  <si>
    <t>BBB+</t>
  </si>
  <si>
    <t>BBB-</t>
  </si>
  <si>
    <t>Ba1</t>
  </si>
  <si>
    <t>Corp Credit/Issuer</t>
  </si>
  <si>
    <t>Sr. Secured Debt</t>
  </si>
  <si>
    <t>Baa1</t>
  </si>
  <si>
    <t>PUGET ENERGY, INC.</t>
  </si>
  <si>
    <t>Schedule 11</t>
  </si>
  <si>
    <t>RATES OF RETURN ON AVERAGE COMMON EQUITY</t>
  </si>
  <si>
    <t>2002-2007</t>
  </si>
  <si>
    <t>2011-2013</t>
  </si>
  <si>
    <t xml:space="preserve">Avista </t>
  </si>
  <si>
    <t>AVISTA</t>
  </si>
  <si>
    <t xml:space="preserve">Empire </t>
  </si>
  <si>
    <t>EMPIRE DISTRICT</t>
  </si>
  <si>
    <t>Hawaiia</t>
  </si>
  <si>
    <t>HAWAIIAN ELECTRIC</t>
  </si>
  <si>
    <t>Northea</t>
  </si>
  <si>
    <t>NORTHEAST UTILITIES</t>
  </si>
  <si>
    <t>PNM Res</t>
  </si>
  <si>
    <t>PNM RESOURCES</t>
  </si>
  <si>
    <t>Puget E</t>
  </si>
  <si>
    <t>TECO En</t>
  </si>
  <si>
    <t>TECO ENERGY</t>
  </si>
  <si>
    <t xml:space="preserve">Westar </t>
  </si>
  <si>
    <t>WESTAR ENERGY</t>
  </si>
  <si>
    <t>Alliant</t>
  </si>
  <si>
    <t>ALLIANT ENERGY</t>
  </si>
  <si>
    <t xml:space="preserve">Ameren </t>
  </si>
  <si>
    <t>AMEREN</t>
  </si>
  <si>
    <t>America</t>
  </si>
  <si>
    <t>AMERICAN ELECTRIC POWER</t>
  </si>
  <si>
    <t>CLECO</t>
  </si>
  <si>
    <t>DPL INC</t>
  </si>
  <si>
    <t>DTE Ene</t>
  </si>
  <si>
    <t>DTE ENERGY</t>
  </si>
  <si>
    <t>NMF</t>
  </si>
  <si>
    <t xml:space="preserve">Edison </t>
  </si>
  <si>
    <t>EDISON INTERNATIONAL</t>
  </si>
  <si>
    <t xml:space="preserve">Energy </t>
  </si>
  <si>
    <t>ENERGY EAST</t>
  </si>
  <si>
    <t>ENTERGY CORP</t>
  </si>
  <si>
    <t>FPL Gro</t>
  </si>
  <si>
    <t>FPL GROUP</t>
  </si>
  <si>
    <t>MGE Ene</t>
  </si>
  <si>
    <t>MGE ENERGY</t>
  </si>
  <si>
    <t>Pinnacl</t>
  </si>
  <si>
    <t>PINNACLE WEST</t>
  </si>
  <si>
    <t>Progres</t>
  </si>
  <si>
    <t>PROGRESS ENERGY</t>
  </si>
  <si>
    <t>Souther</t>
  </si>
  <si>
    <t>SOUTHERN COMPANY</t>
  </si>
  <si>
    <t>Wiscons</t>
  </si>
  <si>
    <t>WISCONSIN ENERGY CORP</t>
  </si>
  <si>
    <t>XCEL ENERGY</t>
  </si>
  <si>
    <t>CH Ener</t>
  </si>
  <si>
    <t>CH ENERGY GROUP</t>
  </si>
  <si>
    <t>Consoli</t>
  </si>
  <si>
    <t>CONSOLIDATED EDISON</t>
  </si>
  <si>
    <t>Constel</t>
  </si>
  <si>
    <t>CONSTELLATION ENERGY GROUP</t>
  </si>
  <si>
    <t>Dominio</t>
  </si>
  <si>
    <t>DOMINION RESOURCES, INC</t>
  </si>
  <si>
    <t xml:space="preserve">Exelon </t>
  </si>
  <si>
    <t>EXELON</t>
  </si>
  <si>
    <t>Firsten</t>
  </si>
  <si>
    <t>FIRST ENERGY</t>
  </si>
  <si>
    <t>NiSourc</t>
  </si>
  <si>
    <t>NISOURCE</t>
  </si>
  <si>
    <t>OGE Ene</t>
  </si>
  <si>
    <t>OGE ENERGY</t>
  </si>
  <si>
    <t>PPL Cor</t>
  </si>
  <si>
    <t xml:space="preserve">Public </t>
  </si>
  <si>
    <t>PUBLIC SERVICE ENTERPRISE</t>
  </si>
  <si>
    <t>Source:  Calculations made from data contained in Value Line Investment Survey.</t>
  </si>
  <si>
    <t>MARKET TO BOOK RATIOS</t>
  </si>
  <si>
    <t>Safety</t>
  </si>
  <si>
    <t>Beta</t>
  </si>
  <si>
    <t>Fin Str</t>
  </si>
  <si>
    <t>Stk Rnk</t>
  </si>
  <si>
    <t>Value Line</t>
  </si>
  <si>
    <t xml:space="preserve">B+ </t>
  </si>
  <si>
    <t>A++</t>
  </si>
  <si>
    <t xml:space="preserve">B </t>
  </si>
  <si>
    <t>A+</t>
  </si>
  <si>
    <t>B+/B++</t>
  </si>
  <si>
    <t>Exelon</t>
  </si>
  <si>
    <t>Short-Term Debt</t>
  </si>
  <si>
    <t xml:space="preserve">Long-Term Debt </t>
  </si>
  <si>
    <t>MGE Corp</t>
  </si>
  <si>
    <t xml:space="preserve">DERIVED BY PSE WITNESS MORIN </t>
  </si>
  <si>
    <t>S&amp;P Integrated Electric Utilities</t>
  </si>
  <si>
    <t>Sources:  C.A. Turner Utility Reports, Standard &amp; Poor's Stock Guide, Value Line Investment Survey.</t>
  </si>
  <si>
    <t xml:space="preserve">Electric </t>
  </si>
  <si>
    <t xml:space="preserve">Ratio </t>
  </si>
  <si>
    <t>PUGET SOUND ENERGY, INC.</t>
  </si>
  <si>
    <t>Exhibit___(DCP-2)</t>
  </si>
  <si>
    <t>10.67%/(0.29%+3.97%)</t>
  </si>
  <si>
    <t>Source:  Response to WUTC Staff Data Request No. 145.</t>
  </si>
  <si>
    <t>The Comparison Group was selected using the following criteria: Net Plant of $500 million to $7 billion. Electric Revenues of 50% or greater. Common Equity Ratio of 45% or greater. S&amp;P Stock Ranking of B or B+ or A-, S&amp;P and Moody's bond ratings of Baa/BBB. Currently pays common stock dividends.</t>
  </si>
  <si>
    <t>Source:  Calculations made from data contained on Exhibit No.___(RAM-7).</t>
  </si>
  <si>
    <t xml:space="preserve"> 2.2 - 3.3 x</t>
  </si>
  <si>
    <t xml:space="preserve"> 52 - 62 %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</si>
</sst>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$-409]#,##0"/>
    <numFmt numFmtId="167" formatCode="[$$-409]#,##0.00"/>
    <numFmt numFmtId="168" formatCode="[$$-409]#,##0.0"/>
    <numFmt numFmtId="169" formatCode="0.000%"/>
    <numFmt numFmtId="170" formatCode="&quot;$&quot;#,##0.00"/>
    <numFmt numFmtId="171" formatCode="0.0000000000000000%"/>
    <numFmt numFmtId="172" formatCode="&quot;$&quot;#,##0.0"/>
    <numFmt numFmtId="173" formatCode="&quot;$&quot;#,##0.000"/>
    <numFmt numFmtId="174" formatCode="&quot;$&quot;#,##0"/>
    <numFmt numFmtId="175" formatCode="#,##0.0"/>
    <numFmt numFmtId="176" formatCode="0.0000"/>
    <numFmt numFmtId="177" formatCode="[$-409]dddd\,\ mmmm\ dd\,\ yyyy"/>
    <numFmt numFmtId="178" formatCode="[$-409]mmmm\ d\,\ yyyy;@"/>
    <numFmt numFmtId="179" formatCode="0.0000%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[$-409]h:mm:ss\ AM/PM"/>
    <numFmt numFmtId="188" formatCode="m/d/yy;@"/>
    <numFmt numFmtId="189" formatCode="_(&quot;$&quot;* #,##0_);_(&quot;$&quot;* \(#,##0\);_(&quot;$&quot;* &quot;-&quot;??_);_(@_)"/>
    <numFmt numFmtId="190" formatCode="&quot;$&quot;#,##0.000\ ;\(&quot;$&quot;#,##0.000\)"/>
    <numFmt numFmtId="191" formatCode="[$$-409]#,##0_);\([$$-409]#,##0\)"/>
    <numFmt numFmtId="192" formatCode="_(* #,##0.0000_);_(* \(#,##0.0000\);_(* &quot;-&quot;??_);_(@_)"/>
    <numFmt numFmtId="193" formatCode="m/d/yy"/>
    <numFmt numFmtId="194" formatCode="&quot;$&quot;#,##0.000_);\(&quot;$&quot;#,##0.000\)"/>
    <numFmt numFmtId="195" formatCode="&quot;$&quot;#,##0.0000_);\(&quot;$&quot;#,##0.0000\)"/>
    <numFmt numFmtId="196" formatCode="0.000000000000000%"/>
    <numFmt numFmtId="197" formatCode="#,##0.0000"/>
    <numFmt numFmtId="198" formatCode="0.0000_);\(0.0000\)"/>
    <numFmt numFmtId="199" formatCode="0.00_);[Red]\(0.00\)"/>
    <numFmt numFmtId="200" formatCode="&quot;$&quot;#,##0.0_);\(&quot;$&quot;#,##0.0\)"/>
    <numFmt numFmtId="201" formatCode="mmm\-yyyy"/>
    <numFmt numFmtId="202" formatCode="0.00000%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b/>
      <sz val="12"/>
      <name val="SWISS"/>
      <family val="0"/>
    </font>
    <font>
      <sz val="12"/>
      <name val="Tms Rmn"/>
      <family val="0"/>
    </font>
    <font>
      <b/>
      <sz val="18"/>
      <name val="Arial"/>
      <family val="0"/>
    </font>
    <font>
      <b/>
      <sz val="12"/>
      <name val="Tms Rmn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  <family val="0"/>
    </font>
    <font>
      <b/>
      <sz val="14"/>
      <name val="Arial"/>
      <family val="2"/>
    </font>
    <font>
      <i/>
      <sz val="12"/>
      <color indexed="10"/>
      <name val="Arial"/>
      <family val="2"/>
    </font>
    <font>
      <vertAlign val="superscript"/>
      <sz val="10.45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24"/>
      </right>
      <top>
        <color indexed="24"/>
      </top>
      <bottom>
        <color indexed="24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5" fontId="9" fillId="0" borderId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3">
      <alignment/>
      <protection/>
    </xf>
    <xf numFmtId="0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15" fillId="31" borderId="3">
      <alignment/>
      <protection/>
    </xf>
    <xf numFmtId="0" fontId="47" fillId="0" borderId="5" applyNumberFormat="0" applyFill="0" applyAlignment="0" applyProtection="0"/>
    <xf numFmtId="0" fontId="48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3" borderId="6" applyNumberFormat="0" applyFont="0" applyAlignment="0" applyProtection="0"/>
    <xf numFmtId="0" fontId="49" fillId="27" borderId="7" applyNumberFormat="0" applyAlignment="0" applyProtection="0"/>
    <xf numFmtId="40" fontId="16" fillId="34" borderId="0">
      <alignment horizontal="right"/>
      <protection/>
    </xf>
    <xf numFmtId="0" fontId="17" fillId="35" borderId="0">
      <alignment horizontal="center"/>
      <protection/>
    </xf>
    <xf numFmtId="0" fontId="18" fillId="36" borderId="8">
      <alignment/>
      <protection/>
    </xf>
    <xf numFmtId="0" fontId="19" fillId="0" borderId="0" applyBorder="0">
      <alignment horizontal="centerContinuous"/>
      <protection/>
    </xf>
    <xf numFmtId="0" fontId="20" fillId="0" borderId="0" applyBorder="0">
      <alignment horizontal="centerContinuous"/>
      <protection/>
    </xf>
    <xf numFmtId="9" fontId="9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3">
      <alignment/>
      <protection/>
    </xf>
    <xf numFmtId="0" fontId="13" fillId="0" borderId="3">
      <alignment/>
      <protection/>
    </xf>
    <xf numFmtId="0" fontId="50" fillId="0" borderId="0" applyNumberFormat="0" applyFill="0" applyBorder="0" applyAlignment="0" applyProtection="0"/>
    <xf numFmtId="0" fontId="21" fillId="37" borderId="0">
      <alignment/>
      <protection/>
    </xf>
    <xf numFmtId="0" fontId="21" fillId="37" borderId="0">
      <alignment/>
      <protection/>
    </xf>
    <xf numFmtId="0" fontId="9" fillId="0" borderId="9" applyNumberFormat="0" applyFont="0" applyFill="0" applyAlignment="0" applyProtection="0"/>
    <xf numFmtId="0" fontId="15" fillId="0" borderId="10">
      <alignment/>
      <protection/>
    </xf>
    <xf numFmtId="0" fontId="15" fillId="0" borderId="10">
      <alignment/>
      <protection/>
    </xf>
    <xf numFmtId="0" fontId="15" fillId="0" borderId="3">
      <alignment/>
      <protection/>
    </xf>
    <xf numFmtId="0" fontId="15" fillId="0" borderId="3">
      <alignment/>
      <protection/>
    </xf>
    <xf numFmtId="0" fontId="51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9" xfId="0" applyNumberFormat="1" applyBorder="1" applyAlignment="1">
      <alignment/>
    </xf>
    <xf numFmtId="164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12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0" fontId="0" fillId="0" borderId="12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1" fontId="0" fillId="0" borderId="0" xfId="0" applyNumberFormat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 quotePrefix="1">
      <alignment horizontal="center"/>
    </xf>
    <xf numFmtId="0" fontId="0" fillId="0" borderId="0" xfId="0" applyNumberFormat="1" applyFont="1" applyBorder="1" applyAlignment="1">
      <alignment horizontal="left"/>
    </xf>
    <xf numFmtId="10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6" fontId="6" fillId="0" borderId="0" xfId="0" applyNumberFormat="1" applyFont="1" applyAlignment="1" quotePrefix="1">
      <alignment horizontal="centerContinuous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Continuous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2" xfId="0" applyBorder="1" applyAlignment="1">
      <alignment horizontal="center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6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4" fontId="0" fillId="0" borderId="0" xfId="45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0" fillId="0" borderId="14" xfId="0" applyNumberFormat="1" applyFont="1" applyBorder="1" applyAlignment="1">
      <alignment vertical="center"/>
    </xf>
    <xf numFmtId="10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10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164" fontId="0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74" fontId="23" fillId="0" borderId="0" xfId="0" applyNumberFormat="1" applyFont="1" applyAlignment="1">
      <alignment wrapText="1"/>
    </xf>
    <xf numFmtId="0" fontId="0" fillId="0" borderId="17" xfId="0" applyNumberFormat="1" applyFont="1" applyBorder="1" applyAlignment="1">
      <alignment/>
    </xf>
    <xf numFmtId="0" fontId="0" fillId="0" borderId="9" xfId="0" applyNumberForma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9" fontId="0" fillId="0" borderId="12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 quotePrefix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stom - Style1" xfId="48"/>
    <cellStyle name="Custom - Style8" xfId="49"/>
    <cellStyle name="Data   - Style2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abels - Style3" xfId="62"/>
    <cellStyle name="Linked Cell" xfId="63"/>
    <cellStyle name="Neutral" xfId="64"/>
    <cellStyle name="Normal - Style1" xfId="65"/>
    <cellStyle name="Normal - Style2" xfId="66"/>
    <cellStyle name="Normal - Style3" xfId="67"/>
    <cellStyle name="Normal - Style4" xfId="68"/>
    <cellStyle name="Normal - Style5" xfId="69"/>
    <cellStyle name="Normal - Style6" xfId="70"/>
    <cellStyle name="Normal - Style7" xfId="71"/>
    <cellStyle name="Normal - Style8" xfId="72"/>
    <cellStyle name="Note" xfId="73"/>
    <cellStyle name="Output" xfId="74"/>
    <cellStyle name="Output Amounts" xfId="75"/>
    <cellStyle name="Output Column Headings" xfId="76"/>
    <cellStyle name="Output Line Items" xfId="77"/>
    <cellStyle name="Output Report Heading" xfId="78"/>
    <cellStyle name="Output Report Title" xfId="79"/>
    <cellStyle name="Percent" xfId="80"/>
    <cellStyle name="Reset  - Style4" xfId="81"/>
    <cellStyle name="Reset  - Style7" xfId="82"/>
    <cellStyle name="Table  - Style5" xfId="83"/>
    <cellStyle name="Table  - Style6" xfId="84"/>
    <cellStyle name="Title" xfId="85"/>
    <cellStyle name="Title  - Style1" xfId="86"/>
    <cellStyle name="Title  - Style6" xfId="87"/>
    <cellStyle name="Total" xfId="88"/>
    <cellStyle name="TotCol - Style5" xfId="89"/>
    <cellStyle name="TotCol - Style7" xfId="90"/>
    <cellStyle name="TotRow - Style4" xfId="91"/>
    <cellStyle name="TotRow - Style8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externalLink" Target="externalLinks/externalLink11.xml" /><Relationship Id="rId40" Type="http://schemas.openxmlformats.org/officeDocument/2006/relationships/externalLink" Target="externalLinks/externalLink12.xml" /><Relationship Id="rId41" Type="http://schemas.openxmlformats.org/officeDocument/2006/relationships/externalLink" Target="externalLinks/externalLink13.xml" /><Relationship Id="rId42" Type="http://schemas.openxmlformats.org/officeDocument/2006/relationships/externalLink" Target="externalLinks/externalLink14.xml" /><Relationship Id="rId43" Type="http://schemas.openxmlformats.org/officeDocument/2006/relationships/externalLink" Target="externalLinks/externalLink15.xml" /><Relationship Id="rId44" Type="http://schemas.openxmlformats.org/officeDocument/2006/relationships/externalLink" Target="externalLinks/externalLink16.xml" /><Relationship Id="rId45" Type="http://schemas.openxmlformats.org/officeDocument/2006/relationships/externalLink" Target="externalLinks/externalLink17.xml" /><Relationship Id="rId46" Type="http://schemas.openxmlformats.org/officeDocument/2006/relationships/externalLink" Target="externalLinks/externalLink18.xml" /><Relationship Id="rId47" Type="http://schemas.openxmlformats.org/officeDocument/2006/relationships/externalLink" Target="externalLinks/externalLink19.xml" /><Relationship Id="rId48" Type="http://schemas.openxmlformats.org/officeDocument/2006/relationships/externalLink" Target="externalLinks/externalLink20.xml" /><Relationship Id="rId49" Type="http://schemas.openxmlformats.org/officeDocument/2006/relationships/externalLink" Target="externalLinks/externalLink21.xml" /><Relationship Id="rId50" Type="http://schemas.openxmlformats.org/officeDocument/2006/relationships/externalLink" Target="externalLinks/externalLink22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28</xdr:row>
      <xdr:rowOff>152400</xdr:rowOff>
    </xdr:from>
    <xdr:ext cx="1038225" cy="990600"/>
    <xdr:sp>
      <xdr:nvSpPr>
        <xdr:cNvPr id="1" name="Text Box 5"/>
        <xdr:cNvSpPr txBox="1">
          <a:spLocks noChangeArrowheads="1"/>
        </xdr:cNvSpPr>
      </xdr:nvSpPr>
      <xdr:spPr>
        <a:xfrm>
          <a:off x="9220200" y="5791200"/>
          <a:ext cx="10382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S\TAI\06%20Cases\0637%20Pennichuck%20Water\Pennichuck%20Schedules%202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PPE%2013%20month%20by%20su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enue%20Requirements\Greeley\colorado\study601\GCA%20Filing,%20Analyses%20&amp;%20WPs\Advert\AdvertExpPUC#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econ\COMMON\CASES\TAI\07%20Cases\0704%20PEPCO\Schedules\Pepco%20Schedule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CP\My%20Documents\Cascade%20Natural%20G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S\TAI\07%20Cases\0728%20SCE&amp;G\Schedules%202-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S\TAI\07%20Cases\0704%20PEPCO\Schedules\Pepco%20Schedul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S\TAI\07%20Cases\0749%20Sierra%20Pacific%20Power\SPPC%20Schedu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fter%20Ta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 "/>
      <sheetName val="Sch 2, p 3"/>
      <sheetName val="Sch 2, p 1 (2)"/>
      <sheetName val="Sch 2, p 2  (2)"/>
      <sheetName val="Sch 2, p 3 (2)"/>
      <sheetName val="Sheet1"/>
      <sheetName val="Sheet2"/>
      <sheetName val="Sch 3, p 1"/>
      <sheetName val="Sch 3, p 2"/>
      <sheetName val="Sch 4"/>
      <sheetName val="Sch 5, p1"/>
      <sheetName val="Sch 5, p 2"/>
      <sheetName val="Sch 5, p 3"/>
      <sheetName val="Sch 5, p 4"/>
      <sheetName val="Sch 6"/>
      <sheetName val="Sch 7"/>
      <sheetName val="Sch 8, p 1"/>
      <sheetName val="Sch 8, p 2"/>
      <sheetName val="Sch 9"/>
      <sheetName val="Sch 10, p 1"/>
      <sheetName val="Sch 10, p 2"/>
      <sheetName val="Sch 11"/>
      <sheetName val="Sch 12"/>
      <sheetName val="Sch 13"/>
      <sheetName val="Sch 2, p 1 "/>
      <sheetName val="Sch 2, p 3 "/>
      <sheetName val="Sch 4, p 1"/>
      <sheetName val="Sch 4, p 2"/>
      <sheetName val="Sch 5"/>
      <sheetName val="Sch 6, p1"/>
      <sheetName val="Sch 6, p 2"/>
      <sheetName val="Sch 6, p 3"/>
      <sheetName val="Sch 6, p 4"/>
      <sheetName val="Sch 8"/>
      <sheetName val="Sch 9, p 1"/>
      <sheetName val="Sch 9, p 2"/>
      <sheetName val="Sch 10"/>
      <sheetName val="Sch 11, p 1"/>
      <sheetName val="Sch 11, p 2"/>
      <sheetName val="Sch 1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1">
        <row r="13">
          <cell r="D13">
            <v>0.1294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vertSend"/>
      <sheetName val="WkShtPUC#2"/>
      <sheetName val="FirstTryDo Not Use"/>
      <sheetName val="RevisedResponsePUC#2"/>
      <sheetName val="OriginalResponsePUC#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1">
        <row r="12">
          <cell r="D12">
            <v>0.10525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5">
        <row r="14">
          <cell r="B14" t="str">
            <v>1.</v>
          </cell>
          <cell r="D14" t="str">
            <v>December 1994</v>
          </cell>
          <cell r="F14">
            <v>24941476.6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24987449.54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2163538.51</v>
          </cell>
          <cell r="J17">
            <v>27342020.92</v>
          </cell>
        </row>
        <row r="18">
          <cell r="B18" t="str">
            <v>5.</v>
          </cell>
          <cell r="D18" t="str">
            <v>April 1995</v>
          </cell>
          <cell r="F18">
            <v>24197150.06</v>
          </cell>
          <cell r="H18">
            <v>2279739.97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25508527.83</v>
          </cell>
        </row>
        <row r="20">
          <cell r="B20" t="str">
            <v>7.</v>
          </cell>
          <cell r="D20" t="str">
            <v>June 1995</v>
          </cell>
          <cell r="F20">
            <v>21010269.39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18877211.56</v>
          </cell>
          <cell r="H22">
            <v>1470401.39</v>
          </cell>
          <cell r="J22">
            <v>20347612.95</v>
          </cell>
        </row>
        <row r="23">
          <cell r="B23" t="str">
            <v>10.</v>
          </cell>
          <cell r="D23" t="str">
            <v>September 1995</v>
          </cell>
          <cell r="F23">
            <v>18181226.51</v>
          </cell>
          <cell r="H23">
            <v>1189428.65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</v>
          </cell>
          <cell r="H25">
            <v>1273455.75</v>
          </cell>
          <cell r="J25">
            <v>18128856.44</v>
          </cell>
        </row>
        <row r="26">
          <cell r="B26" t="str">
            <v>13.</v>
          </cell>
          <cell r="D26" t="str">
            <v>December 1995</v>
          </cell>
          <cell r="F26">
            <v>17102940.97</v>
          </cell>
          <cell r="H26">
            <v>1752853.75</v>
          </cell>
          <cell r="J26">
            <v>18855794.72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</v>
          </cell>
          <cell r="H35">
            <v>5151038.81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5755217.09</v>
          </cell>
          <cell r="J36">
            <v>2970184.74</v>
          </cell>
          <cell r="L36">
            <v>-48260.16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5652991.35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</v>
          </cell>
          <cell r="J43">
            <v>5050000</v>
          </cell>
          <cell r="L43">
            <v>-608582.4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</v>
          </cell>
          <cell r="J44">
            <v>5050000</v>
          </cell>
          <cell r="L44">
            <v>-687945.5</v>
          </cell>
          <cell r="N44">
            <v>-18529.94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</v>
          </cell>
          <cell r="H48">
            <v>5567199.062307692</v>
          </cell>
          <cell r="J48">
            <v>3594036.093846154</v>
          </cell>
          <cell r="L48">
            <v>-347105.4823076923</v>
          </cell>
          <cell r="N48">
            <v>-2514.248461538462</v>
          </cell>
          <cell r="P48">
            <v>308139.1538461539</v>
          </cell>
          <cell r="R48">
            <v>834132.624615385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2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8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1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>   &lt;&lt;&lt;</v>
          </cell>
          <cell r="E8" t="str">
            <v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>            PRODUCTION PLANT</v>
          </cell>
        </row>
        <row r="22">
          <cell r="F22" t="str">
            <v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4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>            PRODUCTION PLANT</v>
          </cell>
        </row>
        <row r="21">
          <cell r="F21" t="str">
            <v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22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>     Electric </v>
          </cell>
          <cell r="F16">
            <v>1149203275</v>
          </cell>
        </row>
        <row r="17">
          <cell r="B17" t="str">
            <v>3.</v>
          </cell>
          <cell r="D17" t="str">
            <v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>     Fuel</v>
          </cell>
          <cell r="F22">
            <v>304775108</v>
          </cell>
        </row>
        <row r="23">
          <cell r="B23" t="str">
            <v>7.</v>
          </cell>
          <cell r="D23" t="str">
            <v>     Purchased Power</v>
          </cell>
          <cell r="F23">
            <v>216597409</v>
          </cell>
        </row>
        <row r="24">
          <cell r="B24" t="str">
            <v>8.</v>
          </cell>
          <cell r="D24" t="str">
            <v>     Other O&amp;M</v>
          </cell>
          <cell r="F24">
            <v>249872967</v>
          </cell>
        </row>
        <row r="25">
          <cell r="B25" t="str">
            <v>9.</v>
          </cell>
          <cell r="D25" t="str">
            <v>     Depreciation</v>
          </cell>
          <cell r="F25">
            <v>110718649</v>
          </cell>
        </row>
        <row r="26">
          <cell r="B26" t="str">
            <v>10.</v>
          </cell>
          <cell r="D26" t="str">
            <v>     Misc. Taxes</v>
          </cell>
          <cell r="F26">
            <v>101895</v>
          </cell>
        </row>
        <row r="27">
          <cell r="B27" t="str">
            <v>11.</v>
          </cell>
          <cell r="D27" t="str">
            <v>     Property Taxes</v>
          </cell>
          <cell r="F27">
            <v>33272491</v>
          </cell>
        </row>
        <row r="28">
          <cell r="B28" t="str">
            <v>12.</v>
          </cell>
          <cell r="D28" t="str">
            <v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"/>
      <sheetName val="Sch 2, p 3"/>
      <sheetName val="Sch 3"/>
      <sheetName val="Sch 4"/>
      <sheetName val="Sch 5"/>
      <sheetName val="Sch 6, p 1"/>
      <sheetName val="Sch 6, p 2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, p1"/>
      <sheetName val="Sch 12, p 2"/>
      <sheetName val="Sch 13, p 1"/>
      <sheetName val="Sch 13, p 2"/>
      <sheetName val="Sch 14"/>
      <sheetName val="Sch 15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"/>
      <sheetName val="Sch 2, p 3"/>
      <sheetName val="Sch 2, p 4"/>
      <sheetName val="Sch 2, p 5"/>
      <sheetName val="Sch 2, p 6"/>
      <sheetName val="Sch 3"/>
      <sheetName val="Sch 4, p 1"/>
      <sheetName val="Sch 4, p 2"/>
      <sheetName val="Sch 5, p 1"/>
      <sheetName val="Sch 5, p 4 "/>
      <sheetName val="Sch 6"/>
      <sheetName val="Sch 7"/>
      <sheetName val="Sch 8, p 1"/>
      <sheetName val="Sch 8, p 2"/>
      <sheetName val="Sch 8, p 3"/>
      <sheetName val="Sch 8, p 4"/>
      <sheetName val="Sch 9"/>
      <sheetName val="Sch 10"/>
      <sheetName val="Sch 11, p 1"/>
      <sheetName val="Sch 11, p 2"/>
      <sheetName val="Sch 12"/>
      <sheetName val="Sch 13"/>
      <sheetName val="Sch 14"/>
      <sheetName val="Sch 15"/>
    </sheetNames>
    <sheetDataSet>
      <sheetData sheetId="0">
        <row r="2">
          <cell r="H2" t="str">
            <v>Schedule 2</v>
          </cell>
        </row>
      </sheetData>
      <sheetData sheetId="1">
        <row r="2">
          <cell r="H2" t="str">
            <v>Schedule 2</v>
          </cell>
        </row>
      </sheetData>
      <sheetData sheetId="2">
        <row r="2">
          <cell r="L2" t="str">
            <v>Schedule 2</v>
          </cell>
        </row>
        <row r="109">
          <cell r="A109" t="str">
            <v>[1] Note:  Moody's has not published Aaa utility bond yields since 2001.</v>
          </cell>
        </row>
      </sheetData>
      <sheetData sheetId="3">
        <row r="2">
          <cell r="L2" t="str">
            <v>Schedule 2</v>
          </cell>
        </row>
      </sheetData>
      <sheetData sheetId="4">
        <row r="2">
          <cell r="E2" t="str">
            <v>Schedule 2</v>
          </cell>
        </row>
        <row r="83">
          <cell r="A83" t="str">
            <v>[1] Note:  this source did not publish the S&amp;P Composite prior to 1988 and the NASDAQ</v>
          </cell>
        </row>
        <row r="84">
          <cell r="A84" t="str">
            <v>Composite prior to 1991.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, p1"/>
      <sheetName val="Sch 5, p 2"/>
      <sheetName val="Sch 6 "/>
      <sheetName val="Sch 7"/>
      <sheetName val="Sch 8, p1"/>
      <sheetName val="Sch 8, p 2"/>
      <sheetName val="Sch 8, p 3"/>
      <sheetName val="Sch 8, p 4"/>
      <sheetName val="Sch 9"/>
      <sheetName val="Sch 10"/>
      <sheetName val="Sch 11, p 1"/>
      <sheetName val="Sch 11, p 2"/>
      <sheetName val="Sch 12"/>
      <sheetName val="Sch 13"/>
      <sheetName val="Sch 14"/>
      <sheetName val="Schedule 15"/>
    </sheetNames>
    <sheetDataSet>
      <sheetData sheetId="18">
        <row r="6">
          <cell r="A6" t="str">
            <v>COMPARISON COMPANIES</v>
          </cell>
        </row>
        <row r="13">
          <cell r="A13" t="str">
            <v>COMPANY</v>
          </cell>
        </row>
        <row r="16">
          <cell r="A16" t="str">
            <v>Comparison Group</v>
          </cell>
        </row>
        <row r="31">
          <cell r="A31" t="str">
            <v>Electric Utilities</v>
          </cell>
        </row>
        <row r="63">
          <cell r="A63" t="str">
            <v>Mean</v>
          </cell>
        </row>
        <row r="66">
          <cell r="A66" t="str">
            <v>Moody's Electric Utilities</v>
          </cell>
        </row>
      </sheetData>
      <sheetData sheetId="19">
        <row r="2">
          <cell r="T2" t="str">
            <v>Schedule 11</v>
          </cell>
        </row>
        <row r="5">
          <cell r="A5" t="str">
            <v>COMPARISON COMPANIES</v>
          </cell>
        </row>
        <row r="11">
          <cell r="R11" t="str">
            <v>1992-2001</v>
          </cell>
          <cell r="S11" t="str">
            <v>2002-2007</v>
          </cell>
        </row>
        <row r="12">
          <cell r="A12" t="str">
            <v>COMPANY</v>
          </cell>
          <cell r="C12">
            <v>1993</v>
          </cell>
          <cell r="D12">
            <v>1994</v>
          </cell>
          <cell r="E12">
            <v>1995</v>
          </cell>
          <cell r="F12">
            <v>1996</v>
          </cell>
          <cell r="G12">
            <v>1997</v>
          </cell>
          <cell r="H12">
            <v>1998</v>
          </cell>
          <cell r="I12">
            <v>1999</v>
          </cell>
          <cell r="R12" t="str">
            <v>Average</v>
          </cell>
          <cell r="S12" t="str">
            <v>Average</v>
          </cell>
        </row>
        <row r="16">
          <cell r="A16" t="str">
            <v>Comparison Group</v>
          </cell>
        </row>
        <row r="18">
          <cell r="A18" t="str">
            <v>Avista Corp</v>
          </cell>
        </row>
        <row r="19">
          <cell r="A19" t="str">
            <v>Empire District Electric</v>
          </cell>
        </row>
        <row r="20">
          <cell r="A20" t="str">
            <v>Hawaiian Electric Industries</v>
          </cell>
        </row>
        <row r="22">
          <cell r="A22" t="str">
            <v>PNM Resources</v>
          </cell>
        </row>
        <row r="25">
          <cell r="A25" t="str">
            <v>Westar Energy</v>
          </cell>
        </row>
        <row r="27">
          <cell r="A27" t="str">
            <v>Mean</v>
          </cell>
        </row>
        <row r="28">
          <cell r="A28" t="str">
            <v>Median</v>
          </cell>
        </row>
        <row r="32">
          <cell r="A32" t="str">
            <v>Electric Utilities</v>
          </cell>
        </row>
        <row r="64">
          <cell r="A64" t="str">
            <v>Mean</v>
          </cell>
        </row>
        <row r="65">
          <cell r="A65" t="str">
            <v>Median</v>
          </cell>
        </row>
        <row r="68">
          <cell r="A68" t="str">
            <v>Moody's Electric Utilities</v>
          </cell>
        </row>
        <row r="91">
          <cell r="A91" t="str">
            <v>Mean</v>
          </cell>
        </row>
        <row r="94">
          <cell r="A94" t="str">
            <v>Source:  Calculations made from data contained in Value Line Investment Survey.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fter Tax"/>
      <sheetName val="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0.08345088451363174</v>
          </cell>
        </row>
        <row r="31">
          <cell r="E31">
            <v>0.6870034986497613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0.05575324341679209</v>
          </cell>
        </row>
        <row r="24">
          <cell r="C24">
            <v>0.0403123661461116</v>
          </cell>
        </row>
        <row r="25">
          <cell r="C25">
            <v>0.12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9">
          <cell r="C9">
            <v>37894</v>
          </cell>
        </row>
        <row r="43">
          <cell r="D43">
            <v>0.218</v>
          </cell>
        </row>
        <row r="53">
          <cell r="D53">
            <v>0.0706</v>
          </cell>
        </row>
        <row r="57">
          <cell r="D57">
            <v>0.0874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2" sqref="G2"/>
    </sheetView>
  </sheetViews>
  <sheetFormatPr defaultColWidth="8.88671875" defaultRowHeight="15"/>
  <cols>
    <col min="1" max="1" width="29.6640625" style="0" bestFit="1" customWidth="1"/>
    <col min="4" max="4" width="6.99609375" style="0" customWidth="1"/>
    <col min="5" max="5" width="8.99609375" style="0" bestFit="1" customWidth="1"/>
    <col min="7" max="7" width="5.99609375" style="0" customWidth="1"/>
  </cols>
  <sheetData>
    <row r="1" ht="15.75">
      <c r="G1" s="44" t="s">
        <v>463</v>
      </c>
    </row>
    <row r="2" ht="15.75">
      <c r="G2" s="44" t="s">
        <v>321</v>
      </c>
    </row>
    <row r="3" ht="15.75">
      <c r="G3" s="44"/>
    </row>
    <row r="5" spans="1:8" ht="20.25">
      <c r="A5" s="243" t="s">
        <v>353</v>
      </c>
      <c r="B5" s="243"/>
      <c r="C5" s="243"/>
      <c r="D5" s="243"/>
      <c r="E5" s="243"/>
      <c r="F5" s="243"/>
      <c r="G5" s="243"/>
      <c r="H5" s="243"/>
    </row>
    <row r="6" spans="1:8" ht="20.25">
      <c r="A6" s="243" t="s">
        <v>224</v>
      </c>
      <c r="B6" s="243"/>
      <c r="C6" s="243"/>
      <c r="D6" s="243"/>
      <c r="E6" s="243"/>
      <c r="F6" s="243"/>
      <c r="G6" s="243"/>
      <c r="H6" s="243"/>
    </row>
    <row r="7" spans="1:8" ht="20.25">
      <c r="A7" s="243" t="s">
        <v>345</v>
      </c>
      <c r="B7" s="243"/>
      <c r="C7" s="243"/>
      <c r="D7" s="243"/>
      <c r="E7" s="243"/>
      <c r="F7" s="243"/>
      <c r="G7" s="243"/>
      <c r="H7" s="243"/>
    </row>
    <row r="10" spans="1:8" ht="15">
      <c r="A10" s="41" t="s">
        <v>221</v>
      </c>
      <c r="B10" s="41" t="s">
        <v>169</v>
      </c>
      <c r="C10" s="242" t="s">
        <v>211</v>
      </c>
      <c r="D10" s="242"/>
      <c r="E10" s="242"/>
      <c r="F10" s="242" t="s">
        <v>222</v>
      </c>
      <c r="G10" s="242"/>
      <c r="H10" s="242"/>
    </row>
    <row r="11" spans="1:8" ht="15">
      <c r="A11" s="46"/>
      <c r="B11" s="46"/>
      <c r="C11" s="46"/>
      <c r="D11" s="113"/>
      <c r="E11" s="46"/>
      <c r="F11" s="46"/>
      <c r="G11" s="46"/>
      <c r="H11" s="46"/>
    </row>
    <row r="12" spans="1:8" ht="15">
      <c r="A12" s="45"/>
      <c r="B12" s="45"/>
      <c r="C12" s="45"/>
      <c r="D12" s="130"/>
      <c r="E12" s="45"/>
      <c r="F12" s="45"/>
      <c r="G12" s="45"/>
      <c r="H12" s="45"/>
    </row>
    <row r="13" spans="1:7" ht="15">
      <c r="A13" t="s">
        <v>454</v>
      </c>
      <c r="B13" s="65">
        <v>0.0493</v>
      </c>
      <c r="C13" s="65"/>
      <c r="D13" s="65">
        <v>0.0592</v>
      </c>
      <c r="G13" s="65">
        <f>+B13*D13</f>
        <v>0.0029185599999999997</v>
      </c>
    </row>
    <row r="14" ht="15">
      <c r="D14" s="65"/>
    </row>
    <row r="15" spans="1:7" ht="15">
      <c r="A15" t="s">
        <v>455</v>
      </c>
      <c r="B15" s="65">
        <v>0.5004</v>
      </c>
      <c r="C15" s="65"/>
      <c r="D15" s="65">
        <v>0.069</v>
      </c>
      <c r="G15" s="65">
        <f>+B15*D15</f>
        <v>0.0345276</v>
      </c>
    </row>
    <row r="16" ht="15">
      <c r="D16" s="65"/>
    </row>
    <row r="17" spans="1:7" ht="15">
      <c r="A17" t="s">
        <v>346</v>
      </c>
      <c r="B17" s="65">
        <v>0.0003</v>
      </c>
      <c r="D17" s="65">
        <v>0.0861</v>
      </c>
      <c r="G17" s="65">
        <f>+B17*D17</f>
        <v>2.5829999999999995E-05</v>
      </c>
    </row>
    <row r="18" ht="15">
      <c r="D18" s="65"/>
    </row>
    <row r="19" spans="1:8" ht="15">
      <c r="A19" t="s">
        <v>76</v>
      </c>
      <c r="B19" s="65">
        <v>0.45</v>
      </c>
      <c r="C19" s="197">
        <v>0.095</v>
      </c>
      <c r="D19" s="41"/>
      <c r="E19" s="198">
        <v>0.105</v>
      </c>
      <c r="F19" s="197">
        <f>+B19*C19</f>
        <v>0.04275</v>
      </c>
      <c r="G19" s="65"/>
      <c r="H19" s="198">
        <f>+B19*E19</f>
        <v>0.04725</v>
      </c>
    </row>
    <row r="20" spans="2:8" ht="15">
      <c r="B20" s="46"/>
      <c r="D20" s="41"/>
      <c r="F20" s="199"/>
      <c r="H20" s="201"/>
    </row>
    <row r="21" spans="2:8" ht="15">
      <c r="B21" s="45"/>
      <c r="D21" s="41"/>
      <c r="F21" s="200"/>
      <c r="H21" s="202"/>
    </row>
    <row r="22" spans="1:8" ht="15">
      <c r="A22" t="s">
        <v>146</v>
      </c>
      <c r="B22" s="65">
        <f>SUM(B13:B19)</f>
        <v>1</v>
      </c>
      <c r="C22" s="132"/>
      <c r="D22" s="41"/>
      <c r="F22" s="197">
        <f>+G13+G15+G17+F19</f>
        <v>0.08022198999999999</v>
      </c>
      <c r="G22" s="41"/>
      <c r="H22" s="198">
        <f>+G13+G15+G17+H19</f>
        <v>0.08472199</v>
      </c>
    </row>
    <row r="24" spans="6:7" ht="15.75">
      <c r="F24" s="44" t="s">
        <v>225</v>
      </c>
      <c r="G24" s="80">
        <f>AVERAGE(F22:H22)</f>
        <v>0.08247199</v>
      </c>
    </row>
  </sheetData>
  <sheetProtection/>
  <mergeCells count="5">
    <mergeCell ref="C10:E10"/>
    <mergeCell ref="F10:H10"/>
    <mergeCell ref="A5:H5"/>
    <mergeCell ref="A6:H6"/>
    <mergeCell ref="A7:H7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showOutlineSymbols="0" zoomScale="87" zoomScaleNormal="87" zoomScalePageLayoutView="0" workbookViewId="0" topLeftCell="A7">
      <selection activeCell="B38" sqref="B38"/>
    </sheetView>
  </sheetViews>
  <sheetFormatPr defaultColWidth="9.77734375" defaultRowHeight="15"/>
  <cols>
    <col min="1" max="1" width="6.77734375" style="34" customWidth="1"/>
    <col min="2" max="2" width="15.21484375" style="34" customWidth="1"/>
    <col min="3" max="4" width="15.77734375" style="34" customWidth="1"/>
    <col min="5" max="5" width="13.77734375" style="34" customWidth="1"/>
    <col min="6" max="6" width="15.77734375" style="34" customWidth="1"/>
    <col min="7" max="7" width="4.77734375" style="34" customWidth="1"/>
    <col min="8" max="8" width="15.10546875" style="34" customWidth="1"/>
    <col min="9" max="16384" width="9.77734375" style="34" customWidth="1"/>
  </cols>
  <sheetData>
    <row r="1" ht="15.75">
      <c r="F1" s="33" t="str">
        <f>+'Sch 3'!E1</f>
        <v>Exhibit___(DCP-2)</v>
      </c>
    </row>
    <row r="2" ht="15.75">
      <c r="F2" s="33" t="s">
        <v>180</v>
      </c>
    </row>
    <row r="3" ht="15.75">
      <c r="F3" s="33" t="s">
        <v>117</v>
      </c>
    </row>
    <row r="5" spans="2:6" ht="20.25">
      <c r="B5" s="82" t="s">
        <v>462</v>
      </c>
      <c r="C5" s="82"/>
      <c r="D5" s="82"/>
      <c r="E5" s="82"/>
      <c r="F5" s="82"/>
    </row>
    <row r="6" spans="2:6" ht="20.25">
      <c r="B6" s="82" t="s">
        <v>67</v>
      </c>
      <c r="C6" s="83"/>
      <c r="D6" s="83"/>
      <c r="E6" s="83"/>
      <c r="F6" s="83"/>
    </row>
    <row r="7" spans="2:6" ht="20.25">
      <c r="B7" s="82" t="s">
        <v>322</v>
      </c>
      <c r="C7" s="83"/>
      <c r="D7" s="83"/>
      <c r="E7" s="83"/>
      <c r="F7" s="83"/>
    </row>
    <row r="8" spans="2:6" ht="20.25">
      <c r="B8" s="84" t="s">
        <v>167</v>
      </c>
      <c r="C8" s="83"/>
      <c r="D8" s="83"/>
      <c r="E8" s="83"/>
      <c r="F8" s="83"/>
    </row>
    <row r="12" spans="2:6" ht="15.75">
      <c r="B12" s="85"/>
      <c r="C12" s="86" t="s">
        <v>69</v>
      </c>
      <c r="D12" s="86" t="s">
        <v>71</v>
      </c>
      <c r="E12" s="86" t="s">
        <v>352</v>
      </c>
      <c r="F12" s="86" t="s">
        <v>74</v>
      </c>
    </row>
    <row r="13" spans="2:6" ht="15">
      <c r="B13" s="128" t="s">
        <v>1</v>
      </c>
      <c r="C13" s="128" t="s">
        <v>70</v>
      </c>
      <c r="D13" s="128" t="s">
        <v>166</v>
      </c>
      <c r="E13" s="128" t="s">
        <v>73</v>
      </c>
      <c r="F13" s="128" t="s">
        <v>75</v>
      </c>
    </row>
    <row r="14" spans="2:6" ht="15">
      <c r="B14" s="129"/>
      <c r="C14" s="129"/>
      <c r="D14" s="129"/>
      <c r="E14" s="129"/>
      <c r="F14" s="129"/>
    </row>
    <row r="15" spans="2:6" ht="15">
      <c r="B15" s="91"/>
      <c r="C15" s="91"/>
      <c r="D15" s="91"/>
      <c r="E15" s="91"/>
      <c r="F15" s="91"/>
    </row>
    <row r="16" spans="2:8" ht="25.5" customHeight="1">
      <c r="B16" s="87">
        <v>2003</v>
      </c>
      <c r="C16" s="165">
        <v>1555469</v>
      </c>
      <c r="D16" s="165">
        <v>282139</v>
      </c>
      <c r="E16" s="165">
        <v>2053005</v>
      </c>
      <c r="F16" s="165">
        <v>111000</v>
      </c>
      <c r="H16" s="94"/>
    </row>
    <row r="17" spans="3:8" ht="15">
      <c r="C17" s="72">
        <f>+C16/SUM(C16:F16)</f>
        <v>0.38871050248987093</v>
      </c>
      <c r="D17" s="72">
        <f>+D16/SUM(C16:F16)</f>
        <v>0.07050631832713458</v>
      </c>
      <c r="E17" s="72">
        <f>+E16/SUM(C16:F16)</f>
        <v>0.5130443648598703</v>
      </c>
      <c r="F17" s="72">
        <f>+F16/SUM(C16:F16)</f>
        <v>0.0277388143231242</v>
      </c>
      <c r="H17" s="94"/>
    </row>
    <row r="18" spans="3:7" ht="15">
      <c r="C18" s="72">
        <f>+C16/(SUM(C16:E16))</f>
        <v>0.39980049416377317</v>
      </c>
      <c r="D18" s="72">
        <f>+D16/(SUM(C16:E16))</f>
        <v>0.07251787828807439</v>
      </c>
      <c r="E18" s="72">
        <f>+E16/(SUM(C16:E16))</f>
        <v>0.5276816275481524</v>
      </c>
      <c r="F18" s="89"/>
      <c r="G18" s="35"/>
    </row>
    <row r="19" spans="2:8" ht="25.5" customHeight="1">
      <c r="B19" s="87">
        <f>+B16+1</f>
        <v>2004</v>
      </c>
      <c r="C19" s="165">
        <v>1592433</v>
      </c>
      <c r="D19" s="165">
        <v>282139</v>
      </c>
      <c r="E19" s="165">
        <v>2095360</v>
      </c>
      <c r="F19" s="165">
        <v>150000</v>
      </c>
      <c r="H19" s="94"/>
    </row>
    <row r="20" spans="3:8" ht="15">
      <c r="C20" s="72">
        <f>+C19/SUM(C19:F19)</f>
        <v>0.386519243521495</v>
      </c>
      <c r="D20" s="72">
        <f>+D19/SUM(C19:F19)</f>
        <v>0.06848147008251593</v>
      </c>
      <c r="E20" s="72">
        <f>+E19/SUM(C19:F19)</f>
        <v>0.5085909184908877</v>
      </c>
      <c r="F20" s="72">
        <f>+F19/SUM(C19:F19)</f>
        <v>0.036408367905101345</v>
      </c>
      <c r="H20" s="94"/>
    </row>
    <row r="21" spans="3:6" ht="15">
      <c r="C21" s="72">
        <f>+C19/(SUM(C19:E19))</f>
        <v>0.40112349531427743</v>
      </c>
      <c r="D21" s="72">
        <f>+D19/(SUM(C19:E19))</f>
        <v>0.07106897548874892</v>
      </c>
      <c r="E21" s="72">
        <f>+E19/(SUM(C19:E19))</f>
        <v>0.5278075291969736</v>
      </c>
      <c r="F21" s="89"/>
    </row>
    <row r="22" spans="2:8" ht="25.5" customHeight="1">
      <c r="B22" s="87">
        <f>+B19+1</f>
        <v>2005</v>
      </c>
      <c r="C22" s="165">
        <v>1986621</v>
      </c>
      <c r="D22" s="165">
        <v>239639</v>
      </c>
      <c r="E22" s="165">
        <v>2264360</v>
      </c>
      <c r="F22" s="165">
        <v>41000</v>
      </c>
      <c r="H22" s="94"/>
    </row>
    <row r="23" spans="3:8" ht="15">
      <c r="C23" s="72">
        <f>+C22/SUM(C22:F22)</f>
        <v>0.4383909065632158</v>
      </c>
      <c r="D23" s="72">
        <f>+D22/SUM(C22:F22)</f>
        <v>0.05288153022539401</v>
      </c>
      <c r="E23" s="72">
        <f>+E22/SUM(C22:F22)</f>
        <v>0.4996800261275217</v>
      </c>
      <c r="F23" s="72">
        <f>+F22/SUM(C22:F22)</f>
        <v>0.009047537083868462</v>
      </c>
      <c r="H23" s="94"/>
    </row>
    <row r="24" spans="3:6" ht="15">
      <c r="C24" s="72">
        <f>+C22/(SUM(C22:E22))</f>
        <v>0.44239347796072703</v>
      </c>
      <c r="D24" s="72">
        <f>+D22/(SUM(C22:E22))</f>
        <v>0.05336434612592471</v>
      </c>
      <c r="E24" s="72">
        <f>+E22/(SUM(C22:E22))</f>
        <v>0.5042421759133483</v>
      </c>
      <c r="F24" s="89"/>
    </row>
    <row r="25" spans="2:12" ht="25.5" customHeight="1">
      <c r="B25" s="87">
        <f>+B22+1</f>
        <v>2006</v>
      </c>
      <c r="C25" s="165">
        <v>2092283</v>
      </c>
      <c r="D25" s="165">
        <v>39639</v>
      </c>
      <c r="E25" s="165">
        <v>2733360</v>
      </c>
      <c r="F25" s="165">
        <v>352358</v>
      </c>
      <c r="I25" s="167"/>
      <c r="J25" s="167"/>
      <c r="K25" s="167"/>
      <c r="L25" s="167"/>
    </row>
    <row r="26" spans="3:12" ht="15">
      <c r="C26" s="72">
        <f>+C25/SUM(C25:F25)</f>
        <v>0.4010017939144901</v>
      </c>
      <c r="D26" s="72">
        <f>+D25/SUM(C25:F25)</f>
        <v>0.007597112870953151</v>
      </c>
      <c r="E26" s="72">
        <f>+E25/SUM(C25:F25)</f>
        <v>0.523869028909622</v>
      </c>
      <c r="F26" s="72">
        <f>+F25/SUM(C25:F25)</f>
        <v>0.0675320643049348</v>
      </c>
      <c r="I26" s="128"/>
      <c r="J26" s="128"/>
      <c r="K26" s="128"/>
      <c r="L26" s="128"/>
    </row>
    <row r="27" spans="3:12" ht="15">
      <c r="C27" s="72">
        <f>+C25/(SUM(C25:E25))</f>
        <v>0.4300435206016835</v>
      </c>
      <c r="D27" s="72">
        <f>+D25/(SUM(C25:E25))</f>
        <v>0.008147318079404236</v>
      </c>
      <c r="E27" s="72">
        <f>+E25/(SUM(C25:E25))</f>
        <v>0.5618091613189122</v>
      </c>
      <c r="F27" s="89"/>
      <c r="I27" s="128"/>
      <c r="J27" s="128"/>
      <c r="K27" s="128"/>
      <c r="L27" s="128"/>
    </row>
    <row r="28" spans="2:12" ht="25.5" customHeight="1">
      <c r="B28" s="87">
        <v>2007</v>
      </c>
      <c r="C28" s="165">
        <v>2504091</v>
      </c>
      <c r="D28" s="165">
        <v>1889</v>
      </c>
      <c r="E28" s="165">
        <v>2858360</v>
      </c>
      <c r="F28" s="165">
        <v>276252</v>
      </c>
      <c r="H28" s="87"/>
      <c r="I28" s="165"/>
      <c r="J28" s="165"/>
      <c r="K28" s="165"/>
      <c r="L28" s="165"/>
    </row>
    <row r="29" spans="3:12" ht="15">
      <c r="C29" s="72">
        <f>+C28/SUM(C28:F28)</f>
        <v>0.4439411678774143</v>
      </c>
      <c r="D29" s="72">
        <f>+D28/SUM(C28:F28)</f>
        <v>0.00033489392602762265</v>
      </c>
      <c r="E29" s="72">
        <f>+E28/SUM(C28:F28)</f>
        <v>0.5067482278455878</v>
      </c>
      <c r="F29" s="72">
        <f>+F28/SUM(C28:F28)</f>
        <v>0.04897571035097025</v>
      </c>
      <c r="I29" s="72"/>
      <c r="J29" s="72"/>
      <c r="K29" s="72"/>
      <c r="L29" s="72"/>
    </row>
    <row r="30" spans="3:12" ht="15">
      <c r="C30" s="72">
        <f>+C28/(SUM(C28:E28))</f>
        <v>0.4668031854804133</v>
      </c>
      <c r="D30" s="72">
        <f>+D28/(SUM(C28:E28))</f>
        <v>0.00035214024465265065</v>
      </c>
      <c r="E30" s="72">
        <f>+E28/(SUM(C28:E28))</f>
        <v>0.5328446742749341</v>
      </c>
      <c r="F30" s="89"/>
      <c r="I30" s="72"/>
      <c r="J30" s="72"/>
      <c r="K30" s="72"/>
      <c r="L30" s="89"/>
    </row>
    <row r="31" ht="15">
      <c r="H31" s="94"/>
    </row>
    <row r="33" spans="2:6" ht="15">
      <c r="B33" s="88"/>
      <c r="C33" s="88"/>
      <c r="D33" s="88"/>
      <c r="E33" s="88"/>
      <c r="F33" s="88"/>
    </row>
    <row r="34" ht="15">
      <c r="B34" s="34" t="s">
        <v>68</v>
      </c>
    </row>
    <row r="35" ht="15">
      <c r="B35" s="34" t="s">
        <v>351</v>
      </c>
    </row>
    <row r="37" ht="15">
      <c r="B37" s="34" t="s">
        <v>465</v>
      </c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7" zoomScaleNormal="87" zoomScalePageLayoutView="0" workbookViewId="0" topLeftCell="A1">
      <selection activeCell="B36" sqref="B36"/>
    </sheetView>
  </sheetViews>
  <sheetFormatPr defaultColWidth="8.88671875" defaultRowHeight="15"/>
  <cols>
    <col min="1" max="1" width="8.88671875" style="81" customWidth="1"/>
    <col min="2" max="2" width="14.6640625" style="81" bestFit="1" customWidth="1"/>
    <col min="3" max="6" width="15.77734375" style="81" customWidth="1"/>
    <col min="7" max="16384" width="8.88671875" style="81" customWidth="1"/>
  </cols>
  <sheetData>
    <row r="1" spans="1:6" ht="15.75">
      <c r="A1" s="34"/>
      <c r="B1" s="34"/>
      <c r="C1" s="34"/>
      <c r="D1" s="34"/>
      <c r="E1" s="34"/>
      <c r="F1" s="33" t="str">
        <f>+'Sch 3'!E1</f>
        <v>Exhibit___(DCP-2)</v>
      </c>
    </row>
    <row r="2" spans="1:6" ht="15.75">
      <c r="A2" s="34"/>
      <c r="B2" s="34"/>
      <c r="C2" s="34"/>
      <c r="D2" s="34"/>
      <c r="E2" s="34"/>
      <c r="F2" s="33" t="str">
        <f>+'Sch 5, p1'!F2</f>
        <v>Schedule 5</v>
      </c>
    </row>
    <row r="3" spans="1:6" ht="15.75">
      <c r="A3" s="34"/>
      <c r="B3" s="34"/>
      <c r="C3" s="34"/>
      <c r="D3" s="34"/>
      <c r="E3" s="34"/>
      <c r="F3" s="33" t="s">
        <v>116</v>
      </c>
    </row>
    <row r="4" spans="1:6" ht="15">
      <c r="A4" s="34"/>
      <c r="B4" s="34"/>
      <c r="C4" s="34"/>
      <c r="D4" s="34"/>
      <c r="E4" s="34"/>
      <c r="F4" s="34"/>
    </row>
    <row r="5" spans="1:6" ht="20.25">
      <c r="A5" s="34"/>
      <c r="B5" s="82" t="s">
        <v>373</v>
      </c>
      <c r="C5" s="82"/>
      <c r="D5" s="82"/>
      <c r="E5" s="82"/>
      <c r="F5" s="82"/>
    </row>
    <row r="6" spans="1:6" ht="20.25">
      <c r="A6" s="34"/>
      <c r="B6" s="82" t="s">
        <v>67</v>
      </c>
      <c r="C6" s="83"/>
      <c r="D6" s="83"/>
      <c r="E6" s="83"/>
      <c r="F6" s="83"/>
    </row>
    <row r="7" spans="1:6" ht="20.25">
      <c r="A7" s="34"/>
      <c r="B7" s="82" t="s">
        <v>323</v>
      </c>
      <c r="C7" s="83"/>
      <c r="D7" s="83"/>
      <c r="E7" s="83"/>
      <c r="F7" s="83"/>
    </row>
    <row r="8" spans="1:6" ht="20.25">
      <c r="A8" s="34"/>
      <c r="B8" s="84" t="s">
        <v>167</v>
      </c>
      <c r="C8" s="83"/>
      <c r="D8" s="83"/>
      <c r="E8" s="83"/>
      <c r="F8" s="83"/>
    </row>
    <row r="9" spans="1:6" ht="15">
      <c r="A9" s="34"/>
      <c r="B9" s="34"/>
      <c r="C9" s="34"/>
      <c r="D9" s="34"/>
      <c r="E9" s="34"/>
      <c r="F9" s="34"/>
    </row>
    <row r="10" spans="1:6" ht="15">
      <c r="A10" s="34"/>
      <c r="B10" s="34"/>
      <c r="C10" s="34"/>
      <c r="D10" s="34"/>
      <c r="E10" s="34"/>
      <c r="F10" s="34"/>
    </row>
    <row r="11" spans="1:6" ht="15">
      <c r="A11" s="34"/>
      <c r="B11" s="34"/>
      <c r="C11" s="34"/>
      <c r="D11" s="34"/>
      <c r="E11" s="34"/>
      <c r="F11" s="34"/>
    </row>
    <row r="12" spans="1:6" ht="15">
      <c r="A12" s="34"/>
      <c r="B12" s="85"/>
      <c r="C12" s="86" t="s">
        <v>69</v>
      </c>
      <c r="D12" s="86" t="s">
        <v>71</v>
      </c>
      <c r="E12" s="86" t="s">
        <v>72</v>
      </c>
      <c r="F12" s="86" t="s">
        <v>74</v>
      </c>
    </row>
    <row r="13" spans="1:7" ht="15">
      <c r="A13" s="34"/>
      <c r="B13" s="128" t="s">
        <v>1</v>
      </c>
      <c r="C13" s="128" t="s">
        <v>70</v>
      </c>
      <c r="D13" s="128" t="s">
        <v>166</v>
      </c>
      <c r="E13" s="128" t="s">
        <v>73</v>
      </c>
      <c r="F13" s="128" t="s">
        <v>75</v>
      </c>
      <c r="G13" s="166"/>
    </row>
    <row r="14" spans="1:7" ht="15">
      <c r="A14" s="34"/>
      <c r="B14" s="129"/>
      <c r="C14" s="129"/>
      <c r="D14" s="129"/>
      <c r="E14" s="129"/>
      <c r="F14" s="129"/>
      <c r="G14" s="166"/>
    </row>
    <row r="15" spans="1:6" ht="25.5" customHeight="1">
      <c r="A15" s="34"/>
      <c r="B15" s="87">
        <v>2003</v>
      </c>
      <c r="C15" s="165">
        <v>1655046</v>
      </c>
      <c r="D15" s="165">
        <v>282139</v>
      </c>
      <c r="E15" s="165">
        <v>2216318</v>
      </c>
      <c r="F15" s="165">
        <v>111000</v>
      </c>
    </row>
    <row r="16" spans="1:6" ht="15">
      <c r="A16" s="34"/>
      <c r="B16" s="34"/>
      <c r="C16" s="72">
        <f>+C15/SUM(C15:F15)</f>
        <v>0.38809821449299015</v>
      </c>
      <c r="D16" s="72">
        <f>+D15/SUM(C15:F15)</f>
        <v>0.06615987841959543</v>
      </c>
      <c r="E16" s="72">
        <f>+E15/SUM(C15:F15)</f>
        <v>0.5197130826265101</v>
      </c>
      <c r="F16" s="72">
        <f>+F15/SUM(C15:F15)</f>
        <v>0.026028824460904355</v>
      </c>
    </row>
    <row r="17" spans="1:6" ht="15">
      <c r="A17" s="34"/>
      <c r="B17" s="34"/>
      <c r="C17" s="72">
        <f>+C15/(SUM(C15:E15))</f>
        <v>0.39846991804267384</v>
      </c>
      <c r="D17" s="72">
        <f>+D15/(SUM(C15:E15))</f>
        <v>0.0679279634563885</v>
      </c>
      <c r="E17" s="72">
        <f>+E15/(SUM(C15:E15))</f>
        <v>0.5336021185009376</v>
      </c>
      <c r="F17" s="89"/>
    </row>
    <row r="18" spans="1:6" ht="25.5" customHeight="1">
      <c r="A18" s="34"/>
      <c r="B18" s="87">
        <f>+B15+1</f>
        <v>2004</v>
      </c>
      <c r="C18" s="165">
        <v>1622276</v>
      </c>
      <c r="D18" s="165">
        <v>282139</v>
      </c>
      <c r="E18" s="165">
        <v>2100360</v>
      </c>
      <c r="F18" s="165">
        <v>150000</v>
      </c>
    </row>
    <row r="19" spans="1:6" ht="15">
      <c r="A19" s="34"/>
      <c r="B19" s="34"/>
      <c r="C19" s="72">
        <f>+C18/SUM(C18:F18)</f>
        <v>0.3904606145940514</v>
      </c>
      <c r="D19" s="72">
        <f>+D18/SUM(C18:F18)</f>
        <v>0.06790716705477433</v>
      </c>
      <c r="E19" s="72">
        <f>+E18/SUM(C18:F18)</f>
        <v>0.5055291802805206</v>
      </c>
      <c r="F19" s="72">
        <f>+F18/SUM(C18:F18)</f>
        <v>0.03610303807065365</v>
      </c>
    </row>
    <row r="20" spans="1:6" ht="15">
      <c r="A20" s="34"/>
      <c r="B20" s="34"/>
      <c r="C20" s="72">
        <f>+C18/(SUM(C18:E18))</f>
        <v>0.40508542926881036</v>
      </c>
      <c r="D20" s="72">
        <f>+D18/(SUM(C18:E18))</f>
        <v>0.07045064953711506</v>
      </c>
      <c r="E20" s="72">
        <f>+E18/(SUM(C18:E18))</f>
        <v>0.5244639211940746</v>
      </c>
      <c r="F20" s="89"/>
    </row>
    <row r="21" spans="1:6" ht="25.5" customHeight="1">
      <c r="A21" s="34"/>
      <c r="B21" s="87">
        <f>+B18+1</f>
        <v>2005</v>
      </c>
      <c r="C21" s="165">
        <v>2027047</v>
      </c>
      <c r="D21" s="165">
        <v>239639</v>
      </c>
      <c r="E21" s="165">
        <v>2264360</v>
      </c>
      <c r="F21" s="165">
        <v>41000</v>
      </c>
    </row>
    <row r="22" spans="1:6" ht="15">
      <c r="A22" s="34"/>
      <c r="B22" s="34"/>
      <c r="C22" s="72">
        <f>+C21/SUM(C21:F21)</f>
        <v>0.44335665039240635</v>
      </c>
      <c r="D22" s="72">
        <f>+D21/SUM(C21:F21)</f>
        <v>0.05241395209059577</v>
      </c>
      <c r="E22" s="72">
        <f>+E21/SUM(C21:F21)</f>
        <v>0.49526185869521</v>
      </c>
      <c r="F22" s="72">
        <f>+F21/SUM(C21:F21)</f>
        <v>0.008967538821787883</v>
      </c>
    </row>
    <row r="23" spans="1:6" ht="15">
      <c r="A23" s="34"/>
      <c r="B23" s="34"/>
      <c r="C23" s="72">
        <f>+C21/(SUM(C21:E21))</f>
        <v>0.4473684442841675</v>
      </c>
      <c r="D23" s="72">
        <f>+D21/(SUM(C21:E21))</f>
        <v>0.052888229340421616</v>
      </c>
      <c r="E23" s="72">
        <f>+E21/(SUM(C21:E21))</f>
        <v>0.4997433263754109</v>
      </c>
      <c r="F23" s="89"/>
    </row>
    <row r="24" spans="1:6" ht="25.5" customHeight="1">
      <c r="A24" s="34"/>
      <c r="B24" s="87">
        <f>+B21+1</f>
        <v>2006</v>
      </c>
      <c r="C24" s="165">
        <v>2116029</v>
      </c>
      <c r="D24" s="165">
        <v>39639</v>
      </c>
      <c r="E24" s="165">
        <v>2733360</v>
      </c>
      <c r="F24" s="165">
        <v>328055</v>
      </c>
    </row>
    <row r="25" spans="1:6" ht="15">
      <c r="A25" s="34"/>
      <c r="B25" s="34"/>
      <c r="C25" s="72">
        <f>+C24/SUM(C24:F24)</f>
        <v>0.4055961923549999</v>
      </c>
      <c r="D25" s="72">
        <f>+D24/SUM(C24:F24)</f>
        <v>0.007597923973990829</v>
      </c>
      <c r="E25" s="72">
        <f>+E24/SUM(C24:F24)</f>
        <v>0.5239249595990709</v>
      </c>
      <c r="F25" s="72">
        <f>+F24/SUM(C24:F24)</f>
        <v>0.06288092407193828</v>
      </c>
    </row>
    <row r="26" spans="1:6" ht="15">
      <c r="A26" s="34"/>
      <c r="B26" s="34"/>
      <c r="C26" s="72">
        <f>+C24/(SUM(C24:E24))</f>
        <v>0.4328117981733792</v>
      </c>
      <c r="D26" s="72">
        <f>+D24/(SUM(C24:E24))</f>
        <v>0.008107746570483949</v>
      </c>
      <c r="E26" s="72">
        <f>+E24/(SUM(C24:E24))</f>
        <v>0.5590804552561368</v>
      </c>
      <c r="F26" s="89"/>
    </row>
    <row r="27" spans="1:6" ht="25.5" customHeight="1">
      <c r="A27" s="34"/>
      <c r="B27" s="87">
        <v>2007</v>
      </c>
      <c r="C27" s="165">
        <v>2521954</v>
      </c>
      <c r="D27" s="165">
        <v>1889</v>
      </c>
      <c r="E27" s="165">
        <v>2858360</v>
      </c>
      <c r="F27" s="165">
        <v>260486</v>
      </c>
    </row>
    <row r="28" spans="1:6" ht="15">
      <c r="A28" s="34"/>
      <c r="B28" s="34"/>
      <c r="C28" s="72">
        <f>+C27/SUM(C27:F27)</f>
        <v>0.4469418746983929</v>
      </c>
      <c r="D28" s="72">
        <f>+D27/SUM(C27:F27)</f>
        <v>0.00033476946895354327</v>
      </c>
      <c r="E28" s="72">
        <f>+E27/SUM(C27:F27)</f>
        <v>0.5065599043293012</v>
      </c>
      <c r="F28" s="72">
        <f>+F27/SUM(C27:F27)</f>
        <v>0.04616345150335239</v>
      </c>
    </row>
    <row r="29" spans="1:6" ht="15">
      <c r="A29" s="34"/>
      <c r="B29" s="34"/>
      <c r="C29" s="72">
        <f>+C27/(SUM(C27:E27))</f>
        <v>0.4685728130284198</v>
      </c>
      <c r="D29" s="72">
        <f>+D27/(SUM(C27:E27))</f>
        <v>0.0003509715259718</v>
      </c>
      <c r="E29" s="72">
        <f>+E27/(SUM(C27:E27))</f>
        <v>0.5310762154456085</v>
      </c>
      <c r="F29" s="89"/>
    </row>
    <row r="30" spans="1:6" ht="15">
      <c r="A30" s="34"/>
      <c r="B30" s="34"/>
      <c r="C30" s="34"/>
      <c r="D30" s="34"/>
      <c r="E30" s="34"/>
      <c r="F30" s="34"/>
    </row>
    <row r="31" spans="1:6" ht="15">
      <c r="A31" s="34"/>
      <c r="B31" s="90"/>
      <c r="C31" s="90"/>
      <c r="D31" s="90"/>
      <c r="E31" s="90"/>
      <c r="F31" s="90"/>
    </row>
    <row r="32" spans="1:6" ht="15">
      <c r="A32" s="34"/>
      <c r="B32" s="34"/>
      <c r="C32" s="34"/>
      <c r="D32" s="34"/>
      <c r="E32" s="34"/>
      <c r="F32" s="34"/>
    </row>
    <row r="33" spans="1:6" ht="15">
      <c r="A33" s="34"/>
      <c r="B33" s="34" t="str">
        <f>+'Sch 5, p1'!B34</f>
        <v>Note:  Percentages may not total 100.0% due to rounding.</v>
      </c>
      <c r="C33" s="34"/>
      <c r="D33" s="34"/>
      <c r="E33" s="34"/>
      <c r="F33" s="34"/>
    </row>
    <row r="35" ht="15">
      <c r="B35" s="34" t="str">
        <f>+'Sch 5, p1'!B37</f>
        <v>Source:  Response to WUTC Staff Data Request No. 145.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B15" sqref="B15:F15"/>
    </sheetView>
  </sheetViews>
  <sheetFormatPr defaultColWidth="8.88671875" defaultRowHeight="15"/>
  <cols>
    <col min="5" max="5" width="10.77734375" style="0" customWidth="1"/>
    <col min="6" max="6" width="16.5546875" style="0" bestFit="1" customWidth="1"/>
    <col min="7" max="7" width="1.99609375" style="0" customWidth="1"/>
  </cols>
  <sheetData>
    <row r="1" ht="15.75">
      <c r="F1" s="44" t="str">
        <f>+'Sch 5, p 2'!F1</f>
        <v>Exhibit___(DCP-2)</v>
      </c>
    </row>
    <row r="2" ht="15.75">
      <c r="F2" s="44" t="s">
        <v>214</v>
      </c>
    </row>
    <row r="5" spans="2:7" ht="18">
      <c r="B5" s="258" t="s">
        <v>325</v>
      </c>
      <c r="C5" s="258"/>
      <c r="D5" s="258"/>
      <c r="E5" s="258"/>
      <c r="F5" s="258"/>
      <c r="G5" s="189"/>
    </row>
    <row r="6" spans="2:7" ht="18">
      <c r="B6" s="258" t="s">
        <v>326</v>
      </c>
      <c r="C6" s="258"/>
      <c r="D6" s="258"/>
      <c r="E6" s="258"/>
      <c r="F6" s="258"/>
      <c r="G6" s="189"/>
    </row>
    <row r="7" spans="2:7" ht="18">
      <c r="B7" s="258" t="s">
        <v>327</v>
      </c>
      <c r="C7" s="258"/>
      <c r="D7" s="258"/>
      <c r="E7" s="258"/>
      <c r="F7" s="258"/>
      <c r="G7" s="189"/>
    </row>
    <row r="8" spans="2:7" ht="15.75" thickBot="1">
      <c r="B8" s="45"/>
      <c r="C8" s="45"/>
      <c r="D8" s="45"/>
      <c r="E8" s="45"/>
      <c r="F8" s="45"/>
      <c r="G8" s="45"/>
    </row>
    <row r="9" spans="2:7" ht="15.75" thickTop="1">
      <c r="B9" s="190"/>
      <c r="C9" s="190"/>
      <c r="D9" s="190"/>
      <c r="E9" s="190"/>
      <c r="F9" s="191"/>
      <c r="G9" s="190"/>
    </row>
    <row r="10" spans="2:8" ht="15">
      <c r="B10" s="45"/>
      <c r="C10" s="45"/>
      <c r="D10" s="45"/>
      <c r="E10" s="45"/>
      <c r="F10" s="130" t="s">
        <v>328</v>
      </c>
      <c r="G10" s="45"/>
      <c r="H10" s="45"/>
    </row>
    <row r="11" spans="2:8" ht="15">
      <c r="B11" s="45"/>
      <c r="C11" s="45"/>
      <c r="D11" s="45"/>
      <c r="E11" s="45"/>
      <c r="F11" s="130" t="s">
        <v>168</v>
      </c>
      <c r="G11" s="45"/>
      <c r="H11" s="45"/>
    </row>
    <row r="12" spans="2:8" ht="15">
      <c r="B12" s="130" t="s">
        <v>63</v>
      </c>
      <c r="C12" s="130"/>
      <c r="D12" s="45" t="s">
        <v>168</v>
      </c>
      <c r="E12" s="130"/>
      <c r="F12" s="130" t="s">
        <v>329</v>
      </c>
      <c r="G12" s="130"/>
      <c r="H12" s="45"/>
    </row>
    <row r="13" spans="2:8" ht="15.75" thickBot="1">
      <c r="B13" s="192"/>
      <c r="C13" s="192"/>
      <c r="D13" s="192"/>
      <c r="E13" s="192"/>
      <c r="F13" s="192"/>
      <c r="G13" s="192"/>
      <c r="H13" s="45"/>
    </row>
    <row r="14" spans="2:7" ht="15.75" thickTop="1">
      <c r="B14" s="130"/>
      <c r="C14" s="130"/>
      <c r="D14" s="130"/>
      <c r="E14" s="130"/>
      <c r="F14" s="130"/>
      <c r="G14" s="130"/>
    </row>
    <row r="15" spans="2:7" ht="15">
      <c r="B15" s="41"/>
      <c r="C15" s="41"/>
      <c r="D15" s="43"/>
      <c r="E15" s="43"/>
      <c r="F15" s="43"/>
      <c r="G15" s="41"/>
    </row>
    <row r="16" spans="2:7" ht="15">
      <c r="B16" s="41">
        <v>2003</v>
      </c>
      <c r="C16" s="41"/>
      <c r="D16" s="43">
        <v>0.42</v>
      </c>
      <c r="E16" s="43"/>
      <c r="F16" s="43">
        <v>0.38</v>
      </c>
      <c r="G16" s="41"/>
    </row>
    <row r="17" spans="2:7" ht="15">
      <c r="B17" s="41"/>
      <c r="C17" s="41"/>
      <c r="D17" s="43"/>
      <c r="E17" s="43"/>
      <c r="F17" s="43"/>
      <c r="G17" s="41"/>
    </row>
    <row r="18" spans="2:7" ht="15">
      <c r="B18" s="41">
        <v>2004</v>
      </c>
      <c r="C18" s="41"/>
      <c r="D18" s="43">
        <v>0.47</v>
      </c>
      <c r="E18" s="43"/>
      <c r="F18" s="43">
        <v>0.43</v>
      </c>
      <c r="G18" s="41"/>
    </row>
    <row r="19" spans="2:7" ht="15">
      <c r="B19" s="41"/>
      <c r="C19" s="41"/>
      <c r="D19" s="43"/>
      <c r="E19" s="43"/>
      <c r="F19" s="43"/>
      <c r="G19" s="41"/>
    </row>
    <row r="20" spans="2:7" ht="15">
      <c r="B20" s="41">
        <v>2005</v>
      </c>
      <c r="C20" s="41"/>
      <c r="D20" s="43">
        <v>0.44</v>
      </c>
      <c r="E20" s="43"/>
      <c r="F20" s="43">
        <v>0.47</v>
      </c>
      <c r="G20" s="41"/>
    </row>
    <row r="21" spans="2:7" ht="15">
      <c r="B21" s="41"/>
      <c r="C21" s="41"/>
      <c r="D21" s="43"/>
      <c r="E21" s="43"/>
      <c r="F21" s="43"/>
      <c r="G21" s="41"/>
    </row>
    <row r="22" spans="2:7" ht="15">
      <c r="B22" s="41">
        <v>2006</v>
      </c>
      <c r="C22" s="41"/>
      <c r="D22" s="43">
        <v>0.45</v>
      </c>
      <c r="E22" s="43"/>
      <c r="F22" s="43">
        <v>0.44</v>
      </c>
      <c r="G22" s="41"/>
    </row>
    <row r="23" spans="2:7" ht="15">
      <c r="B23" s="41"/>
      <c r="C23" s="41"/>
      <c r="D23" s="43"/>
      <c r="E23" s="43"/>
      <c r="F23" s="43"/>
      <c r="G23" s="41"/>
    </row>
    <row r="24" spans="2:7" ht="15">
      <c r="B24" s="41">
        <v>2007</v>
      </c>
      <c r="C24" s="41"/>
      <c r="D24" s="43">
        <v>0.47</v>
      </c>
      <c r="E24" s="43"/>
      <c r="F24" s="43">
        <v>0.46</v>
      </c>
      <c r="G24" s="41"/>
    </row>
    <row r="25" spans="2:7" ht="15">
      <c r="B25" s="113"/>
      <c r="C25" s="113"/>
      <c r="D25" s="113"/>
      <c r="E25" s="113"/>
      <c r="F25" s="113"/>
      <c r="G25" s="41"/>
    </row>
    <row r="26" spans="2:7" ht="15">
      <c r="B26" s="130"/>
      <c r="C26" s="130"/>
      <c r="D26" s="130"/>
      <c r="E26" s="130"/>
      <c r="F26" s="130"/>
      <c r="G26" s="41"/>
    </row>
    <row r="27" spans="2:7" ht="15">
      <c r="B27" s="135" t="s">
        <v>330</v>
      </c>
      <c r="C27" s="41"/>
      <c r="D27" s="41"/>
      <c r="E27" s="41"/>
      <c r="F27" s="41"/>
      <c r="G27" s="41"/>
    </row>
    <row r="28" spans="2:7" ht="15">
      <c r="B28" s="41"/>
      <c r="C28" s="41"/>
      <c r="D28" s="41"/>
      <c r="E28" s="41"/>
      <c r="F28" s="41"/>
      <c r="G28" s="41"/>
    </row>
    <row r="29" spans="2:7" ht="15">
      <c r="B29" s="135" t="s">
        <v>331</v>
      </c>
      <c r="C29" s="41"/>
      <c r="D29" s="41"/>
      <c r="E29" s="41"/>
      <c r="F29" s="41"/>
      <c r="G29" s="41"/>
    </row>
  </sheetData>
  <sheetProtection/>
  <mergeCells count="3">
    <mergeCell ref="B5:F5"/>
    <mergeCell ref="B6:F6"/>
    <mergeCell ref="B7:F7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25" sqref="A25:F25"/>
    </sheetView>
  </sheetViews>
  <sheetFormatPr defaultColWidth="8.88671875" defaultRowHeight="15"/>
  <cols>
    <col min="1" max="1" width="26.21484375" style="0" bestFit="1" customWidth="1"/>
    <col min="2" max="2" width="12.5546875" style="0" bestFit="1" customWidth="1"/>
    <col min="6" max="6" width="10.3359375" style="0" bestFit="1" customWidth="1"/>
  </cols>
  <sheetData>
    <row r="1" ht="15.75">
      <c r="F1" s="44" t="str">
        <f>+'Sch 6 '!F1</f>
        <v>Exhibit___(DCP-2)</v>
      </c>
    </row>
    <row r="2" ht="15.75">
      <c r="F2" s="44" t="s">
        <v>77</v>
      </c>
    </row>
    <row r="4" spans="1:6" ht="20.25">
      <c r="A4" s="243" t="s">
        <v>80</v>
      </c>
      <c r="B4" s="243"/>
      <c r="C4" s="243"/>
      <c r="D4" s="243"/>
      <c r="E4" s="243"/>
      <c r="F4" s="243"/>
    </row>
    <row r="5" spans="1:6" ht="20.25">
      <c r="A5" s="243" t="s">
        <v>178</v>
      </c>
      <c r="B5" s="243"/>
      <c r="C5" s="243"/>
      <c r="D5" s="243"/>
      <c r="E5" s="243"/>
      <c r="F5" s="243"/>
    </row>
    <row r="7" spans="1:6" ht="15">
      <c r="A7" s="46"/>
      <c r="B7" s="46"/>
      <c r="C7" s="46"/>
      <c r="D7" s="46"/>
      <c r="E7" s="46"/>
      <c r="F7" s="46"/>
    </row>
    <row r="8" spans="1:6" ht="15">
      <c r="A8" s="45"/>
      <c r="B8" s="45"/>
      <c r="C8" s="130" t="s">
        <v>169</v>
      </c>
      <c r="D8" s="130" t="s">
        <v>171</v>
      </c>
      <c r="E8" s="130" t="s">
        <v>58</v>
      </c>
      <c r="F8" s="130" t="s">
        <v>196</v>
      </c>
    </row>
    <row r="9" spans="2:6" ht="15">
      <c r="B9" s="41" t="s">
        <v>212</v>
      </c>
      <c r="C9" s="41" t="s">
        <v>170</v>
      </c>
      <c r="D9" s="41" t="s">
        <v>172</v>
      </c>
      <c r="E9" s="41" t="s">
        <v>201</v>
      </c>
      <c r="F9" s="41" t="s">
        <v>216</v>
      </c>
    </row>
    <row r="10" spans="1:6" ht="15">
      <c r="A10" s="46" t="s">
        <v>157</v>
      </c>
      <c r="B10" s="131" t="s">
        <v>167</v>
      </c>
      <c r="C10" s="113" t="s">
        <v>460</v>
      </c>
      <c r="D10" s="113" t="s">
        <v>461</v>
      </c>
      <c r="E10" s="113" t="s">
        <v>202</v>
      </c>
      <c r="F10" s="113" t="s">
        <v>173</v>
      </c>
    </row>
    <row r="11" spans="1:6" ht="15">
      <c r="A11" s="45"/>
      <c r="B11" s="45"/>
      <c r="C11" s="45"/>
      <c r="D11" s="45"/>
      <c r="E11" s="45"/>
      <c r="F11" s="45"/>
    </row>
    <row r="12" spans="1:12" ht="15.75">
      <c r="A12" s="44" t="s">
        <v>194</v>
      </c>
      <c r="B12" s="42">
        <v>3000000</v>
      </c>
      <c r="C12" s="43">
        <v>0.61</v>
      </c>
      <c r="D12" s="43">
        <v>0.44</v>
      </c>
      <c r="E12" s="75" t="s">
        <v>129</v>
      </c>
      <c r="F12" s="41" t="s">
        <v>359</v>
      </c>
      <c r="H12" s="42"/>
      <c r="I12" s="43"/>
      <c r="J12" s="43"/>
      <c r="K12" s="75"/>
      <c r="L12" s="41"/>
    </row>
    <row r="13" spans="2:6" ht="15">
      <c r="B13" s="42"/>
      <c r="C13" s="43"/>
      <c r="D13" s="43"/>
      <c r="E13" s="75"/>
      <c r="F13" s="41"/>
    </row>
    <row r="14" spans="1:6" ht="15.75">
      <c r="A14" s="44" t="s">
        <v>174</v>
      </c>
      <c r="B14" s="42"/>
      <c r="C14" s="43"/>
      <c r="D14" s="43"/>
      <c r="E14" s="75"/>
      <c r="F14" s="41"/>
    </row>
    <row r="15" spans="2:6" ht="15">
      <c r="B15" s="42"/>
      <c r="C15" s="43"/>
      <c r="D15" s="43"/>
      <c r="E15" s="75"/>
      <c r="F15" s="41"/>
    </row>
    <row r="16" spans="1:6" ht="15">
      <c r="A16" t="s">
        <v>242</v>
      </c>
      <c r="B16" s="42">
        <v>1200000</v>
      </c>
      <c r="C16" s="43">
        <v>0.5</v>
      </c>
      <c r="D16" s="43">
        <v>0.463</v>
      </c>
      <c r="E16" s="75" t="s">
        <v>129</v>
      </c>
      <c r="F16" s="41" t="s">
        <v>355</v>
      </c>
    </row>
    <row r="17" spans="1:6" ht="15">
      <c r="A17" t="s">
        <v>243</v>
      </c>
      <c r="B17" s="42">
        <v>700000</v>
      </c>
      <c r="C17" s="43">
        <v>0.91</v>
      </c>
      <c r="D17" s="43">
        <v>0.503</v>
      </c>
      <c r="E17" s="75" t="s">
        <v>129</v>
      </c>
      <c r="F17" s="41" t="s">
        <v>356</v>
      </c>
    </row>
    <row r="18" spans="1:6" ht="15">
      <c r="A18" t="s">
        <v>176</v>
      </c>
      <c r="B18" s="42">
        <v>2200000</v>
      </c>
      <c r="C18" s="43">
        <v>0.84</v>
      </c>
      <c r="D18" s="43">
        <v>0.486</v>
      </c>
      <c r="E18" s="75" t="s">
        <v>83</v>
      </c>
      <c r="F18" s="41" t="s">
        <v>358</v>
      </c>
    </row>
    <row r="19" spans="1:6" ht="15">
      <c r="A19" t="s">
        <v>341</v>
      </c>
      <c r="B19" s="42">
        <v>5900000</v>
      </c>
      <c r="C19" s="43">
        <v>0.58</v>
      </c>
      <c r="D19" s="43">
        <v>0.451</v>
      </c>
      <c r="E19" s="75" t="s">
        <v>129</v>
      </c>
      <c r="F19" s="41" t="s">
        <v>356</v>
      </c>
    </row>
    <row r="20" spans="1:6" ht="15">
      <c r="A20" t="s">
        <v>342</v>
      </c>
      <c r="B20" s="42">
        <v>4800000</v>
      </c>
      <c r="C20" s="43">
        <v>0.77</v>
      </c>
      <c r="D20" s="43">
        <v>0.516</v>
      </c>
      <c r="E20" s="75" t="s">
        <v>354</v>
      </c>
      <c r="F20" s="41" t="s">
        <v>357</v>
      </c>
    </row>
    <row r="21" spans="1:6" ht="15">
      <c r="A21" t="s">
        <v>195</v>
      </c>
      <c r="B21" s="42">
        <v>2500000</v>
      </c>
      <c r="C21" s="43">
        <v>0.79</v>
      </c>
      <c r="D21" s="43">
        <v>0.488</v>
      </c>
      <c r="E21" s="75" t="s">
        <v>83</v>
      </c>
      <c r="F21" s="41" t="s">
        <v>358</v>
      </c>
    </row>
    <row r="22" spans="1:6" ht="15">
      <c r="A22" t="s">
        <v>244</v>
      </c>
      <c r="B22" s="42">
        <v>2300000</v>
      </c>
      <c r="C22" s="43">
        <v>0.72</v>
      </c>
      <c r="D22" s="43">
        <v>0.493</v>
      </c>
      <c r="E22" s="75" t="s">
        <v>129</v>
      </c>
      <c r="F22" s="41" t="s">
        <v>357</v>
      </c>
    </row>
    <row r="23" spans="1:6" ht="15">
      <c r="A23" s="46"/>
      <c r="B23" s="48"/>
      <c r="C23" s="46"/>
      <c r="D23" s="46"/>
      <c r="E23" s="76"/>
      <c r="F23" s="46"/>
    </row>
    <row r="24" spans="1:6" ht="15">
      <c r="A24" s="45"/>
      <c r="B24" s="47"/>
      <c r="C24" s="45"/>
      <c r="D24" s="45"/>
      <c r="E24" s="77"/>
      <c r="F24" s="45"/>
    </row>
    <row r="25" spans="1:6" ht="63" customHeight="1">
      <c r="A25" s="259" t="s">
        <v>466</v>
      </c>
      <c r="B25" s="259"/>
      <c r="C25" s="259"/>
      <c r="D25" s="259"/>
      <c r="E25" s="259"/>
      <c r="F25" s="259"/>
    </row>
    <row r="26" spans="1:10" ht="15">
      <c r="A26" s="209"/>
      <c r="B26" s="211"/>
      <c r="C26" s="209"/>
      <c r="D26" s="209"/>
      <c r="E26" s="210"/>
      <c r="F26" s="209"/>
      <c r="J26" s="208"/>
    </row>
    <row r="28" ht="15">
      <c r="A28" t="s">
        <v>459</v>
      </c>
    </row>
  </sheetData>
  <sheetProtection/>
  <mergeCells count="3">
    <mergeCell ref="A4:F4"/>
    <mergeCell ref="A5:F5"/>
    <mergeCell ref="A25:F25"/>
  </mergeCells>
  <printOptions horizontalCentered="1"/>
  <pageMargins left="0.75" right="0.75" top="1" bottom="1" header="0.5" footer="0.5"/>
  <pageSetup fitToHeight="1" fitToWidth="1"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showOutlineSymbols="0" zoomScalePageLayoutView="0" workbookViewId="0" topLeftCell="A1">
      <selection activeCell="G87" sqref="G87"/>
    </sheetView>
  </sheetViews>
  <sheetFormatPr defaultColWidth="9.77734375" defaultRowHeight="15"/>
  <cols>
    <col min="1" max="1" width="23.77734375" style="23" customWidth="1"/>
    <col min="2" max="5" width="9.77734375" style="23" customWidth="1"/>
    <col min="6" max="6" width="2.77734375" style="23" customWidth="1"/>
    <col min="7" max="9" width="9.77734375" style="23" customWidth="1"/>
    <col min="10" max="10" width="9.77734375" style="23" hidden="1" customWidth="1"/>
    <col min="11" max="16384" width="9.77734375" style="23" customWidth="1"/>
  </cols>
  <sheetData>
    <row r="1" ht="15.75">
      <c r="E1" s="2" t="str">
        <f>+'Sch 5, p1'!F1</f>
        <v>Exhibit___(DCP-2)</v>
      </c>
    </row>
    <row r="2" ht="15.75">
      <c r="E2" s="2" t="s">
        <v>79</v>
      </c>
    </row>
    <row r="3" ht="15.75">
      <c r="E3" s="2" t="s">
        <v>162</v>
      </c>
    </row>
    <row r="4" ht="15.75">
      <c r="G4" s="2"/>
    </row>
    <row r="5" ht="15.75">
      <c r="G5" s="2"/>
    </row>
    <row r="6" spans="1:7" ht="20.25">
      <c r="A6" s="3" t="s">
        <v>80</v>
      </c>
      <c r="B6" s="3"/>
      <c r="C6" s="3"/>
      <c r="D6" s="3"/>
      <c r="E6" s="3"/>
      <c r="F6" s="3"/>
      <c r="G6" s="3"/>
    </row>
    <row r="7" spans="1:7" ht="20.25">
      <c r="A7" s="3" t="s">
        <v>86</v>
      </c>
      <c r="B7" s="3"/>
      <c r="C7" s="3"/>
      <c r="D7" s="3"/>
      <c r="E7" s="3"/>
      <c r="F7" s="3"/>
      <c r="G7" s="3"/>
    </row>
    <row r="10" spans="1:7" ht="15.75" thickTop="1">
      <c r="A10" s="24"/>
      <c r="B10" s="24"/>
      <c r="C10" s="24"/>
      <c r="D10" s="24"/>
      <c r="E10" s="24"/>
      <c r="F10" s="24"/>
      <c r="G10" s="24"/>
    </row>
    <row r="11" spans="3:5" ht="15">
      <c r="C11" s="73" t="s">
        <v>362</v>
      </c>
      <c r="D11" s="74"/>
      <c r="E11" s="74"/>
    </row>
    <row r="12" spans="1:7" ht="15">
      <c r="A12" s="8" t="s">
        <v>81</v>
      </c>
      <c r="B12" s="8" t="s">
        <v>88</v>
      </c>
      <c r="C12" s="51" t="s">
        <v>89</v>
      </c>
      <c r="D12" s="51" t="s">
        <v>90</v>
      </c>
      <c r="E12" s="51" t="s">
        <v>87</v>
      </c>
      <c r="F12" s="8"/>
      <c r="G12" s="8" t="s">
        <v>92</v>
      </c>
    </row>
    <row r="14" spans="1:7" ht="15.75" thickTop="1">
      <c r="A14" s="24"/>
      <c r="B14" s="24"/>
      <c r="C14" s="24"/>
      <c r="D14" s="24"/>
      <c r="E14" s="24"/>
      <c r="F14" s="24"/>
      <c r="G14" s="24"/>
    </row>
    <row r="16" ht="15.75">
      <c r="A16" s="33" t="s">
        <v>174</v>
      </c>
    </row>
    <row r="18" spans="1:10" ht="15">
      <c r="A18" s="23" t="str">
        <f>+'Sch 7'!A16</f>
        <v>Avista Corp</v>
      </c>
      <c r="B18" s="22">
        <f>0.165*4</f>
        <v>0.66</v>
      </c>
      <c r="C18" s="22">
        <v>21.73</v>
      </c>
      <c r="D18" s="22">
        <v>17.8</v>
      </c>
      <c r="E18" s="22">
        <f>AVERAGE(C18:D18)</f>
        <v>19.765</v>
      </c>
      <c r="G18" s="9">
        <f>B18/E18</f>
        <v>0.03339236023273463</v>
      </c>
      <c r="J18" s="23" t="s">
        <v>250</v>
      </c>
    </row>
    <row r="19" spans="1:10" ht="15">
      <c r="A19" s="23" t="str">
        <f>+'Sch 7'!A17</f>
        <v>Empire District Electric</v>
      </c>
      <c r="B19" s="22">
        <f>0.32*4</f>
        <v>1.28</v>
      </c>
      <c r="C19" s="22">
        <v>23.29</v>
      </c>
      <c r="D19" s="22">
        <v>19.33</v>
      </c>
      <c r="E19" s="22">
        <f aca="true" t="shared" si="0" ref="E19:E24">AVERAGE(C19:D19)</f>
        <v>21.31</v>
      </c>
      <c r="G19" s="9">
        <f aca="true" t="shared" si="1" ref="G19:G24">B19/E19</f>
        <v>0.060065696855936185</v>
      </c>
      <c r="J19" s="23" t="s">
        <v>251</v>
      </c>
    </row>
    <row r="20" spans="1:10" ht="15">
      <c r="A20" s="23" t="str">
        <f>+'Sch 7'!A18</f>
        <v>Hawaiian Electric Industries</v>
      </c>
      <c r="B20" s="22">
        <f>0.31*4</f>
        <v>1.24</v>
      </c>
      <c r="C20" s="22">
        <v>23.95</v>
      </c>
      <c r="D20" s="22">
        <v>20.95</v>
      </c>
      <c r="E20" s="22">
        <f t="shared" si="0"/>
        <v>22.45</v>
      </c>
      <c r="G20" s="9">
        <f t="shared" si="1"/>
        <v>0.055233853006681516</v>
      </c>
      <c r="J20" s="23" t="s">
        <v>252</v>
      </c>
    </row>
    <row r="21" spans="1:10" ht="15">
      <c r="A21" s="23" t="str">
        <f>+'Sch 7'!A19</f>
        <v>PEPCO Holdings</v>
      </c>
      <c r="B21" s="22">
        <f>0.27*4</f>
        <v>1.08</v>
      </c>
      <c r="C21" s="22">
        <v>29.64</v>
      </c>
      <c r="D21" s="22">
        <v>23.8</v>
      </c>
      <c r="E21" s="22">
        <f t="shared" si="0"/>
        <v>26.72</v>
      </c>
      <c r="G21" s="9">
        <f t="shared" si="1"/>
        <v>0.04041916167664671</v>
      </c>
      <c r="J21" s="23" t="s">
        <v>253</v>
      </c>
    </row>
    <row r="22" spans="1:10" ht="15">
      <c r="A22" s="23" t="str">
        <f>+'Sch 7'!A20</f>
        <v>Pinnacle West</v>
      </c>
      <c r="B22" s="22">
        <f>0.525*4</f>
        <v>2.1</v>
      </c>
      <c r="C22" s="22">
        <v>42.92</v>
      </c>
      <c r="D22" s="22">
        <v>34.08</v>
      </c>
      <c r="E22" s="22">
        <f t="shared" si="0"/>
        <v>38.5</v>
      </c>
      <c r="G22" s="9">
        <f t="shared" si="1"/>
        <v>0.05454545454545455</v>
      </c>
      <c r="J22" s="23" t="s">
        <v>254</v>
      </c>
    </row>
    <row r="23" spans="1:10" ht="15">
      <c r="A23" s="23" t="str">
        <f>+'Sch 7'!A21</f>
        <v>PNM Resources</v>
      </c>
      <c r="B23" s="22">
        <f>0.23*4</f>
        <v>0.92</v>
      </c>
      <c r="C23" s="22">
        <v>21.69</v>
      </c>
      <c r="D23" s="22">
        <v>8.95</v>
      </c>
      <c r="E23" s="22">
        <f t="shared" si="0"/>
        <v>15.32</v>
      </c>
      <c r="G23" s="9">
        <f t="shared" si="1"/>
        <v>0.06005221932114883</v>
      </c>
      <c r="J23" s="23" t="s">
        <v>255</v>
      </c>
    </row>
    <row r="24" spans="1:10" ht="15">
      <c r="A24" s="23" t="str">
        <f>+'Sch 7'!A22</f>
        <v>Westar Energy</v>
      </c>
      <c r="B24" s="22">
        <f>0.29*4</f>
        <v>1.16</v>
      </c>
      <c r="C24" s="22">
        <v>25.92</v>
      </c>
      <c r="D24" s="22">
        <v>21.75</v>
      </c>
      <c r="E24" s="22">
        <f t="shared" si="0"/>
        <v>23.835</v>
      </c>
      <c r="G24" s="9">
        <f t="shared" si="1"/>
        <v>0.04866792531990769</v>
      </c>
      <c r="J24" s="23" t="s">
        <v>257</v>
      </c>
    </row>
    <row r="25" spans="1:10" ht="15">
      <c r="A25" s="52"/>
      <c r="B25" s="53"/>
      <c r="C25" s="53"/>
      <c r="D25" s="53"/>
      <c r="E25" s="53"/>
      <c r="F25" s="52"/>
      <c r="G25" s="54"/>
      <c r="J25" s="23" t="s">
        <v>287</v>
      </c>
    </row>
    <row r="26" spans="2:10" ht="15">
      <c r="B26" s="22"/>
      <c r="C26" s="22"/>
      <c r="D26" s="22"/>
      <c r="E26" s="22"/>
      <c r="G26" s="9"/>
      <c r="J26" s="23" t="s">
        <v>287</v>
      </c>
    </row>
    <row r="27" spans="1:10" ht="15.75">
      <c r="A27" s="23" t="s">
        <v>95</v>
      </c>
      <c r="B27" s="22"/>
      <c r="C27" s="22"/>
      <c r="D27" s="22"/>
      <c r="E27" s="22"/>
      <c r="G27" s="32">
        <f>AVERAGE(G18:G24)</f>
        <v>0.05033952442264431</v>
      </c>
      <c r="J27" s="23" t="s">
        <v>287</v>
      </c>
    </row>
    <row r="28" spans="1:10" ht="15.75" thickBot="1">
      <c r="A28" s="55"/>
      <c r="B28" s="56"/>
      <c r="C28" s="56"/>
      <c r="D28" s="56"/>
      <c r="E28" s="56"/>
      <c r="F28" s="55"/>
      <c r="G28" s="57"/>
      <c r="J28" s="23" t="s">
        <v>287</v>
      </c>
    </row>
    <row r="29" spans="2:10" ht="15.75" thickTop="1">
      <c r="B29" s="22"/>
      <c r="C29" s="22"/>
      <c r="D29" s="22"/>
      <c r="E29" s="22"/>
      <c r="G29" s="9"/>
      <c r="J29" s="23" t="s">
        <v>287</v>
      </c>
    </row>
    <row r="30" spans="1:10" ht="15.75">
      <c r="A30" s="33" t="s">
        <v>343</v>
      </c>
      <c r="B30" s="22"/>
      <c r="C30" s="22"/>
      <c r="D30" s="22"/>
      <c r="E30" s="22"/>
      <c r="G30" s="9"/>
      <c r="J30" s="23" t="s">
        <v>287</v>
      </c>
    </row>
    <row r="31" spans="1:10" ht="15.75">
      <c r="A31" s="33" t="s">
        <v>217</v>
      </c>
      <c r="B31" s="22"/>
      <c r="C31" s="22"/>
      <c r="D31" s="22"/>
      <c r="E31" s="22"/>
      <c r="G31" s="9"/>
      <c r="J31" s="23" t="s">
        <v>287</v>
      </c>
    </row>
    <row r="32" spans="2:10" ht="15">
      <c r="B32" s="22"/>
      <c r="C32" s="22"/>
      <c r="D32" s="22"/>
      <c r="E32" s="22"/>
      <c r="G32" s="9"/>
      <c r="J32" s="23" t="s">
        <v>287</v>
      </c>
    </row>
    <row r="33" spans="1:10" ht="15">
      <c r="A33" s="23" t="s">
        <v>241</v>
      </c>
      <c r="B33" s="22">
        <f>0.43*4</f>
        <v>1.72</v>
      </c>
      <c r="C33" s="22">
        <v>39.86</v>
      </c>
      <c r="D33" s="22">
        <v>33.76</v>
      </c>
      <c r="E33" s="22">
        <f aca="true" t="shared" si="2" ref="E33:E57">AVERAGE(C33:D33)</f>
        <v>36.81</v>
      </c>
      <c r="G33" s="9">
        <f aca="true" t="shared" si="3" ref="G33:G57">B33/E33</f>
        <v>0.04672643303450149</v>
      </c>
      <c r="J33" s="23" t="s">
        <v>258</v>
      </c>
    </row>
    <row r="34" spans="1:10" ht="15">
      <c r="A34" s="23" t="s">
        <v>187</v>
      </c>
      <c r="B34" s="22">
        <f>0.35*4</f>
        <v>1.4</v>
      </c>
      <c r="C34" s="22">
        <v>42.37</v>
      </c>
      <c r="D34" s="22">
        <v>34</v>
      </c>
      <c r="E34" s="22">
        <f t="shared" si="2"/>
        <v>38.185</v>
      </c>
      <c r="G34" s="9">
        <f t="shared" si="3"/>
        <v>0.036663611365719516</v>
      </c>
      <c r="J34" s="23" t="s">
        <v>259</v>
      </c>
    </row>
    <row r="35" spans="1:10" ht="15">
      <c r="A35" s="23" t="s">
        <v>182</v>
      </c>
      <c r="B35" s="22">
        <f>0.41*4</f>
        <v>1.64</v>
      </c>
      <c r="C35" s="22">
        <v>49.11</v>
      </c>
      <c r="D35" s="22">
        <v>39.35</v>
      </c>
      <c r="E35" s="22">
        <f t="shared" si="2"/>
        <v>44.230000000000004</v>
      </c>
      <c r="G35" s="9">
        <f t="shared" si="3"/>
        <v>0.037078905720099475</v>
      </c>
      <c r="J35" s="23" t="s">
        <v>261</v>
      </c>
    </row>
    <row r="36" spans="1:10" ht="15">
      <c r="A36" s="23" t="s">
        <v>218</v>
      </c>
      <c r="B36" s="22">
        <f>0.635*4</f>
        <v>2.54</v>
      </c>
      <c r="C36" s="22">
        <v>54.29</v>
      </c>
      <c r="D36" s="22">
        <v>40.92</v>
      </c>
      <c r="E36" s="22">
        <f t="shared" si="2"/>
        <v>47.605000000000004</v>
      </c>
      <c r="G36" s="9">
        <f t="shared" si="3"/>
        <v>0.05335573994328326</v>
      </c>
      <c r="J36" s="23" t="s">
        <v>260</v>
      </c>
    </row>
    <row r="37" spans="1:10" ht="15">
      <c r="A37" s="23" t="s">
        <v>175</v>
      </c>
      <c r="B37" s="22">
        <f>0.225*4</f>
        <v>0.9</v>
      </c>
      <c r="C37" s="22">
        <v>28.37</v>
      </c>
      <c r="D37" s="22">
        <v>21.01</v>
      </c>
      <c r="E37" s="22">
        <f t="shared" si="2"/>
        <v>24.69</v>
      </c>
      <c r="G37" s="9">
        <f t="shared" si="3"/>
        <v>0.03645200486026731</v>
      </c>
      <c r="J37" s="23" t="s">
        <v>262</v>
      </c>
    </row>
    <row r="38" spans="1:10" ht="15">
      <c r="A38" s="23" t="s">
        <v>188</v>
      </c>
      <c r="B38" s="22">
        <f>0.53*4</f>
        <v>2.12</v>
      </c>
      <c r="C38" s="22">
        <v>45.34</v>
      </c>
      <c r="D38" s="22">
        <v>37.87</v>
      </c>
      <c r="E38" s="22">
        <f t="shared" si="2"/>
        <v>41.605000000000004</v>
      </c>
      <c r="G38" s="9">
        <f t="shared" si="3"/>
        <v>0.05095541401273885</v>
      </c>
      <c r="J38" s="23" t="s">
        <v>263</v>
      </c>
    </row>
    <row r="39" spans="1:10" ht="15">
      <c r="A39" s="23" t="s">
        <v>190</v>
      </c>
      <c r="B39" s="22">
        <f>0.305*4</f>
        <v>1.22</v>
      </c>
      <c r="C39" s="22">
        <v>55.7</v>
      </c>
      <c r="D39" s="22">
        <v>46.81</v>
      </c>
      <c r="E39" s="22">
        <f t="shared" si="2"/>
        <v>51.255</v>
      </c>
      <c r="G39" s="9">
        <f t="shared" si="3"/>
        <v>0.02380255584820993</v>
      </c>
      <c r="J39" s="23" t="s">
        <v>245</v>
      </c>
    </row>
    <row r="40" spans="1:10" ht="15">
      <c r="A40" s="34" t="str">
        <f>+A19</f>
        <v>Empire District Electric</v>
      </c>
      <c r="B40" s="22">
        <f>+B19</f>
        <v>1.28</v>
      </c>
      <c r="C40" s="22">
        <f>+C19</f>
        <v>23.29</v>
      </c>
      <c r="D40" s="22">
        <f>+D19</f>
        <v>19.33</v>
      </c>
      <c r="E40" s="22">
        <f t="shared" si="2"/>
        <v>21.31</v>
      </c>
      <c r="G40" s="9">
        <f t="shared" si="3"/>
        <v>0.060065696855936185</v>
      </c>
      <c r="J40" s="23" t="s">
        <v>264</v>
      </c>
    </row>
    <row r="41" spans="1:10" ht="15">
      <c r="A41" s="23" t="s">
        <v>246</v>
      </c>
      <c r="B41" s="22">
        <f>0.31*4</f>
        <v>1.24</v>
      </c>
      <c r="C41" s="22">
        <v>27.66</v>
      </c>
      <c r="D41" s="22">
        <v>23.69</v>
      </c>
      <c r="E41" s="22">
        <f t="shared" si="2"/>
        <v>25.675</v>
      </c>
      <c r="G41" s="9">
        <f t="shared" si="3"/>
        <v>0.04829600778967867</v>
      </c>
      <c r="J41" s="23" t="s">
        <v>265</v>
      </c>
    </row>
    <row r="42" spans="1:10" ht="15">
      <c r="A42" s="23" t="s">
        <v>247</v>
      </c>
      <c r="B42" s="22">
        <f>0.75*4</f>
        <v>3</v>
      </c>
      <c r="C42" s="22">
        <v>127.48</v>
      </c>
      <c r="D42" s="22">
        <v>99.45</v>
      </c>
      <c r="E42" s="22">
        <f t="shared" si="2"/>
        <v>113.465</v>
      </c>
      <c r="G42" s="9">
        <f t="shared" si="3"/>
        <v>0.026439871325959548</v>
      </c>
      <c r="J42" s="23" t="s">
        <v>251</v>
      </c>
    </row>
    <row r="43" spans="1:10" ht="15">
      <c r="A43" s="23" t="s">
        <v>344</v>
      </c>
      <c r="B43" s="22">
        <f>0.55*4</f>
        <v>2.2</v>
      </c>
      <c r="C43" s="22">
        <v>78.51</v>
      </c>
      <c r="D43" s="22">
        <v>64.44</v>
      </c>
      <c r="E43" s="22">
        <f t="shared" si="2"/>
        <v>71.475</v>
      </c>
      <c r="G43" s="9">
        <f t="shared" si="3"/>
        <v>0.03077999300454705</v>
      </c>
      <c r="J43" s="23" t="s">
        <v>266</v>
      </c>
    </row>
    <row r="44" spans="1:10" ht="15">
      <c r="A44" s="23" t="s">
        <v>248</v>
      </c>
      <c r="B44" s="22">
        <f>0.445*4</f>
        <v>1.78</v>
      </c>
      <c r="C44" s="22">
        <v>73.75</v>
      </c>
      <c r="D44" s="22">
        <v>57.21</v>
      </c>
      <c r="E44" s="22">
        <f t="shared" si="2"/>
        <v>65.48</v>
      </c>
      <c r="G44" s="9">
        <f t="shared" si="3"/>
        <v>0.02718387293830177</v>
      </c>
      <c r="J44" s="23" t="s">
        <v>267</v>
      </c>
    </row>
    <row r="45" spans="1:10" ht="15">
      <c r="A45" s="34" t="str">
        <f>+A20</f>
        <v>Hawaiian Electric Industries</v>
      </c>
      <c r="B45" s="22">
        <f>+B20</f>
        <v>1.24</v>
      </c>
      <c r="C45" s="22">
        <f>+C20</f>
        <v>23.95</v>
      </c>
      <c r="D45" s="22">
        <f>+D20</f>
        <v>20.95</v>
      </c>
      <c r="E45" s="22">
        <f t="shared" si="2"/>
        <v>22.45</v>
      </c>
      <c r="G45" s="9">
        <f t="shared" si="3"/>
        <v>0.055233853006681516</v>
      </c>
      <c r="J45" s="23" t="s">
        <v>268</v>
      </c>
    </row>
    <row r="46" spans="1:10" ht="15">
      <c r="A46" s="23" t="s">
        <v>191</v>
      </c>
      <c r="B46" s="22">
        <f>0.3*4</f>
        <v>1.2</v>
      </c>
      <c r="C46" s="22">
        <v>35.11</v>
      </c>
      <c r="D46" s="22">
        <v>28.74</v>
      </c>
      <c r="E46" s="22">
        <f t="shared" si="2"/>
        <v>31.924999999999997</v>
      </c>
      <c r="G46" s="9">
        <f t="shared" si="3"/>
        <v>0.037588097102584185</v>
      </c>
      <c r="J46" s="23" t="s">
        <v>252</v>
      </c>
    </row>
    <row r="47" spans="1:7" ht="15">
      <c r="A47" s="23" t="s">
        <v>456</v>
      </c>
      <c r="B47" s="22">
        <f>0.355*4</f>
        <v>1.42</v>
      </c>
      <c r="C47" s="22">
        <v>36</v>
      </c>
      <c r="D47" s="22">
        <v>29.85</v>
      </c>
      <c r="E47" s="22">
        <f t="shared" si="2"/>
        <v>32.925</v>
      </c>
      <c r="G47" s="9">
        <f t="shared" si="3"/>
        <v>0.04312832194381169</v>
      </c>
    </row>
    <row r="48" spans="1:10" ht="15">
      <c r="A48" s="23" t="s">
        <v>184</v>
      </c>
      <c r="B48" s="22">
        <f>0.2*4</f>
        <v>0.8</v>
      </c>
      <c r="C48" s="22">
        <v>31.62</v>
      </c>
      <c r="D48" s="22">
        <v>23.96</v>
      </c>
      <c r="E48" s="22">
        <f t="shared" si="2"/>
        <v>27.79</v>
      </c>
      <c r="G48" s="9">
        <f t="shared" si="3"/>
        <v>0.028787333573227783</v>
      </c>
      <c r="J48" s="23" t="s">
        <v>269</v>
      </c>
    </row>
    <row r="49" spans="1:10" ht="15">
      <c r="A49" s="23" t="s">
        <v>234</v>
      </c>
      <c r="B49" s="22">
        <f>0.39*4</f>
        <v>1.56</v>
      </c>
      <c r="C49" s="22">
        <v>45.68</v>
      </c>
      <c r="D49" s="22">
        <v>36.26</v>
      </c>
      <c r="E49" s="22">
        <f t="shared" si="2"/>
        <v>40.97</v>
      </c>
      <c r="G49" s="9">
        <f t="shared" si="3"/>
        <v>0.03807664144495973</v>
      </c>
      <c r="J49" s="23" t="s">
        <v>253</v>
      </c>
    </row>
    <row r="50" spans="1:10" ht="15">
      <c r="A50" s="34" t="str">
        <f aca="true" t="shared" si="4" ref="A50:D51">+A22</f>
        <v>Pinnacle West</v>
      </c>
      <c r="B50" s="22">
        <f t="shared" si="4"/>
        <v>2.1</v>
      </c>
      <c r="C50" s="22">
        <f t="shared" si="4"/>
        <v>42.92</v>
      </c>
      <c r="D50" s="22">
        <f t="shared" si="4"/>
        <v>34.08</v>
      </c>
      <c r="E50" s="22">
        <f t="shared" si="2"/>
        <v>38.5</v>
      </c>
      <c r="G50" s="9">
        <f t="shared" si="3"/>
        <v>0.05454545454545455</v>
      </c>
      <c r="J50" s="23" t="s">
        <v>270</v>
      </c>
    </row>
    <row r="51" spans="1:10" ht="15">
      <c r="A51" s="34" t="str">
        <f t="shared" si="4"/>
        <v>PNM Resources</v>
      </c>
      <c r="B51" s="22">
        <f t="shared" si="4"/>
        <v>0.92</v>
      </c>
      <c r="C51" s="22">
        <f t="shared" si="4"/>
        <v>21.69</v>
      </c>
      <c r="D51" s="22">
        <f t="shared" si="4"/>
        <v>8.95</v>
      </c>
      <c r="E51" s="22">
        <f t="shared" si="2"/>
        <v>15.32</v>
      </c>
      <c r="G51" s="9">
        <f t="shared" si="3"/>
        <v>0.06005221932114883</v>
      </c>
      <c r="J51" s="23" t="s">
        <v>271</v>
      </c>
    </row>
    <row r="52" spans="1:10" ht="15">
      <c r="A52" s="23" t="s">
        <v>193</v>
      </c>
      <c r="B52" s="22">
        <f>0.615*4</f>
        <v>2.46</v>
      </c>
      <c r="C52" s="22">
        <v>49.16</v>
      </c>
      <c r="D52" s="22">
        <v>40.54</v>
      </c>
      <c r="E52" s="22">
        <f t="shared" si="2"/>
        <v>44.849999999999994</v>
      </c>
      <c r="G52" s="9">
        <f t="shared" si="3"/>
        <v>0.054849498327759205</v>
      </c>
      <c r="J52" s="23" t="s">
        <v>254</v>
      </c>
    </row>
    <row r="53" spans="1:10" ht="15">
      <c r="A53" s="23" t="s">
        <v>194</v>
      </c>
      <c r="B53" s="22">
        <f>0.25*4</f>
        <v>1</v>
      </c>
      <c r="C53" s="22">
        <v>27.74</v>
      </c>
      <c r="D53" s="22">
        <v>25.06</v>
      </c>
      <c r="E53" s="22">
        <f t="shared" si="2"/>
        <v>26.4</v>
      </c>
      <c r="G53" s="9">
        <f t="shared" si="3"/>
        <v>0.03787878787878788</v>
      </c>
      <c r="J53" s="23" t="s">
        <v>272</v>
      </c>
    </row>
    <row r="54" spans="1:10" ht="15">
      <c r="A54" s="23" t="s">
        <v>185</v>
      </c>
      <c r="B54" s="22">
        <f>0.403*4</f>
        <v>1.612</v>
      </c>
      <c r="C54" s="22">
        <v>40.6</v>
      </c>
      <c r="D54" s="22">
        <v>33.71</v>
      </c>
      <c r="E54" s="22">
        <f t="shared" si="2"/>
        <v>37.155</v>
      </c>
      <c r="G54" s="9">
        <f t="shared" si="3"/>
        <v>0.043385816175481096</v>
      </c>
      <c r="J54" s="23" t="s">
        <v>273</v>
      </c>
    </row>
    <row r="55" spans="1:10" ht="15">
      <c r="A55" s="23" t="s">
        <v>186</v>
      </c>
      <c r="B55" s="22">
        <f>0.195*4</f>
        <v>0.78</v>
      </c>
      <c r="C55" s="22">
        <v>17.75</v>
      </c>
      <c r="D55" s="22">
        <v>14.48</v>
      </c>
      <c r="E55" s="22">
        <f t="shared" si="2"/>
        <v>16.115000000000002</v>
      </c>
      <c r="G55" s="9">
        <f t="shared" si="3"/>
        <v>0.04840210983555693</v>
      </c>
      <c r="J55" s="23" t="s">
        <v>255</v>
      </c>
    </row>
    <row r="56" spans="1:10" ht="15">
      <c r="A56" s="23" t="s">
        <v>189</v>
      </c>
      <c r="B56" s="22">
        <f>0.27*4</f>
        <v>1.08</v>
      </c>
      <c r="C56" s="22">
        <v>49.61</v>
      </c>
      <c r="D56" s="22">
        <v>42</v>
      </c>
      <c r="E56" s="22">
        <f t="shared" si="2"/>
        <v>45.805</v>
      </c>
      <c r="G56" s="9">
        <f t="shared" si="3"/>
        <v>0.023578211985591093</v>
      </c>
      <c r="J56" s="23" t="s">
        <v>274</v>
      </c>
    </row>
    <row r="57" spans="1:10" ht="15">
      <c r="A57" s="23" t="s">
        <v>219</v>
      </c>
      <c r="B57" s="22">
        <f>0.23*4</f>
        <v>0.92</v>
      </c>
      <c r="C57" s="22">
        <v>22.9</v>
      </c>
      <c r="D57" s="22">
        <v>19.39</v>
      </c>
      <c r="E57" s="22">
        <f t="shared" si="2"/>
        <v>21.145</v>
      </c>
      <c r="G57" s="9">
        <f t="shared" si="3"/>
        <v>0.04350910380704658</v>
      </c>
      <c r="J57" s="23" t="s">
        <v>256</v>
      </c>
    </row>
    <row r="58" spans="1:10" ht="15">
      <c r="A58" s="52"/>
      <c r="B58" s="53"/>
      <c r="C58" s="53"/>
      <c r="D58" s="53"/>
      <c r="E58" s="53"/>
      <c r="F58" s="52"/>
      <c r="G58" s="54"/>
      <c r="J58" s="23" t="s">
        <v>287</v>
      </c>
    </row>
    <row r="59" spans="2:10" ht="15">
      <c r="B59" s="22"/>
      <c r="C59" s="22"/>
      <c r="D59" s="22"/>
      <c r="E59" s="22"/>
      <c r="G59" s="9"/>
      <c r="J59" s="23" t="s">
        <v>287</v>
      </c>
    </row>
    <row r="60" spans="1:10" ht="15.75">
      <c r="A60" s="23" t="s">
        <v>95</v>
      </c>
      <c r="B60" s="22"/>
      <c r="C60" s="22"/>
      <c r="D60" s="22"/>
      <c r="E60" s="22"/>
      <c r="G60" s="32">
        <f>AVERAGE(G33:G57)</f>
        <v>0.04187262222589336</v>
      </c>
      <c r="J60" s="23" t="s">
        <v>287</v>
      </c>
    </row>
    <row r="61" spans="1:10" ht="15.75" thickBot="1">
      <c r="A61" s="55"/>
      <c r="B61" s="56"/>
      <c r="C61" s="56"/>
      <c r="D61" s="56"/>
      <c r="E61" s="56"/>
      <c r="F61" s="55"/>
      <c r="G61" s="57"/>
      <c r="J61" s="23" t="s">
        <v>287</v>
      </c>
    </row>
    <row r="62" spans="2:10" ht="15.75" thickTop="1">
      <c r="B62" s="22"/>
      <c r="C62" s="22"/>
      <c r="D62" s="22"/>
      <c r="E62" s="22"/>
      <c r="G62" s="9"/>
      <c r="J62" s="23" t="s">
        <v>287</v>
      </c>
    </row>
    <row r="63" spans="1:10" ht="15.75">
      <c r="A63" s="33" t="s">
        <v>235</v>
      </c>
      <c r="B63" s="22"/>
      <c r="C63" s="22"/>
      <c r="D63" s="22"/>
      <c r="E63" s="22"/>
      <c r="G63" s="9"/>
      <c r="J63" s="23" t="s">
        <v>287</v>
      </c>
    </row>
    <row r="64" spans="2:10" ht="15">
      <c r="B64" s="22"/>
      <c r="C64" s="22"/>
      <c r="D64" s="22"/>
      <c r="E64" s="22"/>
      <c r="G64" s="9"/>
      <c r="J64" s="23" t="s">
        <v>287</v>
      </c>
    </row>
    <row r="65" spans="1:10" ht="15">
      <c r="A65" s="34" t="str">
        <f>+A35</f>
        <v>American Electric Power</v>
      </c>
      <c r="B65" s="239">
        <f>+B35</f>
        <v>1.64</v>
      </c>
      <c r="C65" s="22">
        <f>+C35</f>
        <v>49.11</v>
      </c>
      <c r="D65" s="22">
        <f>+D35</f>
        <v>39.35</v>
      </c>
      <c r="E65" s="22">
        <f aca="true" t="shared" si="5" ref="E65:E83">AVERAGE(C65:D65)</f>
        <v>44.230000000000004</v>
      </c>
      <c r="G65" s="9">
        <f aca="true" t="shared" si="6" ref="G65:G83">B65/E65</f>
        <v>0.037078905720099475</v>
      </c>
      <c r="J65" s="23" t="s">
        <v>287</v>
      </c>
    </row>
    <row r="66" spans="1:10" ht="15">
      <c r="A66" s="23" t="s">
        <v>232</v>
      </c>
      <c r="B66" s="22">
        <f>0.54*4</f>
        <v>2.16</v>
      </c>
      <c r="C66" s="22">
        <v>45.38</v>
      </c>
      <c r="D66" s="22">
        <v>34.53</v>
      </c>
      <c r="E66" s="22">
        <f t="shared" si="5"/>
        <v>39.955</v>
      </c>
      <c r="G66" s="9">
        <f t="shared" si="6"/>
        <v>0.05406081842072332</v>
      </c>
      <c r="J66" s="23" t="s">
        <v>275</v>
      </c>
    </row>
    <row r="67" spans="1:10" ht="15">
      <c r="A67" s="23" t="s">
        <v>233</v>
      </c>
      <c r="B67" s="22">
        <f>0.585*4</f>
        <v>2.34</v>
      </c>
      <c r="C67" s="22">
        <v>49.3</v>
      </c>
      <c r="D67" s="22">
        <v>39.3</v>
      </c>
      <c r="E67" s="22">
        <f t="shared" si="5"/>
        <v>44.3</v>
      </c>
      <c r="G67" s="9">
        <f t="shared" si="6"/>
        <v>0.05282167042889391</v>
      </c>
      <c r="J67" s="23" t="s">
        <v>276</v>
      </c>
    </row>
    <row r="68" spans="1:10" ht="15">
      <c r="A68" s="23" t="s">
        <v>236</v>
      </c>
      <c r="B68" s="22">
        <f>0.478*4</f>
        <v>1.912</v>
      </c>
      <c r="C68" s="22">
        <v>107.97</v>
      </c>
      <c r="D68" s="22">
        <v>81.94</v>
      </c>
      <c r="E68" s="22">
        <f t="shared" si="5"/>
        <v>94.955</v>
      </c>
      <c r="G68" s="9">
        <f t="shared" si="6"/>
        <v>0.020135853825496288</v>
      </c>
      <c r="J68" s="23" t="s">
        <v>277</v>
      </c>
    </row>
    <row r="69" spans="1:10" ht="15">
      <c r="A69" s="23" t="s">
        <v>183</v>
      </c>
      <c r="B69" s="22">
        <f>0.395*4</f>
        <v>1.58</v>
      </c>
      <c r="C69" s="22">
        <v>48.5</v>
      </c>
      <c r="D69" s="22">
        <v>38.63</v>
      </c>
      <c r="E69" s="22">
        <f t="shared" si="5"/>
        <v>43.565</v>
      </c>
      <c r="G69" s="9">
        <f t="shared" si="6"/>
        <v>0.036267646046137955</v>
      </c>
      <c r="J69" s="23" t="s">
        <v>278</v>
      </c>
    </row>
    <row r="70" spans="1:10" ht="15">
      <c r="A70" s="23" t="s">
        <v>237</v>
      </c>
      <c r="B70" s="22">
        <f>0.275*4</f>
        <v>1.1</v>
      </c>
      <c r="C70" s="22">
        <v>30.51</v>
      </c>
      <c r="D70" s="22">
        <v>24.38</v>
      </c>
      <c r="E70" s="22">
        <f t="shared" si="5"/>
        <v>27.445</v>
      </c>
      <c r="G70" s="9">
        <f t="shared" si="6"/>
        <v>0.04008016032064129</v>
      </c>
      <c r="J70" s="23" t="s">
        <v>287</v>
      </c>
    </row>
    <row r="71" spans="1:10" ht="15">
      <c r="A71" s="34" t="str">
        <f>+A38</f>
        <v>DTE Energy</v>
      </c>
      <c r="B71" s="22">
        <f>+B38</f>
        <v>2.12</v>
      </c>
      <c r="C71" s="22">
        <f>+C38</f>
        <v>45.34</v>
      </c>
      <c r="D71" s="22">
        <f>+D38</f>
        <v>37.87</v>
      </c>
      <c r="E71" s="22">
        <f t="shared" si="5"/>
        <v>41.605000000000004</v>
      </c>
      <c r="G71" s="9">
        <f t="shared" si="6"/>
        <v>0.05095541401273885</v>
      </c>
      <c r="J71" s="23" t="s">
        <v>287</v>
      </c>
    </row>
    <row r="72" spans="1:10" ht="15">
      <c r="A72" s="34" t="str">
        <f>+A41</f>
        <v>Energy East</v>
      </c>
      <c r="B72" s="22">
        <f>+B41</f>
        <v>1.24</v>
      </c>
      <c r="C72" s="22">
        <f>+C41</f>
        <v>27.66</v>
      </c>
      <c r="D72" s="22">
        <f>+D41</f>
        <v>23.69</v>
      </c>
      <c r="E72" s="22">
        <f t="shared" si="5"/>
        <v>25.675</v>
      </c>
      <c r="G72" s="9">
        <f t="shared" si="6"/>
        <v>0.04829600778967867</v>
      </c>
      <c r="J72" s="23" t="s">
        <v>279</v>
      </c>
    </row>
    <row r="73" spans="1:7" ht="15">
      <c r="A73" s="34" t="s">
        <v>453</v>
      </c>
      <c r="B73" s="22">
        <f>0.5*4</f>
        <v>2</v>
      </c>
      <c r="C73" s="22">
        <v>87.25</v>
      </c>
      <c r="D73" s="22">
        <v>70</v>
      </c>
      <c r="E73" s="22">
        <f t="shared" si="5"/>
        <v>78.625</v>
      </c>
      <c r="G73" s="9">
        <f t="shared" si="6"/>
        <v>0.025437201907790145</v>
      </c>
    </row>
    <row r="74" spans="1:10" ht="15">
      <c r="A74" s="34" t="str">
        <f>+A43</f>
        <v>FirstEnergy Corp</v>
      </c>
      <c r="B74" s="22">
        <f>+B43</f>
        <v>2.2</v>
      </c>
      <c r="C74" s="22">
        <f>+C43</f>
        <v>78.51</v>
      </c>
      <c r="D74" s="22">
        <f>+D43</f>
        <v>64.44</v>
      </c>
      <c r="E74" s="22">
        <f t="shared" si="5"/>
        <v>71.475</v>
      </c>
      <c r="G74" s="9">
        <f t="shared" si="6"/>
        <v>0.03077999300454705</v>
      </c>
      <c r="J74" s="23" t="s">
        <v>287</v>
      </c>
    </row>
    <row r="75" spans="1:10" ht="15">
      <c r="A75" s="34" t="str">
        <f>+A46</f>
        <v>IDACORP</v>
      </c>
      <c r="B75" s="22">
        <f>+B46</f>
        <v>1.2</v>
      </c>
      <c r="C75" s="22">
        <f>+C46</f>
        <v>35.11</v>
      </c>
      <c r="D75" s="22">
        <f>+D46</f>
        <v>28.74</v>
      </c>
      <c r="E75" s="22">
        <f t="shared" si="5"/>
        <v>31.924999999999997</v>
      </c>
      <c r="G75" s="9">
        <f t="shared" si="6"/>
        <v>0.037588097102584185</v>
      </c>
      <c r="J75" s="23" t="s">
        <v>280</v>
      </c>
    </row>
    <row r="76" spans="1:10" ht="15">
      <c r="A76" s="23" t="s">
        <v>238</v>
      </c>
      <c r="B76" s="22">
        <f>0.23*4</f>
        <v>0.92</v>
      </c>
      <c r="C76" s="22">
        <v>19.82</v>
      </c>
      <c r="D76" s="22">
        <v>16.78</v>
      </c>
      <c r="E76" s="22">
        <f t="shared" si="5"/>
        <v>18.3</v>
      </c>
      <c r="G76" s="9">
        <f t="shared" si="6"/>
        <v>0.05027322404371585</v>
      </c>
      <c r="J76" s="23" t="s">
        <v>281</v>
      </c>
    </row>
    <row r="77" spans="1:10" ht="15">
      <c r="A77" s="23" t="s">
        <v>177</v>
      </c>
      <c r="B77" s="22">
        <f>0.348*4</f>
        <v>1.392</v>
      </c>
      <c r="C77" s="22">
        <v>36.23</v>
      </c>
      <c r="D77" s="22">
        <v>29.83</v>
      </c>
      <c r="E77" s="22">
        <f t="shared" si="5"/>
        <v>33.03</v>
      </c>
      <c r="G77" s="9">
        <f t="shared" si="6"/>
        <v>0.042143505903723885</v>
      </c>
      <c r="J77" s="23" t="s">
        <v>287</v>
      </c>
    </row>
    <row r="78" spans="1:10" ht="15">
      <c r="A78" s="23" t="s">
        <v>192</v>
      </c>
      <c r="B78" s="22">
        <f>0.335*4</f>
        <v>1.34</v>
      </c>
      <c r="C78" s="22">
        <v>55.23</v>
      </c>
      <c r="D78" s="22">
        <v>44.72</v>
      </c>
      <c r="E78" s="22">
        <f t="shared" si="5"/>
        <v>49.974999999999994</v>
      </c>
      <c r="G78" s="9">
        <f t="shared" si="6"/>
        <v>0.02681340670335168</v>
      </c>
      <c r="J78" s="23" t="s">
        <v>282</v>
      </c>
    </row>
    <row r="79" spans="1:10" ht="15">
      <c r="A79" s="34" t="str">
        <f>+A52</f>
        <v>Progress Energy</v>
      </c>
      <c r="B79" s="22">
        <f>+B52</f>
        <v>2.46</v>
      </c>
      <c r="C79" s="22">
        <f>+C52</f>
        <v>49.16</v>
      </c>
      <c r="D79" s="22">
        <f>+D52</f>
        <v>40.54</v>
      </c>
      <c r="E79" s="22">
        <f t="shared" si="5"/>
        <v>44.849999999999994</v>
      </c>
      <c r="G79" s="9">
        <f t="shared" si="6"/>
        <v>0.054849498327759205</v>
      </c>
      <c r="J79" s="23" t="s">
        <v>283</v>
      </c>
    </row>
    <row r="80" spans="1:10" ht="15">
      <c r="A80" s="23" t="s">
        <v>249</v>
      </c>
      <c r="B80" s="22">
        <f>0.323*4</f>
        <v>1.292</v>
      </c>
      <c r="C80" s="22">
        <v>52.3</v>
      </c>
      <c r="D80" s="22">
        <v>39.08</v>
      </c>
      <c r="E80" s="22">
        <f t="shared" si="5"/>
        <v>45.69</v>
      </c>
      <c r="G80" s="9">
        <f t="shared" si="6"/>
        <v>0.028277522433792956</v>
      </c>
      <c r="J80" s="23" t="s">
        <v>284</v>
      </c>
    </row>
    <row r="81" spans="1:10" ht="15">
      <c r="A81" s="34" t="str">
        <f aca="true" t="shared" si="7" ref="A81:D82">+A54</f>
        <v>Southern Company</v>
      </c>
      <c r="B81" s="22">
        <f t="shared" si="7"/>
        <v>1.612</v>
      </c>
      <c r="C81" s="22">
        <f t="shared" si="7"/>
        <v>40.6</v>
      </c>
      <c r="D81" s="22">
        <f t="shared" si="7"/>
        <v>33.71</v>
      </c>
      <c r="E81" s="22">
        <f t="shared" si="5"/>
        <v>37.155</v>
      </c>
      <c r="G81" s="9">
        <f t="shared" si="6"/>
        <v>0.043385816175481096</v>
      </c>
      <c r="J81" s="23" t="s">
        <v>287</v>
      </c>
    </row>
    <row r="82" spans="1:10" ht="15">
      <c r="A82" s="34" t="str">
        <f t="shared" si="7"/>
        <v>TECO Energy</v>
      </c>
      <c r="B82" s="22">
        <f t="shared" si="7"/>
        <v>0.78</v>
      </c>
      <c r="C82" s="22">
        <f t="shared" si="7"/>
        <v>17.75</v>
      </c>
      <c r="D82" s="22">
        <f t="shared" si="7"/>
        <v>14.48</v>
      </c>
      <c r="E82" s="22">
        <f t="shared" si="5"/>
        <v>16.115000000000002</v>
      </c>
      <c r="G82" s="9">
        <f t="shared" si="6"/>
        <v>0.04840210983555693</v>
      </c>
      <c r="J82" s="23" t="s">
        <v>285</v>
      </c>
    </row>
    <row r="83" spans="1:10" ht="15">
      <c r="A83" s="34" t="str">
        <f>+A57</f>
        <v>Xcel Energy Inc.</v>
      </c>
      <c r="B83" s="22">
        <f>+B57</f>
        <v>0.92</v>
      </c>
      <c r="C83" s="22">
        <f>+C57</f>
        <v>22.9</v>
      </c>
      <c r="D83" s="22">
        <f>+D57</f>
        <v>19.39</v>
      </c>
      <c r="E83" s="22">
        <f t="shared" si="5"/>
        <v>21.145</v>
      </c>
      <c r="G83" s="9">
        <f t="shared" si="6"/>
        <v>0.04350910380704658</v>
      </c>
      <c r="J83" s="23" t="s">
        <v>274</v>
      </c>
    </row>
    <row r="84" spans="1:7" ht="15">
      <c r="A84" s="90"/>
      <c r="B84" s="53"/>
      <c r="C84" s="53"/>
      <c r="D84" s="53"/>
      <c r="E84" s="53"/>
      <c r="F84" s="52"/>
      <c r="G84" s="54"/>
    </row>
    <row r="85" spans="1:7" ht="15">
      <c r="A85" s="40"/>
      <c r="B85" s="49"/>
      <c r="C85" s="49"/>
      <c r="D85" s="49"/>
      <c r="E85" s="49"/>
      <c r="F85" s="40"/>
      <c r="G85" s="50"/>
    </row>
    <row r="86" spans="1:7" ht="15.75">
      <c r="A86" s="136" t="s">
        <v>95</v>
      </c>
      <c r="B86" s="22"/>
      <c r="C86" s="22"/>
      <c r="D86" s="22"/>
      <c r="E86" s="22"/>
      <c r="G86" s="32">
        <f>AVERAGE(G65:G83)</f>
        <v>0.040587155568934705</v>
      </c>
    </row>
    <row r="87" spans="1:7" ht="15.75" thickBot="1">
      <c r="A87" s="55"/>
      <c r="B87" s="56"/>
      <c r="C87" s="56"/>
      <c r="D87" s="56"/>
      <c r="E87" s="56"/>
      <c r="F87" s="55"/>
      <c r="G87" s="57"/>
    </row>
    <row r="88" spans="2:7" ht="15.75" thickTop="1">
      <c r="B88" s="49"/>
      <c r="C88" s="49"/>
      <c r="D88" s="49"/>
      <c r="E88" s="49"/>
      <c r="F88" s="40"/>
      <c r="G88" s="50"/>
    </row>
    <row r="89" spans="1:7" ht="15">
      <c r="A89" s="23" t="s">
        <v>220</v>
      </c>
      <c r="B89" s="49"/>
      <c r="C89" s="49"/>
      <c r="D89" s="49"/>
      <c r="E89" s="49"/>
      <c r="F89" s="39"/>
      <c r="G89" s="50"/>
    </row>
    <row r="90" spans="2:7" ht="15.75">
      <c r="B90" s="22"/>
      <c r="C90" s="22"/>
      <c r="D90" s="22"/>
      <c r="E90" s="22"/>
      <c r="G90" s="25"/>
    </row>
    <row r="91" spans="1:7" ht="15">
      <c r="A91" s="40"/>
      <c r="B91" s="49"/>
      <c r="C91" s="49"/>
      <c r="D91" s="49"/>
      <c r="E91" s="49"/>
      <c r="F91" s="40"/>
      <c r="G91" s="50"/>
    </row>
    <row r="92" spans="1:7" ht="15">
      <c r="A92" s="39"/>
      <c r="B92" s="49"/>
      <c r="C92" s="49"/>
      <c r="D92" s="49"/>
      <c r="E92" s="49"/>
      <c r="F92" s="39"/>
      <c r="G92" s="50"/>
    </row>
    <row r="97" spans="2:7" ht="15">
      <c r="B97" s="22"/>
      <c r="C97" s="22"/>
      <c r="D97" s="22"/>
      <c r="E97" s="22"/>
      <c r="F97" s="22"/>
      <c r="G97" s="9"/>
    </row>
    <row r="98" spans="2:7" ht="15">
      <c r="B98" s="22"/>
      <c r="C98" s="22"/>
      <c r="D98" s="22"/>
      <c r="E98" s="22"/>
      <c r="G98" s="9"/>
    </row>
    <row r="99" spans="2:7" ht="15">
      <c r="B99" s="22"/>
      <c r="C99" s="22"/>
      <c r="D99" s="22"/>
      <c r="E99" s="22"/>
      <c r="F99" s="22"/>
      <c r="G99" s="9"/>
    </row>
    <row r="100" spans="2:7" ht="15">
      <c r="B100" s="22"/>
      <c r="C100" s="22"/>
      <c r="D100" s="22"/>
      <c r="E100" s="22"/>
      <c r="F100" s="22"/>
      <c r="G100" s="9"/>
    </row>
    <row r="101" spans="2:7" ht="15">
      <c r="B101" s="22"/>
      <c r="C101" s="22"/>
      <c r="D101" s="22"/>
      <c r="E101" s="22"/>
      <c r="F101" s="22"/>
      <c r="G101" s="9"/>
    </row>
    <row r="102" spans="2:7" ht="15">
      <c r="B102" s="22"/>
      <c r="C102" s="22"/>
      <c r="D102" s="22"/>
      <c r="E102" s="22"/>
      <c r="F102" s="22"/>
      <c r="G102" s="9"/>
    </row>
    <row r="103" spans="2:7" ht="15">
      <c r="B103" s="22"/>
      <c r="C103" s="22"/>
      <c r="D103" s="22"/>
      <c r="E103" s="22"/>
      <c r="F103" s="22"/>
      <c r="G103" s="9"/>
    </row>
    <row r="104" spans="2:7" ht="15">
      <c r="B104" s="22"/>
      <c r="C104" s="22"/>
      <c r="D104" s="22"/>
      <c r="E104" s="22"/>
      <c r="F104" s="22"/>
      <c r="G104" s="9"/>
    </row>
    <row r="105" spans="2:7" ht="15">
      <c r="B105" s="22"/>
      <c r="C105" s="22"/>
      <c r="D105" s="22"/>
      <c r="E105" s="22"/>
      <c r="F105" s="22"/>
      <c r="G105" s="9"/>
    </row>
    <row r="106" spans="2:7" ht="15">
      <c r="B106" s="22"/>
      <c r="C106" s="22"/>
      <c r="D106" s="22"/>
      <c r="E106" s="22"/>
      <c r="F106" s="22"/>
      <c r="G106" s="9"/>
    </row>
    <row r="107" spans="2:7" ht="15">
      <c r="B107" s="22"/>
      <c r="C107" s="22"/>
      <c r="D107" s="22"/>
      <c r="E107" s="22"/>
      <c r="F107" s="22"/>
      <c r="G107" s="9"/>
    </row>
    <row r="108" spans="1:7" ht="15">
      <c r="A108" s="40"/>
      <c r="B108" s="51"/>
      <c r="C108" s="51"/>
      <c r="D108" s="51"/>
      <c r="E108" s="51"/>
      <c r="F108" s="51"/>
      <c r="G108" s="50"/>
    </row>
    <row r="109" spans="1:7" ht="15">
      <c r="A109" s="39"/>
      <c r="B109" s="51"/>
      <c r="C109" s="51"/>
      <c r="D109" s="51"/>
      <c r="E109" s="51"/>
      <c r="F109" s="51"/>
      <c r="G109" s="50"/>
    </row>
    <row r="110" spans="2:7" ht="15.75">
      <c r="B110" s="8"/>
      <c r="C110" s="8"/>
      <c r="D110" s="8"/>
      <c r="E110" s="8"/>
      <c r="F110" s="8"/>
      <c r="G110" s="25"/>
    </row>
    <row r="111" spans="1:7" ht="15">
      <c r="A111" s="40"/>
      <c r="B111" s="40"/>
      <c r="C111" s="40"/>
      <c r="D111" s="40"/>
      <c r="E111" s="40"/>
      <c r="F111" s="40"/>
      <c r="G111" s="40"/>
    </row>
    <row r="112" spans="1:7" ht="15">
      <c r="A112" s="39"/>
      <c r="B112" s="39"/>
      <c r="C112" s="39"/>
      <c r="D112" s="39"/>
      <c r="E112" s="39"/>
      <c r="F112" s="39"/>
      <c r="G112" s="39"/>
    </row>
    <row r="113" spans="2:7" ht="15.75">
      <c r="B113" s="22"/>
      <c r="C113" s="22"/>
      <c r="D113" s="22"/>
      <c r="E113" s="22"/>
      <c r="F113" s="22"/>
      <c r="G113" s="25"/>
    </row>
    <row r="114" spans="1:7" ht="15">
      <c r="A114" s="40"/>
      <c r="B114" s="40"/>
      <c r="C114" s="40"/>
      <c r="D114" s="40"/>
      <c r="E114" s="40"/>
      <c r="F114" s="40"/>
      <c r="G114" s="40"/>
    </row>
    <row r="115" spans="1:7" ht="15">
      <c r="A115" s="39"/>
      <c r="B115" s="39"/>
      <c r="C115" s="39"/>
      <c r="D115" s="39"/>
      <c r="E115" s="39"/>
      <c r="F115" s="39"/>
      <c r="G115" s="39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showOutlineSymbols="0" zoomScalePageLayoutView="0" workbookViewId="0" topLeftCell="A1">
      <selection activeCell="L87" sqref="L87"/>
    </sheetView>
  </sheetViews>
  <sheetFormatPr defaultColWidth="9.77734375" defaultRowHeight="15"/>
  <cols>
    <col min="1" max="1" width="23.77734375" style="23" customWidth="1"/>
    <col min="2" max="2" width="3.77734375" style="23" customWidth="1"/>
    <col min="3" max="16384" width="9.77734375" style="23" customWidth="1"/>
  </cols>
  <sheetData>
    <row r="1" ht="15.75">
      <c r="K1" s="2" t="str">
        <f>+'Sch 8, p1'!E1</f>
        <v>Exhibit___(DCP-2)</v>
      </c>
    </row>
    <row r="2" ht="15.75">
      <c r="K2" s="2" t="str">
        <f>'Sch 8, p1'!E2</f>
        <v>Schedule 8</v>
      </c>
    </row>
    <row r="3" ht="15.75">
      <c r="K3" s="2" t="s">
        <v>163</v>
      </c>
    </row>
    <row r="4" ht="15.75">
      <c r="K4" s="2"/>
    </row>
    <row r="5" ht="15.75">
      <c r="K5" s="2"/>
    </row>
    <row r="6" spans="1:12" ht="20.25">
      <c r="A6" s="249" t="str">
        <f>'Sch 8, p1'!A6</f>
        <v>COMPARISON COMPANIES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12" ht="20.25">
      <c r="A7" s="249" t="s">
        <v>93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11" spans="1:12" ht="15.75" thickTop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>
      <c r="A12" s="8" t="str">
        <f>'Sch 8, p1'!A12</f>
        <v>COMPANY</v>
      </c>
      <c r="C12" s="8">
        <v>2003</v>
      </c>
      <c r="D12" s="8">
        <v>2004</v>
      </c>
      <c r="E12" s="8">
        <v>2005</v>
      </c>
      <c r="F12" s="8">
        <v>2006</v>
      </c>
      <c r="G12" s="8">
        <v>2007</v>
      </c>
      <c r="H12" s="8" t="s">
        <v>95</v>
      </c>
      <c r="I12" s="8">
        <v>2008</v>
      </c>
      <c r="J12" s="8">
        <v>2009</v>
      </c>
      <c r="K12" s="78" t="s">
        <v>339</v>
      </c>
      <c r="L12" s="8" t="s">
        <v>95</v>
      </c>
    </row>
    <row r="14" spans="1:12" ht="15.75" thickTop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6" ht="15.75">
      <c r="A16" s="33" t="str">
        <f>'Sch 8, p1'!A16</f>
        <v>Comparison Group</v>
      </c>
    </row>
    <row r="18" spans="1:12" ht="15">
      <c r="A18" s="10" t="str">
        <f>'Sch 8, p1'!A18</f>
        <v>Avista Corp</v>
      </c>
      <c r="B18" s="10"/>
      <c r="C18" s="9">
        <v>0.034</v>
      </c>
      <c r="D18" s="9">
        <v>0.014</v>
      </c>
      <c r="E18" s="9">
        <v>0.024</v>
      </c>
      <c r="F18" s="9">
        <v>0.049</v>
      </c>
      <c r="G18" s="9">
        <v>0.01</v>
      </c>
      <c r="H18" s="9">
        <f>AVERAGE(C18:G18)</f>
        <v>0.0262</v>
      </c>
      <c r="I18" s="9">
        <v>0.04</v>
      </c>
      <c r="J18" s="9"/>
      <c r="K18" s="9">
        <v>0.03</v>
      </c>
      <c r="L18" s="9">
        <f>AVERAGE(I18:K18)</f>
        <v>0.035</v>
      </c>
    </row>
    <row r="19" spans="1:12" ht="15">
      <c r="A19" s="10" t="str">
        <f>'Sch 8, p1'!A19</f>
        <v>Empire District Electric</v>
      </c>
      <c r="B19" s="10"/>
      <c r="C19" s="9">
        <v>0.001</v>
      </c>
      <c r="D19" s="9">
        <v>0</v>
      </c>
      <c r="E19" s="9">
        <v>0</v>
      </c>
      <c r="F19" s="9">
        <v>0.008</v>
      </c>
      <c r="G19" s="9">
        <v>0</v>
      </c>
      <c r="H19" s="9">
        <f aca="true" t="shared" si="0" ref="H19:H24">AVERAGE(C19:G19)</f>
        <v>0.0018000000000000002</v>
      </c>
      <c r="I19" s="9">
        <v>0.01</v>
      </c>
      <c r="J19" s="9">
        <v>0.02</v>
      </c>
      <c r="K19" s="9">
        <v>0.03</v>
      </c>
      <c r="L19" s="9">
        <f aca="true" t="shared" si="1" ref="L19:L24">AVERAGE(I19:K19)</f>
        <v>0.02</v>
      </c>
    </row>
    <row r="20" spans="1:12" ht="15">
      <c r="A20" s="10" t="str">
        <f>'Sch 8, p1'!A20</f>
        <v>Hawaiian Electric Industries</v>
      </c>
      <c r="B20" s="10"/>
      <c r="C20" s="9">
        <v>0.039</v>
      </c>
      <c r="D20" s="9">
        <v>0.011</v>
      </c>
      <c r="E20" s="9">
        <v>0.015</v>
      </c>
      <c r="F20" s="9">
        <v>0.007</v>
      </c>
      <c r="G20" s="9">
        <v>0</v>
      </c>
      <c r="H20" s="9">
        <f t="shared" si="0"/>
        <v>0.014400000000000001</v>
      </c>
      <c r="I20" s="9">
        <v>0</v>
      </c>
      <c r="J20" s="9">
        <v>0</v>
      </c>
      <c r="K20" s="9">
        <v>0.025</v>
      </c>
      <c r="L20" s="9">
        <f t="shared" si="1"/>
        <v>0.008333333333333333</v>
      </c>
    </row>
    <row r="21" spans="1:12" ht="15">
      <c r="A21" s="10" t="str">
        <f>'Sch 8, p1'!A21</f>
        <v>PEPCO Holdings</v>
      </c>
      <c r="B21" s="10"/>
      <c r="C21" s="164">
        <v>0.02</v>
      </c>
      <c r="D21" s="9">
        <v>0.025</v>
      </c>
      <c r="E21" s="9">
        <v>0.024</v>
      </c>
      <c r="F21" s="9">
        <v>0.015</v>
      </c>
      <c r="G21" s="9">
        <v>0.03</v>
      </c>
      <c r="H21" s="9">
        <f t="shared" si="0"/>
        <v>0.0228</v>
      </c>
      <c r="I21" s="9">
        <v>0.04</v>
      </c>
      <c r="J21" s="9">
        <v>0.04</v>
      </c>
      <c r="K21" s="9">
        <v>0.055</v>
      </c>
      <c r="L21" s="9">
        <f t="shared" si="1"/>
        <v>0.045000000000000005</v>
      </c>
    </row>
    <row r="22" spans="1:12" ht="15">
      <c r="A22" s="10" t="str">
        <f>'Sch 8, p1'!A22</f>
        <v>Pinnacle West</v>
      </c>
      <c r="B22" s="10"/>
      <c r="C22" s="9">
        <v>0.026</v>
      </c>
      <c r="D22" s="9">
        <v>0.023</v>
      </c>
      <c r="E22" s="9">
        <v>0.01</v>
      </c>
      <c r="F22" s="9">
        <v>0.034</v>
      </c>
      <c r="G22" s="9">
        <v>0.025</v>
      </c>
      <c r="H22" s="9">
        <f t="shared" si="0"/>
        <v>0.0236</v>
      </c>
      <c r="I22" s="9">
        <v>0.01</v>
      </c>
      <c r="J22" s="9"/>
      <c r="K22" s="9">
        <v>0.02</v>
      </c>
      <c r="L22" s="9">
        <f t="shared" si="1"/>
        <v>0.015</v>
      </c>
    </row>
    <row r="23" spans="1:12" ht="15">
      <c r="A23" s="10" t="str">
        <f>'Sch 8, p1'!A23</f>
        <v>PNM Resources</v>
      </c>
      <c r="B23" s="10"/>
      <c r="C23" s="9">
        <v>0.03</v>
      </c>
      <c r="D23" s="9">
        <v>0.045</v>
      </c>
      <c r="E23" s="9">
        <v>0.043</v>
      </c>
      <c r="F23" s="9">
        <v>0.037</v>
      </c>
      <c r="G23" s="9">
        <v>0.015</v>
      </c>
      <c r="H23" s="9">
        <f t="shared" si="0"/>
        <v>0.033999999999999996</v>
      </c>
      <c r="I23" s="9">
        <v>0.03</v>
      </c>
      <c r="J23" s="9"/>
      <c r="K23" s="9">
        <v>0.03</v>
      </c>
      <c r="L23" s="9">
        <f t="shared" si="1"/>
        <v>0.03</v>
      </c>
    </row>
    <row r="24" spans="1:12" ht="15">
      <c r="A24" s="10" t="str">
        <f>'Sch 8, p1'!A24</f>
        <v>Westar Energy</v>
      </c>
      <c r="B24" s="10"/>
      <c r="C24" s="9">
        <v>0.049</v>
      </c>
      <c r="D24" s="9">
        <v>0.032</v>
      </c>
      <c r="E24" s="9">
        <v>0.043</v>
      </c>
      <c r="F24" s="9">
        <v>0.055</v>
      </c>
      <c r="G24" s="9">
        <v>0.043</v>
      </c>
      <c r="H24" s="9">
        <f t="shared" si="0"/>
        <v>0.044399999999999995</v>
      </c>
      <c r="I24" s="9">
        <v>0.02</v>
      </c>
      <c r="J24" s="9">
        <v>0.025</v>
      </c>
      <c r="K24" s="9">
        <v>0.03</v>
      </c>
      <c r="L24" s="9">
        <f t="shared" si="1"/>
        <v>0.024999999999999998</v>
      </c>
    </row>
    <row r="25" spans="1:12" ht="15">
      <c r="A25" s="59"/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ht="15">
      <c r="A26" s="10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5.75">
      <c r="A27" s="10" t="s">
        <v>95</v>
      </c>
      <c r="B27" s="10"/>
      <c r="C27" s="9"/>
      <c r="D27" s="9"/>
      <c r="E27" s="9"/>
      <c r="F27" s="9"/>
      <c r="G27" s="9"/>
      <c r="H27" s="32">
        <f>AVERAGE(H18:H24)</f>
        <v>0.023885714285714284</v>
      </c>
      <c r="I27" s="9"/>
      <c r="J27" s="9"/>
      <c r="K27" s="9"/>
      <c r="L27" s="32">
        <f>AVERAGE(L18:L24)</f>
        <v>0.025476190476190475</v>
      </c>
    </row>
    <row r="28" spans="1:12" ht="15.75" thickBot="1">
      <c r="A28" s="61"/>
      <c r="B28" s="61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.75" thickTop="1">
      <c r="A29" s="60"/>
      <c r="B29" s="60"/>
      <c r="C29" s="9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8" t="str">
        <f>'Sch 8, p1'!A30</f>
        <v>S&amp;P Integrated</v>
      </c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.75">
      <c r="A31" s="58" t="str">
        <f>'Sch 8, p1'!A31</f>
        <v>Electric Utilities</v>
      </c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10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10" t="str">
        <f>'Sch 8, p1'!A33</f>
        <v>ALLETE</v>
      </c>
      <c r="B33" s="10"/>
      <c r="C33" s="164"/>
      <c r="D33" s="164">
        <v>0.047</v>
      </c>
      <c r="E33" s="164">
        <v>0.052</v>
      </c>
      <c r="F33" s="164">
        <v>0.05</v>
      </c>
      <c r="G33" s="164">
        <v>0.058</v>
      </c>
      <c r="H33" s="9">
        <f aca="true" t="shared" si="2" ref="H33:H57">AVERAGE(C33:G33)</f>
        <v>0.051750000000000004</v>
      </c>
      <c r="I33" s="164">
        <v>0.03</v>
      </c>
      <c r="J33" s="164">
        <v>0.03</v>
      </c>
      <c r="K33" s="164">
        <v>0.03</v>
      </c>
      <c r="L33" s="9">
        <f aca="true" t="shared" si="3" ref="L33:L57">AVERAGE(I33:K33)</f>
        <v>0.03</v>
      </c>
    </row>
    <row r="34" spans="1:12" ht="15">
      <c r="A34" s="10" t="str">
        <f>'Sch 8, p1'!A34</f>
        <v>Alliant Energy</v>
      </c>
      <c r="B34" s="10"/>
      <c r="C34" s="164">
        <v>0.025</v>
      </c>
      <c r="D34" s="164">
        <v>0.038</v>
      </c>
      <c r="E34" s="164">
        <v>0.081</v>
      </c>
      <c r="F34" s="164">
        <v>0.04</v>
      </c>
      <c r="G34" s="164">
        <v>0.059</v>
      </c>
      <c r="H34" s="9">
        <f t="shared" si="2"/>
        <v>0.048600000000000004</v>
      </c>
      <c r="I34" s="164">
        <v>0.05</v>
      </c>
      <c r="J34" s="164">
        <v>0.05</v>
      </c>
      <c r="K34" s="164">
        <v>0.045</v>
      </c>
      <c r="L34" s="9">
        <f t="shared" si="3"/>
        <v>0.04833333333333334</v>
      </c>
    </row>
    <row r="35" spans="1:12" ht="15">
      <c r="A35" s="10" t="str">
        <f>'Sch 8, p1'!A35</f>
        <v>American Electric Power</v>
      </c>
      <c r="B35" s="10"/>
      <c r="C35" s="164">
        <v>0.045</v>
      </c>
      <c r="D35" s="164">
        <v>0.057</v>
      </c>
      <c r="E35" s="164">
        <v>0.052</v>
      </c>
      <c r="F35" s="164">
        <v>0.057</v>
      </c>
      <c r="G35" s="164">
        <v>0.05</v>
      </c>
      <c r="H35" s="9">
        <f t="shared" si="2"/>
        <v>0.0522</v>
      </c>
      <c r="I35" s="164">
        <v>0.055</v>
      </c>
      <c r="J35" s="164">
        <v>0.055</v>
      </c>
      <c r="K35" s="164">
        <v>0.05</v>
      </c>
      <c r="L35" s="9">
        <f t="shared" si="3"/>
        <v>0.05333333333333334</v>
      </c>
    </row>
    <row r="36" spans="1:12" ht="15">
      <c r="A36" s="10" t="str">
        <f>'Sch 8, p1'!A36</f>
        <v>Ameren Corp.</v>
      </c>
      <c r="B36" s="10"/>
      <c r="C36" s="164">
        <v>0.022</v>
      </c>
      <c r="D36" s="164">
        <v>0.009</v>
      </c>
      <c r="E36" s="164">
        <v>0.017</v>
      </c>
      <c r="F36" s="164">
        <v>0.002</v>
      </c>
      <c r="G36" s="164">
        <v>0.012</v>
      </c>
      <c r="H36" s="9">
        <f t="shared" si="2"/>
        <v>0.0124</v>
      </c>
      <c r="I36" s="164">
        <v>0.015</v>
      </c>
      <c r="J36" s="164">
        <v>0.02</v>
      </c>
      <c r="K36" s="164">
        <v>0.025</v>
      </c>
      <c r="L36" s="9">
        <f t="shared" si="3"/>
        <v>0.02</v>
      </c>
    </row>
    <row r="37" spans="1:12" ht="15">
      <c r="A37" s="10" t="str">
        <f>'Sch 8, p1'!A37</f>
        <v>Cleco</v>
      </c>
      <c r="B37" s="10"/>
      <c r="C37" s="164">
        <v>0.035</v>
      </c>
      <c r="D37" s="164">
        <v>0.039</v>
      </c>
      <c r="E37" s="164">
        <v>0.041</v>
      </c>
      <c r="F37" s="164">
        <v>0.03</v>
      </c>
      <c r="G37" s="164">
        <v>0.025</v>
      </c>
      <c r="H37" s="9">
        <f t="shared" si="2"/>
        <v>0.034</v>
      </c>
      <c r="I37" s="164">
        <v>0.04</v>
      </c>
      <c r="J37" s="164">
        <v>0.045</v>
      </c>
      <c r="K37" s="164">
        <v>0.04</v>
      </c>
      <c r="L37" s="9">
        <f t="shared" si="3"/>
        <v>0.041666666666666664</v>
      </c>
    </row>
    <row r="38" spans="1:12" ht="15">
      <c r="A38" s="10" t="str">
        <f>'Sch 8, p1'!A38</f>
        <v>DTE Energy</v>
      </c>
      <c r="B38" s="10"/>
      <c r="C38" s="164">
        <v>0.025</v>
      </c>
      <c r="D38" s="164">
        <v>0.016</v>
      </c>
      <c r="E38" s="164">
        <v>0.037</v>
      </c>
      <c r="F38" s="164">
        <v>0.012</v>
      </c>
      <c r="G38" s="164">
        <v>0.015</v>
      </c>
      <c r="H38" s="9">
        <f t="shared" si="2"/>
        <v>0.020999999999999998</v>
      </c>
      <c r="I38" s="164">
        <v>0.02</v>
      </c>
      <c r="J38" s="164">
        <v>0.03</v>
      </c>
      <c r="K38" s="164">
        <v>0.035</v>
      </c>
      <c r="L38" s="9">
        <f t="shared" si="3"/>
        <v>0.028333333333333335</v>
      </c>
    </row>
    <row r="39" spans="1:12" ht="15">
      <c r="A39" s="10" t="str">
        <f>'Sch 8, p1'!A39</f>
        <v>Edison International</v>
      </c>
      <c r="B39" s="10"/>
      <c r="C39" s="164">
        <v>0.136</v>
      </c>
      <c r="D39" s="164">
        <v>0</v>
      </c>
      <c r="E39" s="164">
        <v>0.123</v>
      </c>
      <c r="F39" s="164">
        <v>0.101</v>
      </c>
      <c r="G39" s="164">
        <v>0.08</v>
      </c>
      <c r="H39" s="9">
        <f t="shared" si="2"/>
        <v>0.088</v>
      </c>
      <c r="I39" s="164">
        <v>0.075</v>
      </c>
      <c r="J39" s="164"/>
      <c r="K39" s="164">
        <v>0.065</v>
      </c>
      <c r="L39" s="9">
        <f t="shared" si="3"/>
        <v>0.07</v>
      </c>
    </row>
    <row r="40" spans="1:12" ht="15">
      <c r="A40" s="10" t="str">
        <f>'Sch 8, p1'!A40</f>
        <v>Empire District Electric</v>
      </c>
      <c r="B40" s="10"/>
      <c r="C40" s="9">
        <f>+C19</f>
        <v>0.001</v>
      </c>
      <c r="D40" s="9">
        <f>+D19</f>
        <v>0</v>
      </c>
      <c r="E40" s="9">
        <f>+E19</f>
        <v>0</v>
      </c>
      <c r="F40" s="9">
        <f>+F19</f>
        <v>0.008</v>
      </c>
      <c r="G40" s="9">
        <f>+G19</f>
        <v>0</v>
      </c>
      <c r="H40" s="9">
        <f t="shared" si="2"/>
        <v>0.0018000000000000002</v>
      </c>
      <c r="I40" s="164">
        <f>+I19</f>
        <v>0.01</v>
      </c>
      <c r="J40" s="164">
        <f>+J19</f>
        <v>0.02</v>
      </c>
      <c r="K40" s="164">
        <f>+K19</f>
        <v>0.03</v>
      </c>
      <c r="L40" s="9">
        <f t="shared" si="3"/>
        <v>0.02</v>
      </c>
    </row>
    <row r="41" spans="1:12" ht="15">
      <c r="A41" s="10" t="str">
        <f>'Sch 8, p1'!A41</f>
        <v>Energy East</v>
      </c>
      <c r="B41" s="10"/>
      <c r="C41" s="164">
        <v>0.031</v>
      </c>
      <c r="D41" s="164">
        <v>0.038</v>
      </c>
      <c r="E41" s="164">
        <v>0.037</v>
      </c>
      <c r="F41" s="164">
        <v>0.032</v>
      </c>
      <c r="G41" s="164">
        <v>0.02</v>
      </c>
      <c r="H41" s="9">
        <f t="shared" si="2"/>
        <v>0.0316</v>
      </c>
      <c r="I41" s="164">
        <v>0.02</v>
      </c>
      <c r="J41" s="164">
        <v>0.015</v>
      </c>
      <c r="K41" s="164">
        <v>0.015</v>
      </c>
      <c r="L41" s="9">
        <f t="shared" si="3"/>
        <v>0.016666666666666666</v>
      </c>
    </row>
    <row r="42" spans="1:12" ht="15">
      <c r="A42" s="10" t="str">
        <f>'Sch 8, p1'!A42</f>
        <v>Entergy</v>
      </c>
      <c r="B42" s="10"/>
      <c r="C42" s="164">
        <v>0.056</v>
      </c>
      <c r="D42" s="164">
        <v>0.058</v>
      </c>
      <c r="E42" s="164">
        <v>0.06</v>
      </c>
      <c r="F42" s="164">
        <v>0.08</v>
      </c>
      <c r="G42" s="164">
        <v>0.08</v>
      </c>
      <c r="H42" s="9">
        <f t="shared" si="2"/>
        <v>0.0668</v>
      </c>
      <c r="I42" s="164">
        <v>0.09</v>
      </c>
      <c r="J42" s="164">
        <v>0.08</v>
      </c>
      <c r="K42" s="164">
        <v>0.065</v>
      </c>
      <c r="L42" s="9">
        <f t="shared" si="3"/>
        <v>0.07833333333333332</v>
      </c>
    </row>
    <row r="43" spans="1:12" ht="15">
      <c r="A43" s="10" t="str">
        <f>'Sch 8, p1'!A43</f>
        <v>FirstEnergy Corp</v>
      </c>
      <c r="B43" s="10"/>
      <c r="C43" s="164">
        <v>0</v>
      </c>
      <c r="D43" s="164">
        <v>0.049</v>
      </c>
      <c r="E43" s="164">
        <v>0.042</v>
      </c>
      <c r="F43" s="164">
        <v>0.074</v>
      </c>
      <c r="G43" s="164">
        <v>0.075</v>
      </c>
      <c r="H43" s="9">
        <f t="shared" si="2"/>
        <v>0.048</v>
      </c>
      <c r="I43" s="164">
        <v>0.065</v>
      </c>
      <c r="J43" s="164">
        <v>0.065</v>
      </c>
      <c r="K43" s="164">
        <v>0.065</v>
      </c>
      <c r="L43" s="9">
        <f t="shared" si="3"/>
        <v>0.065</v>
      </c>
    </row>
    <row r="44" spans="1:12" ht="15">
      <c r="A44" s="10" t="str">
        <f>'Sch 8, p1'!A44</f>
        <v>FPL Group</v>
      </c>
      <c r="B44" s="10"/>
      <c r="C44" s="164">
        <v>0.064</v>
      </c>
      <c r="D44" s="164">
        <v>0.056</v>
      </c>
      <c r="E44" s="164">
        <v>0.04</v>
      </c>
      <c r="F44" s="164">
        <v>0.069</v>
      </c>
      <c r="G44" s="164">
        <v>0.075</v>
      </c>
      <c r="H44" s="9">
        <f t="shared" si="2"/>
        <v>0.0608</v>
      </c>
      <c r="I44" s="164">
        <v>0.07</v>
      </c>
      <c r="J44" s="164">
        <v>0.07</v>
      </c>
      <c r="K44" s="164">
        <v>0.07</v>
      </c>
      <c r="L44" s="9">
        <f t="shared" si="3"/>
        <v>0.07</v>
      </c>
    </row>
    <row r="45" spans="1:12" ht="15">
      <c r="A45" s="10" t="str">
        <f>'Sch 8, p1'!A45</f>
        <v>Hawaiian Electric Industries</v>
      </c>
      <c r="B45" s="10"/>
      <c r="C45" s="9">
        <f>+C20</f>
        <v>0.039</v>
      </c>
      <c r="D45" s="9">
        <f>+D20</f>
        <v>0.011</v>
      </c>
      <c r="E45" s="9">
        <f>+E20</f>
        <v>0.015</v>
      </c>
      <c r="F45" s="9">
        <f>+F20</f>
        <v>0.007</v>
      </c>
      <c r="G45" s="9">
        <f>+G20</f>
        <v>0</v>
      </c>
      <c r="H45" s="9">
        <f t="shared" si="2"/>
        <v>0.014400000000000001</v>
      </c>
      <c r="I45" s="164">
        <f>+I20</f>
        <v>0</v>
      </c>
      <c r="J45" s="164">
        <f>+J20</f>
        <v>0</v>
      </c>
      <c r="K45" s="164">
        <f>+K20</f>
        <v>0.025</v>
      </c>
      <c r="L45" s="9">
        <f t="shared" si="3"/>
        <v>0.008333333333333333</v>
      </c>
    </row>
    <row r="46" spans="1:12" ht="15">
      <c r="A46" s="10" t="str">
        <f>'Sch 8, p1'!A46</f>
        <v>IDACORP</v>
      </c>
      <c r="B46" s="10"/>
      <c r="C46" s="164">
        <v>0</v>
      </c>
      <c r="D46" s="164">
        <v>0.027</v>
      </c>
      <c r="E46" s="164">
        <v>0.013</v>
      </c>
      <c r="F46" s="164">
        <v>0.043</v>
      </c>
      <c r="G46" s="164">
        <v>0.03</v>
      </c>
      <c r="H46" s="9">
        <f t="shared" si="2"/>
        <v>0.0226</v>
      </c>
      <c r="I46" s="164">
        <v>0.03</v>
      </c>
      <c r="J46" s="164">
        <v>0.035</v>
      </c>
      <c r="K46" s="164">
        <v>0.035</v>
      </c>
      <c r="L46" s="9">
        <f t="shared" si="3"/>
        <v>0.03333333333333333</v>
      </c>
    </row>
    <row r="47" spans="1:12" ht="15">
      <c r="A47" s="10" t="str">
        <f>'Sch 8, p1'!A47</f>
        <v>MGE Corp</v>
      </c>
      <c r="B47" s="10"/>
      <c r="C47" s="164">
        <v>0.025</v>
      </c>
      <c r="D47" s="164">
        <v>0.023</v>
      </c>
      <c r="E47" s="164">
        <v>0.012</v>
      </c>
      <c r="F47" s="164">
        <v>0.037</v>
      </c>
      <c r="G47" s="164">
        <v>0.043</v>
      </c>
      <c r="H47" s="9">
        <f t="shared" si="2"/>
        <v>0.028000000000000004</v>
      </c>
      <c r="I47" s="164">
        <v>0.045</v>
      </c>
      <c r="J47" s="164">
        <v>0.05</v>
      </c>
      <c r="K47" s="164">
        <v>0.055</v>
      </c>
      <c r="L47" s="9">
        <f t="shared" si="3"/>
        <v>0.049999999999999996</v>
      </c>
    </row>
    <row r="48" spans="1:12" ht="15">
      <c r="A48" s="10" t="str">
        <f>'Sch 8, p1'!A48</f>
        <v>Northeast Utilities</v>
      </c>
      <c r="B48" s="10"/>
      <c r="C48" s="164">
        <v>0.037</v>
      </c>
      <c r="D48" s="164">
        <v>0.016</v>
      </c>
      <c r="E48" s="164">
        <v>0.015</v>
      </c>
      <c r="F48" s="164">
        <v>0.003</v>
      </c>
      <c r="G48" s="164">
        <v>0.04</v>
      </c>
      <c r="H48" s="9">
        <f t="shared" si="2"/>
        <v>0.022200000000000004</v>
      </c>
      <c r="I48" s="164">
        <v>0.05</v>
      </c>
      <c r="J48" s="164">
        <v>0.045</v>
      </c>
      <c r="K48" s="164">
        <v>0.05</v>
      </c>
      <c r="L48" s="9">
        <f t="shared" si="3"/>
        <v>0.04833333333333334</v>
      </c>
    </row>
    <row r="49" spans="1:12" ht="15">
      <c r="A49" s="10" t="str">
        <f>'Sch 8, p1'!A49</f>
        <v>PG&amp;E</v>
      </c>
      <c r="B49" s="10"/>
      <c r="C49" s="164">
        <v>0.185</v>
      </c>
      <c r="D49" s="164">
        <v>0.103</v>
      </c>
      <c r="E49" s="164">
        <v>0.077</v>
      </c>
      <c r="F49" s="164">
        <v>0.066</v>
      </c>
      <c r="G49" s="164">
        <v>0.06</v>
      </c>
      <c r="H49" s="9">
        <f t="shared" si="2"/>
        <v>0.0982</v>
      </c>
      <c r="I49" s="164">
        <v>0.055</v>
      </c>
      <c r="J49" s="164"/>
      <c r="K49" s="164">
        <v>0.04</v>
      </c>
      <c r="L49" s="9">
        <f t="shared" si="3"/>
        <v>0.0475</v>
      </c>
    </row>
    <row r="50" spans="1:12" ht="15">
      <c r="A50" s="10" t="str">
        <f>'Sch 8, p1'!A50</f>
        <v>Pinnacle West</v>
      </c>
      <c r="B50" s="10"/>
      <c r="C50" s="164">
        <f>+C22</f>
        <v>0.026</v>
      </c>
      <c r="D50" s="164">
        <f aca="true" t="shared" si="4" ref="D50:K51">+D22</f>
        <v>0.023</v>
      </c>
      <c r="E50" s="164">
        <f t="shared" si="4"/>
        <v>0.01</v>
      </c>
      <c r="F50" s="164">
        <f t="shared" si="4"/>
        <v>0.034</v>
      </c>
      <c r="G50" s="164">
        <f t="shared" si="4"/>
        <v>0.025</v>
      </c>
      <c r="H50" s="9">
        <f t="shared" si="2"/>
        <v>0.0236</v>
      </c>
      <c r="I50" s="164">
        <f t="shared" si="4"/>
        <v>0.01</v>
      </c>
      <c r="J50" s="164">
        <f t="shared" si="4"/>
        <v>0</v>
      </c>
      <c r="K50" s="164">
        <f t="shared" si="4"/>
        <v>0.02</v>
      </c>
      <c r="L50" s="9">
        <f t="shared" si="3"/>
        <v>0.01</v>
      </c>
    </row>
    <row r="51" spans="1:12" ht="15">
      <c r="A51" s="10" t="str">
        <f>'Sch 8, p1'!A51</f>
        <v>PNM Resources</v>
      </c>
      <c r="B51" s="10"/>
      <c r="C51" s="9">
        <f>+C23</f>
        <v>0.03</v>
      </c>
      <c r="D51" s="9">
        <f t="shared" si="4"/>
        <v>0.045</v>
      </c>
      <c r="E51" s="9">
        <f t="shared" si="4"/>
        <v>0.043</v>
      </c>
      <c r="F51" s="9">
        <f t="shared" si="4"/>
        <v>0.037</v>
      </c>
      <c r="G51" s="9">
        <f t="shared" si="4"/>
        <v>0.015</v>
      </c>
      <c r="H51" s="9">
        <f t="shared" si="2"/>
        <v>0.033999999999999996</v>
      </c>
      <c r="I51" s="9">
        <f t="shared" si="4"/>
        <v>0.03</v>
      </c>
      <c r="J51" s="9">
        <f t="shared" si="4"/>
        <v>0</v>
      </c>
      <c r="K51" s="9">
        <f t="shared" si="4"/>
        <v>0.03</v>
      </c>
      <c r="L51" s="9">
        <f t="shared" si="3"/>
        <v>0.02</v>
      </c>
    </row>
    <row r="52" spans="1:12" ht="15">
      <c r="A52" s="10" t="str">
        <f>'Sch 8, p1'!A52</f>
        <v>Progress Energy</v>
      </c>
      <c r="B52" s="10"/>
      <c r="C52" s="164">
        <v>0.037</v>
      </c>
      <c r="D52" s="164">
        <v>0.026</v>
      </c>
      <c r="E52" s="164">
        <v>0.017</v>
      </c>
      <c r="F52" s="164">
        <v>0</v>
      </c>
      <c r="G52" s="164">
        <v>0.01</v>
      </c>
      <c r="H52" s="9">
        <f t="shared" si="2"/>
        <v>0.018</v>
      </c>
      <c r="I52" s="164">
        <v>0.015</v>
      </c>
      <c r="J52" s="164">
        <v>0.02</v>
      </c>
      <c r="K52" s="164">
        <v>0.025</v>
      </c>
      <c r="L52" s="9">
        <f t="shared" si="3"/>
        <v>0.02</v>
      </c>
    </row>
    <row r="53" spans="1:12" ht="15">
      <c r="A53" s="10" t="str">
        <f>'Sch 8, p1'!A53</f>
        <v>Puget Energy</v>
      </c>
      <c r="B53" s="10"/>
      <c r="C53" s="9">
        <v>0.021</v>
      </c>
      <c r="D53" s="9">
        <v>0.028</v>
      </c>
      <c r="E53" s="9">
        <v>0.029</v>
      </c>
      <c r="F53" s="9">
        <v>0.03</v>
      </c>
      <c r="G53" s="9">
        <v>0.03</v>
      </c>
      <c r="H53" s="9">
        <f t="shared" si="2"/>
        <v>0.027600000000000003</v>
      </c>
      <c r="I53" s="9">
        <v>0.03</v>
      </c>
      <c r="J53" s="9"/>
      <c r="K53" s="9">
        <v>0.035</v>
      </c>
      <c r="L53" s="9">
        <f t="shared" si="3"/>
        <v>0.0325</v>
      </c>
    </row>
    <row r="54" spans="1:12" ht="15">
      <c r="A54" s="10" t="str">
        <f>'Sch 8, p1'!A54</f>
        <v>Southern Company</v>
      </c>
      <c r="B54" s="10"/>
      <c r="C54" s="164">
        <v>0.044</v>
      </c>
      <c r="D54" s="164">
        <v>0.047</v>
      </c>
      <c r="E54" s="164">
        <v>0.046</v>
      </c>
      <c r="F54" s="164">
        <v>0.038</v>
      </c>
      <c r="G54" s="164">
        <v>0.04</v>
      </c>
      <c r="H54" s="9">
        <f t="shared" si="2"/>
        <v>0.043000000000000003</v>
      </c>
      <c r="I54" s="164">
        <v>0.04</v>
      </c>
      <c r="J54" s="164">
        <v>0.04</v>
      </c>
      <c r="K54" s="164">
        <v>0.045</v>
      </c>
      <c r="L54" s="9">
        <f t="shared" si="3"/>
        <v>0.041666666666666664</v>
      </c>
    </row>
    <row r="55" spans="1:12" ht="15">
      <c r="A55" s="10" t="str">
        <f>'Sch 8, p1'!A55</f>
        <v>TECO Energy</v>
      </c>
      <c r="B55" s="10"/>
      <c r="C55" s="164">
        <v>0</v>
      </c>
      <c r="D55" s="164">
        <v>0</v>
      </c>
      <c r="E55" s="164">
        <v>0.033</v>
      </c>
      <c r="F55" s="164">
        <v>0.05</v>
      </c>
      <c r="G55" s="164">
        <v>0.051</v>
      </c>
      <c r="H55" s="9">
        <f t="shared" si="2"/>
        <v>0.0268</v>
      </c>
      <c r="I55" s="164">
        <v>0.03</v>
      </c>
      <c r="J55" s="164">
        <v>0.035</v>
      </c>
      <c r="K55" s="164">
        <v>0.035</v>
      </c>
      <c r="L55" s="9">
        <f t="shared" si="3"/>
        <v>0.03333333333333333</v>
      </c>
    </row>
    <row r="56" spans="1:12" ht="15">
      <c r="A56" s="10" t="str">
        <f>'Sch 8, p1'!A56</f>
        <v>Wisconsin Energy</v>
      </c>
      <c r="B56" s="10"/>
      <c r="C56" s="164">
        <v>0.074</v>
      </c>
      <c r="D56" s="164">
        <v>0.049</v>
      </c>
      <c r="E56" s="164">
        <v>0.075</v>
      </c>
      <c r="F56" s="164">
        <v>0.071</v>
      </c>
      <c r="G56" s="164">
        <v>0.07</v>
      </c>
      <c r="H56" s="9">
        <f t="shared" si="2"/>
        <v>0.0678</v>
      </c>
      <c r="I56" s="164">
        <v>0.065</v>
      </c>
      <c r="J56" s="164">
        <v>0.07</v>
      </c>
      <c r="K56" s="164">
        <v>0.075</v>
      </c>
      <c r="L56" s="9">
        <f t="shared" si="3"/>
        <v>0.07</v>
      </c>
    </row>
    <row r="57" spans="1:12" ht="15">
      <c r="A57" s="10" t="str">
        <f>'Sch 8, p1'!A57</f>
        <v>Xcel Energy Inc.</v>
      </c>
      <c r="B57" s="10"/>
      <c r="C57" s="164">
        <v>0.039</v>
      </c>
      <c r="D57" s="164">
        <v>0.039</v>
      </c>
      <c r="E57" s="164">
        <v>0.029</v>
      </c>
      <c r="F57" s="164">
        <v>0.036</v>
      </c>
      <c r="G57" s="164">
        <v>0.03</v>
      </c>
      <c r="H57" s="9">
        <f t="shared" si="2"/>
        <v>0.0346</v>
      </c>
      <c r="I57" s="164">
        <v>0.03</v>
      </c>
      <c r="J57" s="164">
        <v>0.035</v>
      </c>
      <c r="K57" s="164">
        <v>0.035</v>
      </c>
      <c r="L57" s="9">
        <f t="shared" si="3"/>
        <v>0.03333333333333333</v>
      </c>
    </row>
    <row r="58" spans="1:12" ht="15">
      <c r="A58" s="59"/>
      <c r="B58" s="59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 ht="15">
      <c r="A59" s="10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.75">
      <c r="A60" s="10" t="str">
        <f>+A27</f>
        <v>Average</v>
      </c>
      <c r="B60" s="10"/>
      <c r="C60" s="9"/>
      <c r="D60" s="9"/>
      <c r="E60" s="9"/>
      <c r="F60" s="9"/>
      <c r="G60" s="9"/>
      <c r="H60" s="32">
        <f>AVERAGE(H33:H57)</f>
        <v>0.03911</v>
      </c>
      <c r="I60" s="9"/>
      <c r="J60" s="9"/>
      <c r="K60" s="9"/>
      <c r="L60" s="32">
        <f>AVERAGE(L33:L57)</f>
        <v>0.0396</v>
      </c>
    </row>
    <row r="61" spans="1:12" ht="15.75" thickBot="1">
      <c r="A61" s="61"/>
      <c r="B61" s="61"/>
      <c r="C61" s="57"/>
      <c r="D61" s="57"/>
      <c r="E61" s="57"/>
      <c r="F61" s="57"/>
      <c r="G61" s="57"/>
      <c r="H61" s="57"/>
      <c r="I61" s="57"/>
      <c r="J61" s="57"/>
      <c r="K61" s="57"/>
      <c r="L61" s="55"/>
    </row>
    <row r="62" spans="1:12" ht="15.75" thickTop="1">
      <c r="A62" s="10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.75">
      <c r="A63" s="58" t="str">
        <f>+'Sch 8, p1'!A63</f>
        <v>Moody's Electric Utilities</v>
      </c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10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9" t="str">
        <f>+'Sch 8, p1'!A65</f>
        <v>American Electric Power</v>
      </c>
      <c r="B65" s="10"/>
      <c r="C65" s="9">
        <f>+C35</f>
        <v>0.045</v>
      </c>
      <c r="D65" s="9">
        <f>+D35</f>
        <v>0.057</v>
      </c>
      <c r="E65" s="9">
        <f>+E35</f>
        <v>0.052</v>
      </c>
      <c r="F65" s="9">
        <f>+F35</f>
        <v>0.057</v>
      </c>
      <c r="G65" s="9">
        <f>+G35</f>
        <v>0.05</v>
      </c>
      <c r="H65" s="9">
        <f aca="true" t="shared" si="5" ref="H65:H83">AVERAGE(C65:G65)</f>
        <v>0.0522</v>
      </c>
      <c r="I65" s="9">
        <f>+I35</f>
        <v>0.055</v>
      </c>
      <c r="J65" s="9">
        <f>+J35</f>
        <v>0.055</v>
      </c>
      <c r="K65" s="9">
        <f>+K35</f>
        <v>0.05</v>
      </c>
      <c r="L65" s="9">
        <f aca="true" t="shared" si="6" ref="L65:L83">AVERAGE(I65:K65)</f>
        <v>0.05333333333333334</v>
      </c>
    </row>
    <row r="66" spans="1:12" ht="15">
      <c r="A66" s="99" t="str">
        <f>+'Sch 8, p1'!A66</f>
        <v>CH Energy</v>
      </c>
      <c r="B66" s="10"/>
      <c r="C66" s="164">
        <v>0.02</v>
      </c>
      <c r="D66" s="164">
        <v>0.017</v>
      </c>
      <c r="E66" s="164">
        <v>0.02</v>
      </c>
      <c r="F66" s="164">
        <v>0.012</v>
      </c>
      <c r="G66" s="164">
        <v>0.015</v>
      </c>
      <c r="H66" s="9">
        <f t="shared" si="5"/>
        <v>0.016800000000000002</v>
      </c>
      <c r="I66" s="9">
        <v>0.01</v>
      </c>
      <c r="J66" s="9">
        <v>0.02</v>
      </c>
      <c r="K66" s="9">
        <v>0.025</v>
      </c>
      <c r="L66" s="9">
        <f t="shared" si="6"/>
        <v>0.018333333333333333</v>
      </c>
    </row>
    <row r="67" spans="1:12" ht="15">
      <c r="A67" s="99" t="str">
        <f>+'Sch 8, p1'!A67</f>
        <v>Consolidated Edison</v>
      </c>
      <c r="B67" s="10"/>
      <c r="C67" s="164">
        <v>0.029</v>
      </c>
      <c r="D67" s="164">
        <v>0.008</v>
      </c>
      <c r="E67" s="164">
        <v>0.026</v>
      </c>
      <c r="F67" s="164">
        <v>0.026</v>
      </c>
      <c r="G67" s="164">
        <v>0.04</v>
      </c>
      <c r="H67" s="9">
        <f t="shared" si="5"/>
        <v>0.0258</v>
      </c>
      <c r="I67" s="9">
        <v>0.045</v>
      </c>
      <c r="J67" s="9">
        <v>0.04</v>
      </c>
      <c r="K67" s="9">
        <v>0.03</v>
      </c>
      <c r="L67" s="9">
        <f t="shared" si="6"/>
        <v>0.03833333333333333</v>
      </c>
    </row>
    <row r="68" spans="1:12" ht="15">
      <c r="A68" s="99" t="str">
        <f>+'Sch 8, p1'!A68</f>
        <v>Constellation Energy</v>
      </c>
      <c r="B68" s="10"/>
      <c r="C68" s="164">
        <v>0.07</v>
      </c>
      <c r="D68" s="164">
        <v>0.077</v>
      </c>
      <c r="E68" s="164">
        <v>0.077</v>
      </c>
      <c r="F68" s="164">
        <v>0.091</v>
      </c>
      <c r="G68" s="164">
        <v>0.095</v>
      </c>
      <c r="H68" s="9">
        <f t="shared" si="5"/>
        <v>0.082</v>
      </c>
      <c r="I68" s="9">
        <v>0.12</v>
      </c>
      <c r="J68" s="9">
        <v>0.13</v>
      </c>
      <c r="K68" s="9">
        <v>0.11</v>
      </c>
      <c r="L68" s="9">
        <f t="shared" si="6"/>
        <v>0.12</v>
      </c>
    </row>
    <row r="69" spans="1:12" ht="15">
      <c r="A69" s="99" t="str">
        <f>+'Sch 8, p1'!A69</f>
        <v>Dominion Resources</v>
      </c>
      <c r="B69" s="10"/>
      <c r="C69" s="164">
        <v>0.04</v>
      </c>
      <c r="D69" s="164">
        <v>0.048</v>
      </c>
      <c r="E69" s="164">
        <v>0.011</v>
      </c>
      <c r="F69" s="164">
        <v>0.056</v>
      </c>
      <c r="G69" s="164">
        <v>0.05</v>
      </c>
      <c r="H69" s="9">
        <f t="shared" si="5"/>
        <v>0.041</v>
      </c>
      <c r="I69" s="9">
        <v>0.08</v>
      </c>
      <c r="J69" s="9">
        <v>0.07</v>
      </c>
      <c r="K69" s="9">
        <v>0.06</v>
      </c>
      <c r="L69" s="9">
        <f t="shared" si="6"/>
        <v>0.07</v>
      </c>
    </row>
    <row r="70" spans="1:12" ht="15">
      <c r="A70" s="99" t="str">
        <f>+'Sch 8, p1'!A70</f>
        <v>DPL Inc</v>
      </c>
      <c r="B70" s="10"/>
      <c r="C70" s="164">
        <v>0.022</v>
      </c>
      <c r="D70" s="164">
        <v>0.098</v>
      </c>
      <c r="E70" s="164">
        <v>0.008</v>
      </c>
      <c r="F70" s="164">
        <v>0.017</v>
      </c>
      <c r="G70" s="164">
        <v>0.115</v>
      </c>
      <c r="H70" s="9">
        <f t="shared" si="5"/>
        <v>0.052000000000000005</v>
      </c>
      <c r="I70" s="9">
        <v>0.11</v>
      </c>
      <c r="J70" s="9">
        <v>0.11</v>
      </c>
      <c r="K70" s="9">
        <v>0.08</v>
      </c>
      <c r="L70" s="9">
        <f t="shared" si="6"/>
        <v>0.09999999999999999</v>
      </c>
    </row>
    <row r="71" spans="1:12" ht="15">
      <c r="A71" s="99" t="str">
        <f>+'Sch 8, p1'!A71</f>
        <v>DTE Energy</v>
      </c>
      <c r="B71" s="10"/>
      <c r="C71" s="9">
        <f>+C38</f>
        <v>0.025</v>
      </c>
      <c r="D71" s="9">
        <f>+D38</f>
        <v>0.016</v>
      </c>
      <c r="E71" s="9">
        <f>+E38</f>
        <v>0.037</v>
      </c>
      <c r="F71" s="9">
        <f>+F38</f>
        <v>0.012</v>
      </c>
      <c r="G71" s="9">
        <f>+G38</f>
        <v>0.015</v>
      </c>
      <c r="H71" s="9">
        <f t="shared" si="5"/>
        <v>0.020999999999999998</v>
      </c>
      <c r="I71" s="9">
        <f>+I38</f>
        <v>0.02</v>
      </c>
      <c r="J71" s="9">
        <f>+J38</f>
        <v>0.03</v>
      </c>
      <c r="K71" s="9">
        <f>+K38</f>
        <v>0.035</v>
      </c>
      <c r="L71" s="9">
        <f t="shared" si="6"/>
        <v>0.028333333333333335</v>
      </c>
    </row>
    <row r="72" spans="1:12" ht="15">
      <c r="A72" s="99" t="str">
        <f>+'Sch 8, p1'!A72</f>
        <v>Energy East</v>
      </c>
      <c r="B72" s="10"/>
      <c r="C72" s="9">
        <f>+C41</f>
        <v>0.031</v>
      </c>
      <c r="D72" s="9">
        <f>+D41</f>
        <v>0.038</v>
      </c>
      <c r="E72" s="9">
        <f>+E41</f>
        <v>0.037</v>
      </c>
      <c r="F72" s="9">
        <f>+F41</f>
        <v>0.032</v>
      </c>
      <c r="G72" s="9">
        <f>+G41</f>
        <v>0.02</v>
      </c>
      <c r="H72" s="9">
        <f t="shared" si="5"/>
        <v>0.0316</v>
      </c>
      <c r="I72" s="9">
        <f>+I41</f>
        <v>0.02</v>
      </c>
      <c r="J72" s="9">
        <f>+J41</f>
        <v>0.015</v>
      </c>
      <c r="K72" s="9">
        <f>+K41</f>
        <v>0.015</v>
      </c>
      <c r="L72" s="9">
        <f t="shared" si="6"/>
        <v>0.016666666666666666</v>
      </c>
    </row>
    <row r="73" spans="1:12" ht="15">
      <c r="A73" s="99" t="str">
        <f>+'Sch 8, p1'!A73</f>
        <v>Exelon</v>
      </c>
      <c r="B73" s="10"/>
      <c r="C73" s="9">
        <v>0.115</v>
      </c>
      <c r="D73" s="9">
        <v>0.107</v>
      </c>
      <c r="E73" s="9">
        <v>0.119</v>
      </c>
      <c r="F73" s="9">
        <v>0.13</v>
      </c>
      <c r="G73" s="9">
        <v>0.152</v>
      </c>
      <c r="H73" s="9">
        <f t="shared" si="5"/>
        <v>0.1246</v>
      </c>
      <c r="I73" s="9">
        <v>0.13</v>
      </c>
      <c r="J73" s="9">
        <v>0.135</v>
      </c>
      <c r="K73" s="9">
        <v>0.15</v>
      </c>
      <c r="L73" s="9">
        <f t="shared" si="6"/>
        <v>0.13833333333333334</v>
      </c>
    </row>
    <row r="74" spans="1:12" ht="15">
      <c r="A74" s="99" t="str">
        <f>+'Sch 8, p1'!A74</f>
        <v>FirstEnergy Corp</v>
      </c>
      <c r="B74" s="10"/>
      <c r="C74" s="9">
        <f>+C43</f>
        <v>0</v>
      </c>
      <c r="D74" s="9">
        <f>+D43</f>
        <v>0.049</v>
      </c>
      <c r="E74" s="9">
        <f>+E43</f>
        <v>0.042</v>
      </c>
      <c r="F74" s="9">
        <f>+F43</f>
        <v>0.074</v>
      </c>
      <c r="G74" s="9">
        <f>+G43</f>
        <v>0.075</v>
      </c>
      <c r="H74" s="9">
        <f t="shared" si="5"/>
        <v>0.048</v>
      </c>
      <c r="I74" s="9">
        <f>+I43</f>
        <v>0.065</v>
      </c>
      <c r="J74" s="9">
        <f>+J43</f>
        <v>0.065</v>
      </c>
      <c r="K74" s="9">
        <f>+K43</f>
        <v>0.065</v>
      </c>
      <c r="L74" s="9">
        <f t="shared" si="6"/>
        <v>0.065</v>
      </c>
    </row>
    <row r="75" spans="1:12" ht="15">
      <c r="A75" s="99" t="str">
        <f>+'Sch 8, p1'!A75</f>
        <v>IDACORP</v>
      </c>
      <c r="B75" s="10"/>
      <c r="C75" s="9">
        <f>+C46</f>
        <v>0</v>
      </c>
      <c r="D75" s="9">
        <f>+D46</f>
        <v>0.027</v>
      </c>
      <c r="E75" s="9">
        <f>+E46</f>
        <v>0.013</v>
      </c>
      <c r="F75" s="9">
        <f>+F46</f>
        <v>0.043</v>
      </c>
      <c r="G75" s="9">
        <f>+G46</f>
        <v>0.03</v>
      </c>
      <c r="H75" s="9">
        <f t="shared" si="5"/>
        <v>0.0226</v>
      </c>
      <c r="I75" s="9">
        <f>+I46</f>
        <v>0.03</v>
      </c>
      <c r="J75" s="9">
        <f>+J46</f>
        <v>0.035</v>
      </c>
      <c r="K75" s="9">
        <f>+K46</f>
        <v>0.035</v>
      </c>
      <c r="L75" s="9">
        <f t="shared" si="6"/>
        <v>0.03333333333333333</v>
      </c>
    </row>
    <row r="76" spans="1:12" ht="15">
      <c r="A76" s="99" t="str">
        <f>+'Sch 8, p1'!A76</f>
        <v>NiSource</v>
      </c>
      <c r="B76" s="10"/>
      <c r="C76" s="164">
        <v>0.03</v>
      </c>
      <c r="D76" s="164">
        <v>0.039</v>
      </c>
      <c r="E76" s="164">
        <v>0.009</v>
      </c>
      <c r="F76" s="164">
        <v>0.012</v>
      </c>
      <c r="G76" s="164">
        <v>0.012</v>
      </c>
      <c r="H76" s="9">
        <f t="shared" si="5"/>
        <v>0.020399999999999998</v>
      </c>
      <c r="I76" s="9">
        <v>0.02</v>
      </c>
      <c r="J76" s="9">
        <v>0.02</v>
      </c>
      <c r="K76" s="9">
        <v>0.025</v>
      </c>
      <c r="L76" s="9">
        <f t="shared" si="6"/>
        <v>0.021666666666666667</v>
      </c>
    </row>
    <row r="77" spans="1:12" ht="15">
      <c r="A77" s="99" t="str">
        <f>+'Sch 8, p1'!A77</f>
        <v>OGE Energy</v>
      </c>
      <c r="B77" s="10"/>
      <c r="C77" s="164">
        <v>0.036</v>
      </c>
      <c r="D77" s="164">
        <v>0.034</v>
      </c>
      <c r="E77" s="164">
        <v>0.034</v>
      </c>
      <c r="F77" s="164">
        <v>0.066</v>
      </c>
      <c r="G77" s="164">
        <v>0.071</v>
      </c>
      <c r="H77" s="9">
        <f t="shared" si="5"/>
        <v>0.0482</v>
      </c>
      <c r="I77" s="9">
        <v>0.055</v>
      </c>
      <c r="J77" s="9">
        <v>0.055</v>
      </c>
      <c r="K77" s="9">
        <v>0.06</v>
      </c>
      <c r="L77" s="9">
        <f t="shared" si="6"/>
        <v>0.056666666666666664</v>
      </c>
    </row>
    <row r="78" spans="1:12" ht="15">
      <c r="A78" s="99" t="str">
        <f>+'Sch 8, p1'!A78</f>
        <v>PPL Corp</v>
      </c>
      <c r="B78" s="10"/>
      <c r="C78" s="164">
        <v>0.117</v>
      </c>
      <c r="D78" s="164">
        <v>0.093</v>
      </c>
      <c r="E78" s="164">
        <v>0.088</v>
      </c>
      <c r="F78" s="164">
        <v>0.093</v>
      </c>
      <c r="G78" s="164">
        <v>0.1</v>
      </c>
      <c r="H78" s="9">
        <f t="shared" si="5"/>
        <v>0.0982</v>
      </c>
      <c r="I78" s="9">
        <v>0.07</v>
      </c>
      <c r="J78" s="9">
        <v>0.07</v>
      </c>
      <c r="K78" s="9">
        <v>0.115</v>
      </c>
      <c r="L78" s="9">
        <f t="shared" si="6"/>
        <v>0.085</v>
      </c>
    </row>
    <row r="79" spans="1:12" ht="15">
      <c r="A79" s="99" t="str">
        <f>+'Sch 8, p1'!A79</f>
        <v>Progress Energy</v>
      </c>
      <c r="B79" s="10"/>
      <c r="C79" s="9">
        <f>+C52</f>
        <v>0.037</v>
      </c>
      <c r="D79" s="9">
        <f>+D52</f>
        <v>0.026</v>
      </c>
      <c r="E79" s="9">
        <f>+E52</f>
        <v>0.017</v>
      </c>
      <c r="F79" s="9">
        <f>+F52</f>
        <v>0</v>
      </c>
      <c r="G79" s="9">
        <f>+G52</f>
        <v>0.01</v>
      </c>
      <c r="H79" s="9">
        <f t="shared" si="5"/>
        <v>0.018</v>
      </c>
      <c r="I79" s="9">
        <f>+I52</f>
        <v>0.015</v>
      </c>
      <c r="J79" s="9">
        <f>+J52</f>
        <v>0.02</v>
      </c>
      <c r="K79" s="9">
        <f>+K52</f>
        <v>0.025</v>
      </c>
      <c r="L79" s="9">
        <f t="shared" si="6"/>
        <v>0.02</v>
      </c>
    </row>
    <row r="80" spans="1:12" ht="15">
      <c r="A80" s="99" t="str">
        <f>+'Sch 8, p1'!A80</f>
        <v>Public Service Enterprise</v>
      </c>
      <c r="B80" s="10"/>
      <c r="C80" s="164">
        <v>0.065</v>
      </c>
      <c r="D80" s="164">
        <v>0.035</v>
      </c>
      <c r="E80" s="164">
        <v>0.052</v>
      </c>
      <c r="F80" s="164">
        <v>0.026</v>
      </c>
      <c r="G80" s="164">
        <v>0.105</v>
      </c>
      <c r="H80" s="9">
        <f t="shared" si="5"/>
        <v>0.0566</v>
      </c>
      <c r="I80" s="9">
        <v>0.1</v>
      </c>
      <c r="J80" s="9">
        <v>0.09</v>
      </c>
      <c r="K80" s="9">
        <v>0.07</v>
      </c>
      <c r="L80" s="9">
        <f t="shared" si="6"/>
        <v>0.08666666666666667</v>
      </c>
    </row>
    <row r="81" spans="1:12" ht="15">
      <c r="A81" s="99" t="str">
        <f>+'Sch 8, p1'!A81</f>
        <v>Southern Company</v>
      </c>
      <c r="B81" s="10"/>
      <c r="C81" s="9">
        <f>+C54</f>
        <v>0.044</v>
      </c>
      <c r="D81" s="9">
        <f aca="true" t="shared" si="7" ref="D81:G82">+D54</f>
        <v>0.047</v>
      </c>
      <c r="E81" s="9">
        <f t="shared" si="7"/>
        <v>0.046</v>
      </c>
      <c r="F81" s="9">
        <f t="shared" si="7"/>
        <v>0.038</v>
      </c>
      <c r="G81" s="9">
        <f t="shared" si="7"/>
        <v>0.04</v>
      </c>
      <c r="H81" s="9">
        <f t="shared" si="5"/>
        <v>0.043000000000000003</v>
      </c>
      <c r="I81" s="9">
        <f aca="true" t="shared" si="8" ref="I81:K82">+I54</f>
        <v>0.04</v>
      </c>
      <c r="J81" s="9">
        <f t="shared" si="8"/>
        <v>0.04</v>
      </c>
      <c r="K81" s="9">
        <f t="shared" si="8"/>
        <v>0.045</v>
      </c>
      <c r="L81" s="9">
        <f t="shared" si="6"/>
        <v>0.041666666666666664</v>
      </c>
    </row>
    <row r="82" spans="1:12" ht="15">
      <c r="A82" s="99" t="str">
        <f>+'Sch 8, p1'!A82</f>
        <v>TECO Energy</v>
      </c>
      <c r="B82" s="10"/>
      <c r="C82" s="9">
        <f>+C55</f>
        <v>0</v>
      </c>
      <c r="D82" s="9">
        <f t="shared" si="7"/>
        <v>0</v>
      </c>
      <c r="E82" s="9">
        <f t="shared" si="7"/>
        <v>0.033</v>
      </c>
      <c r="F82" s="9">
        <f t="shared" si="7"/>
        <v>0.05</v>
      </c>
      <c r="G82" s="9">
        <f t="shared" si="7"/>
        <v>0.051</v>
      </c>
      <c r="H82" s="9">
        <f t="shared" si="5"/>
        <v>0.0268</v>
      </c>
      <c r="I82" s="9">
        <f t="shared" si="8"/>
        <v>0.03</v>
      </c>
      <c r="J82" s="9">
        <f t="shared" si="8"/>
        <v>0.035</v>
      </c>
      <c r="K82" s="9">
        <f t="shared" si="8"/>
        <v>0.035</v>
      </c>
      <c r="L82" s="9">
        <f t="shared" si="6"/>
        <v>0.03333333333333333</v>
      </c>
    </row>
    <row r="83" spans="1:12" ht="15">
      <c r="A83" s="99" t="str">
        <f>+'Sch 8, p1'!A83</f>
        <v>Xcel Energy Inc.</v>
      </c>
      <c r="B83" s="10"/>
      <c r="C83" s="9">
        <f>+C57</f>
        <v>0.039</v>
      </c>
      <c r="D83" s="9">
        <f>+D57</f>
        <v>0.039</v>
      </c>
      <c r="E83" s="9">
        <f>+E57</f>
        <v>0.029</v>
      </c>
      <c r="F83" s="9">
        <f>+F57</f>
        <v>0.036</v>
      </c>
      <c r="G83" s="9">
        <f>+G57</f>
        <v>0.03</v>
      </c>
      <c r="H83" s="9">
        <f t="shared" si="5"/>
        <v>0.0346</v>
      </c>
      <c r="I83" s="9">
        <f>+I57</f>
        <v>0.03</v>
      </c>
      <c r="J83" s="9">
        <f>+J57</f>
        <v>0.035</v>
      </c>
      <c r="K83" s="9">
        <f>+K57</f>
        <v>0.035</v>
      </c>
      <c r="L83" s="9">
        <f t="shared" si="6"/>
        <v>0.03333333333333333</v>
      </c>
    </row>
    <row r="84" spans="1:12" ht="15">
      <c r="A84" s="59"/>
      <c r="B84" s="59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ht="15">
      <c r="A85" s="10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.75">
      <c r="A86" s="10" t="str">
        <f>+'Sch 8, p1'!A86</f>
        <v>Average</v>
      </c>
      <c r="B86" s="10"/>
      <c r="C86" s="9"/>
      <c r="D86" s="9"/>
      <c r="E86" s="9"/>
      <c r="F86" s="9"/>
      <c r="G86" s="9"/>
      <c r="H86" s="32">
        <f>AVERAGE(H65:H83)</f>
        <v>0.045442105263157895</v>
      </c>
      <c r="I86" s="9"/>
      <c r="J86" s="9"/>
      <c r="K86" s="9"/>
      <c r="L86" s="32">
        <f>AVERAGE(L65:L83)</f>
        <v>0.05578947368421052</v>
      </c>
    </row>
    <row r="87" spans="1:12" ht="15.75" thickBot="1">
      <c r="A87" s="61"/>
      <c r="B87" s="61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1:12" ht="15.75" thickTop="1">
      <c r="A88" s="10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ht="15">
      <c r="A89" s="10" t="s">
        <v>94</v>
      </c>
    </row>
    <row r="95" ht="15">
      <c r="H95" s="26"/>
    </row>
    <row r="96" spans="3:8" ht="15">
      <c r="C96" s="27"/>
      <c r="D96" s="26"/>
      <c r="E96" s="29"/>
      <c r="F96" s="29"/>
      <c r="G96" s="29"/>
      <c r="H96" s="26"/>
    </row>
    <row r="97" spans="3:8" ht="15">
      <c r="C97" s="27"/>
      <c r="D97" s="28"/>
      <c r="E97" s="29"/>
      <c r="F97" s="29"/>
      <c r="G97" s="29"/>
      <c r="H97" s="29"/>
    </row>
    <row r="98" spans="3:8" ht="15">
      <c r="C98" s="27"/>
      <c r="D98" s="28"/>
      <c r="E98" s="29"/>
      <c r="F98" s="29"/>
      <c r="G98" s="29"/>
      <c r="H98" s="29"/>
    </row>
    <row r="99" spans="3:8" ht="15">
      <c r="C99" s="27"/>
      <c r="D99" s="28"/>
      <c r="E99" s="29"/>
      <c r="F99" s="29"/>
      <c r="G99" s="29"/>
      <c r="H99" s="29"/>
    </row>
    <row r="100" spans="3:8" ht="15">
      <c r="C100" s="27"/>
      <c r="D100" s="28"/>
      <c r="E100" s="29"/>
      <c r="F100" s="29"/>
      <c r="G100" s="29"/>
      <c r="H100" s="29"/>
    </row>
    <row r="101" spans="3:8" ht="15">
      <c r="C101" s="27"/>
      <c r="D101" s="28"/>
      <c r="E101" s="29"/>
      <c r="F101" s="29"/>
      <c r="G101" s="29"/>
      <c r="H101" s="29"/>
    </row>
  </sheetData>
  <sheetProtection/>
  <mergeCells count="2">
    <mergeCell ref="A6:L6"/>
    <mergeCell ref="A7:L7"/>
  </mergeCells>
  <printOptions horizontalCentered="1"/>
  <pageMargins left="0.5" right="0.5" top="0.5" bottom="0.55" header="0" footer="0"/>
  <pageSetup fitToHeight="1" fitToWidth="1" horizontalDpi="600" verticalDpi="600" orientation="portrait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showOutlineSymbols="0" zoomScale="85" zoomScaleNormal="85" zoomScalePageLayoutView="0" workbookViewId="0" topLeftCell="A1">
      <selection activeCell="K87" sqref="K87"/>
    </sheetView>
  </sheetViews>
  <sheetFormatPr defaultColWidth="9.77734375" defaultRowHeight="15"/>
  <cols>
    <col min="1" max="1" width="23.77734375" style="23" customWidth="1"/>
    <col min="2" max="2" width="2.77734375" style="23" customWidth="1"/>
    <col min="3" max="6" width="9.77734375" style="23" customWidth="1"/>
    <col min="7" max="7" width="2.77734375" style="23" customWidth="1"/>
    <col min="8" max="16384" width="9.77734375" style="23" customWidth="1"/>
  </cols>
  <sheetData>
    <row r="1" ht="15.75">
      <c r="J1" s="2" t="str">
        <f>+'Sch 8, p 2'!K1</f>
        <v>Exhibit___(DCP-2)</v>
      </c>
    </row>
    <row r="2" ht="15.75">
      <c r="J2" s="2" t="str">
        <f>'Sch 8, p 2'!K2</f>
        <v>Schedule 8</v>
      </c>
    </row>
    <row r="3" ht="15.75">
      <c r="J3" s="2" t="s">
        <v>164</v>
      </c>
    </row>
    <row r="4" ht="15.75">
      <c r="K4" s="2"/>
    </row>
    <row r="5" ht="15.75">
      <c r="K5" s="2"/>
    </row>
    <row r="6" spans="1:11" ht="20.25">
      <c r="A6" s="3" t="str">
        <f>'Sch 8, p 2'!A6</f>
        <v>COMPARISON COMPANIES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25">
      <c r="A7" s="3" t="s">
        <v>96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10" spans="1:11" ht="15.75" thickTop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3:11" ht="15">
      <c r="C11" s="4" t="s">
        <v>97</v>
      </c>
      <c r="D11" s="4"/>
      <c r="E11" s="4"/>
      <c r="F11" s="4"/>
      <c r="H11" s="4" t="s">
        <v>340</v>
      </c>
      <c r="I11" s="4"/>
      <c r="J11" s="4"/>
      <c r="K11" s="4"/>
    </row>
    <row r="12" spans="1:11" ht="15">
      <c r="A12" s="8" t="str">
        <f>'Sch 8, p 2'!A12</f>
        <v>COMPANY</v>
      </c>
      <c r="C12" s="20" t="s">
        <v>98</v>
      </c>
      <c r="D12" s="20" t="s">
        <v>88</v>
      </c>
      <c r="E12" s="20" t="s">
        <v>99</v>
      </c>
      <c r="F12" s="20" t="s">
        <v>95</v>
      </c>
      <c r="H12" s="20" t="s">
        <v>98</v>
      </c>
      <c r="I12" s="20" t="s">
        <v>88</v>
      </c>
      <c r="J12" s="20" t="s">
        <v>99</v>
      </c>
      <c r="K12" s="20" t="s">
        <v>95</v>
      </c>
    </row>
    <row r="14" spans="1:11" ht="15.75" thickTop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6" ht="15.75">
      <c r="A16" s="33" t="str">
        <f>'Sch 8, p 2'!A16</f>
        <v>Comparison Group</v>
      </c>
    </row>
    <row r="18" spans="1:11" ht="15">
      <c r="A18" s="23" t="str">
        <f>+'Sch 8, p 2'!A18</f>
        <v>Avista Corp</v>
      </c>
      <c r="C18" s="9">
        <v>0.005</v>
      </c>
      <c r="D18" s="9">
        <v>0.025</v>
      </c>
      <c r="E18" s="9">
        <v>0.035</v>
      </c>
      <c r="F18" s="9">
        <f>AVERAGE(C18:E18)</f>
        <v>0.021666666666666667</v>
      </c>
      <c r="G18" s="9"/>
      <c r="H18" s="9">
        <v>0.09</v>
      </c>
      <c r="I18" s="9">
        <v>0.125</v>
      </c>
      <c r="J18" s="9">
        <v>0.04</v>
      </c>
      <c r="K18" s="9">
        <f>AVERAGE(H18:J18)</f>
        <v>0.085</v>
      </c>
    </row>
    <row r="19" spans="1:11" ht="15">
      <c r="A19" s="23" t="str">
        <f>+'Sch 8, p 2'!A19</f>
        <v>Empire District Electric</v>
      </c>
      <c r="C19" s="9">
        <v>0.01</v>
      </c>
      <c r="D19" s="164">
        <v>0</v>
      </c>
      <c r="E19" s="9">
        <v>0.02</v>
      </c>
      <c r="F19" s="9">
        <f aca="true" t="shared" si="0" ref="F19:F24">AVERAGE(C19:E19)</f>
        <v>0.01</v>
      </c>
      <c r="G19" s="9"/>
      <c r="H19" s="9">
        <v>0.1</v>
      </c>
      <c r="I19" s="9">
        <v>0.015</v>
      </c>
      <c r="J19" s="9">
        <v>0.025</v>
      </c>
      <c r="K19" s="9">
        <f aca="true" t="shared" si="1" ref="K19:K24">AVERAGE(H19:J19)</f>
        <v>0.04666666666666667</v>
      </c>
    </row>
    <row r="20" spans="1:11" ht="15">
      <c r="A20" s="23" t="str">
        <f>+'Sch 8, p 2'!A20</f>
        <v>Hawaiian Electric Industries</v>
      </c>
      <c r="C20" s="9">
        <v>-0.01</v>
      </c>
      <c r="D20" s="164">
        <v>0</v>
      </c>
      <c r="E20" s="9">
        <v>0.02</v>
      </c>
      <c r="F20" s="9">
        <f t="shared" si="0"/>
        <v>0.0033333333333333335</v>
      </c>
      <c r="G20" s="9"/>
      <c r="H20" s="9">
        <v>0.015</v>
      </c>
      <c r="I20" s="9">
        <v>0</v>
      </c>
      <c r="J20" s="9">
        <v>-0.005</v>
      </c>
      <c r="K20" s="9">
        <f t="shared" si="1"/>
        <v>0.0033333333333333327</v>
      </c>
    </row>
    <row r="21" spans="1:11" ht="15">
      <c r="A21" s="23" t="str">
        <f>+'Sch 8, p 2'!A21</f>
        <v>PEPCO Holdings</v>
      </c>
      <c r="C21" s="164">
        <v>-0.05</v>
      </c>
      <c r="D21" s="9">
        <v>0</v>
      </c>
      <c r="E21" s="9">
        <v>0.005</v>
      </c>
      <c r="F21" s="9">
        <f t="shared" si="0"/>
        <v>-0.015000000000000001</v>
      </c>
      <c r="G21" s="9"/>
      <c r="H21" s="9">
        <v>0.13</v>
      </c>
      <c r="I21" s="9">
        <v>0.15</v>
      </c>
      <c r="J21" s="9">
        <v>0.03</v>
      </c>
      <c r="K21" s="9">
        <f t="shared" si="1"/>
        <v>0.10333333333333335</v>
      </c>
    </row>
    <row r="22" spans="1:11" ht="15">
      <c r="A22" s="23" t="str">
        <f>+'Sch 8, p 2'!A22</f>
        <v>Pinnacle West</v>
      </c>
      <c r="C22" s="9">
        <v>-0.05</v>
      </c>
      <c r="D22" s="9">
        <v>0.06</v>
      </c>
      <c r="E22" s="9">
        <v>0.04</v>
      </c>
      <c r="F22" s="9">
        <f t="shared" si="0"/>
        <v>0.016666666666666666</v>
      </c>
      <c r="G22" s="9"/>
      <c r="H22" s="9">
        <v>0.015</v>
      </c>
      <c r="I22" s="9">
        <v>0.03</v>
      </c>
      <c r="J22" s="9">
        <v>0.02</v>
      </c>
      <c r="K22" s="9">
        <f t="shared" si="1"/>
        <v>0.021666666666666667</v>
      </c>
    </row>
    <row r="23" spans="1:11" ht="15">
      <c r="A23" s="23" t="str">
        <f>+'Sch 8, p 2'!A23</f>
        <v>PNM Resources</v>
      </c>
      <c r="C23" s="9">
        <v>-0.025</v>
      </c>
      <c r="D23" s="9">
        <v>0.075</v>
      </c>
      <c r="E23" s="9">
        <v>0.045</v>
      </c>
      <c r="F23" s="9">
        <f t="shared" si="0"/>
        <v>0.03166666666666667</v>
      </c>
      <c r="G23" s="9"/>
      <c r="H23" s="9">
        <v>0.025</v>
      </c>
      <c r="I23" s="9">
        <v>0.06</v>
      </c>
      <c r="J23" s="9">
        <v>0.045</v>
      </c>
      <c r="K23" s="9">
        <f t="shared" si="1"/>
        <v>0.043333333333333335</v>
      </c>
    </row>
    <row r="24" spans="1:11" ht="15">
      <c r="A24" s="23" t="str">
        <f>+'Sch 8, p 2'!A24</f>
        <v>Westar Energy</v>
      </c>
      <c r="C24" s="9">
        <v>0.32</v>
      </c>
      <c r="D24" s="9">
        <v>-0.05</v>
      </c>
      <c r="E24" s="9">
        <v>-0.045</v>
      </c>
      <c r="F24" s="9">
        <f t="shared" si="0"/>
        <v>0.07500000000000001</v>
      </c>
      <c r="G24" s="9"/>
      <c r="H24" s="9">
        <v>0.015</v>
      </c>
      <c r="I24" s="9">
        <v>0.05</v>
      </c>
      <c r="J24" s="9">
        <v>0.035</v>
      </c>
      <c r="K24" s="9">
        <f t="shared" si="1"/>
        <v>0.03333333333333333</v>
      </c>
    </row>
    <row r="25" spans="1:11" ht="15">
      <c r="A25" s="52"/>
      <c r="B25" s="52"/>
      <c r="C25" s="54"/>
      <c r="D25" s="54"/>
      <c r="E25" s="54"/>
      <c r="F25" s="54"/>
      <c r="G25" s="54"/>
      <c r="H25" s="54"/>
      <c r="I25" s="54"/>
      <c r="J25" s="54"/>
      <c r="K25" s="54"/>
    </row>
    <row r="26" spans="3:11" ht="15">
      <c r="C26" s="9"/>
      <c r="D26" s="9"/>
      <c r="E26" s="9"/>
      <c r="F26" s="9"/>
      <c r="G26" s="9"/>
      <c r="H26" s="9"/>
      <c r="I26" s="9"/>
      <c r="J26" s="9"/>
      <c r="K26" s="9"/>
    </row>
    <row r="27" spans="1:11" ht="15.75">
      <c r="A27" s="23" t="s">
        <v>95</v>
      </c>
      <c r="C27" s="9"/>
      <c r="D27" s="9"/>
      <c r="E27" s="9"/>
      <c r="F27" s="32">
        <f>AVERAGE(F18:F24)</f>
        <v>0.020476190476190478</v>
      </c>
      <c r="G27" s="9"/>
      <c r="H27" s="9"/>
      <c r="I27" s="9"/>
      <c r="J27" s="9"/>
      <c r="K27" s="32">
        <f>AVERAGE(K18:K24)</f>
        <v>0.048095238095238094</v>
      </c>
    </row>
    <row r="28" spans="1:11" ht="15.75" thickBot="1">
      <c r="A28" s="55"/>
      <c r="B28" s="55"/>
      <c r="C28" s="57"/>
      <c r="D28" s="57"/>
      <c r="E28" s="57"/>
      <c r="F28" s="57"/>
      <c r="G28" s="57"/>
      <c r="H28" s="57"/>
      <c r="I28" s="57"/>
      <c r="J28" s="57"/>
      <c r="K28" s="57"/>
    </row>
    <row r="29" spans="3:11" ht="15.75" thickTop="1">
      <c r="C29" s="9"/>
      <c r="D29" s="9"/>
      <c r="E29" s="9"/>
      <c r="F29" s="9"/>
      <c r="G29" s="9"/>
      <c r="H29" s="9"/>
      <c r="I29" s="9"/>
      <c r="J29" s="9"/>
      <c r="K29" s="9"/>
    </row>
    <row r="30" spans="1:11" ht="15.75">
      <c r="A30" s="33" t="str">
        <f>'Sch 8, p 2'!A30</f>
        <v>S&amp;P Integrated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33" t="str">
        <f>'Sch 8, p 2'!A31</f>
        <v>Electric Utilities</v>
      </c>
      <c r="C31" s="9"/>
      <c r="D31" s="9"/>
      <c r="E31" s="9"/>
      <c r="F31" s="9"/>
      <c r="G31" s="9"/>
      <c r="H31" s="9"/>
      <c r="I31" s="9"/>
      <c r="J31" s="9"/>
      <c r="K31" s="9"/>
    </row>
    <row r="32" spans="3:11" ht="15"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23" t="str">
        <f>+'Sch 8, p 2'!A33</f>
        <v>ALLETE</v>
      </c>
      <c r="C33" s="9"/>
      <c r="D33" s="9"/>
      <c r="E33" s="9"/>
      <c r="F33" s="9"/>
      <c r="G33" s="9"/>
      <c r="H33" s="9">
        <v>0.025</v>
      </c>
      <c r="I33" s="9">
        <v>0.055</v>
      </c>
      <c r="J33" s="9">
        <v>0.065</v>
      </c>
      <c r="K33" s="9">
        <f aca="true" t="shared" si="2" ref="K33:K57">AVERAGE(H33:J33)</f>
        <v>0.04833333333333334</v>
      </c>
    </row>
    <row r="34" spans="1:11" ht="15">
      <c r="A34" s="23" t="str">
        <f>+'Sch 8, p 2'!A34</f>
        <v>Alliant Energy</v>
      </c>
      <c r="C34" s="9">
        <v>0.03</v>
      </c>
      <c r="D34" s="9">
        <v>-0.105</v>
      </c>
      <c r="E34" s="9">
        <v>0.005</v>
      </c>
      <c r="F34" s="9">
        <f aca="true" t="shared" si="3" ref="F34:F57">AVERAGE(C34:E34)</f>
        <v>-0.02333333333333333</v>
      </c>
      <c r="G34" s="9"/>
      <c r="H34" s="9">
        <v>0.06</v>
      </c>
      <c r="I34" s="9">
        <v>0.09</v>
      </c>
      <c r="J34" s="9">
        <v>0.06</v>
      </c>
      <c r="K34" s="9">
        <f t="shared" si="2"/>
        <v>0.06999999999999999</v>
      </c>
    </row>
    <row r="35" spans="1:11" ht="15">
      <c r="A35" s="23" t="str">
        <f>+'Sch 8, p 2'!A35</f>
        <v>American Electric Power</v>
      </c>
      <c r="C35" s="9">
        <v>0.03</v>
      </c>
      <c r="D35" s="164">
        <v>-0.095</v>
      </c>
      <c r="E35" s="9">
        <v>-0.025</v>
      </c>
      <c r="F35" s="9">
        <f t="shared" si="3"/>
        <v>-0.03</v>
      </c>
      <c r="G35" s="9"/>
      <c r="H35" s="9">
        <v>0.06</v>
      </c>
      <c r="I35" s="9">
        <v>0.075</v>
      </c>
      <c r="J35" s="9">
        <v>0.06</v>
      </c>
      <c r="K35" s="9">
        <f t="shared" si="2"/>
        <v>0.065</v>
      </c>
    </row>
    <row r="36" spans="1:11" ht="15">
      <c r="A36" s="23" t="str">
        <f>+'Sch 8, p 2'!A36</f>
        <v>Ameren Corp.</v>
      </c>
      <c r="C36" s="9">
        <v>-0.015</v>
      </c>
      <c r="D36" s="9"/>
      <c r="E36" s="9">
        <v>0.055</v>
      </c>
      <c r="F36" s="9">
        <f t="shared" si="3"/>
        <v>0.02</v>
      </c>
      <c r="G36" s="9"/>
      <c r="H36" s="9">
        <v>0.035</v>
      </c>
      <c r="I36" s="9">
        <v>0</v>
      </c>
      <c r="J36" s="9">
        <v>0.03</v>
      </c>
      <c r="K36" s="9">
        <f t="shared" si="2"/>
        <v>0.021666666666666667</v>
      </c>
    </row>
    <row r="37" spans="1:11" ht="15">
      <c r="A37" s="23" t="str">
        <f>+'Sch 8, p 2'!A37</f>
        <v>Cleco</v>
      </c>
      <c r="C37" s="164"/>
      <c r="D37" s="9">
        <v>0.01</v>
      </c>
      <c r="E37" s="9">
        <v>0.055</v>
      </c>
      <c r="F37" s="9">
        <f t="shared" si="3"/>
        <v>0.0325</v>
      </c>
      <c r="G37" s="9"/>
      <c r="H37" s="9">
        <v>0.075</v>
      </c>
      <c r="I37" s="9">
        <v>0.075</v>
      </c>
      <c r="J37" s="9">
        <v>0.07</v>
      </c>
      <c r="K37" s="9">
        <f t="shared" si="2"/>
        <v>0.07333333333333333</v>
      </c>
    </row>
    <row r="38" spans="1:11" ht="15">
      <c r="A38" s="23" t="str">
        <f>+'Sch 8, p 2'!A38</f>
        <v>DTE Energy</v>
      </c>
      <c r="C38" s="9">
        <v>-0.01</v>
      </c>
      <c r="D38" s="164"/>
      <c r="E38" s="9">
        <v>0.03</v>
      </c>
      <c r="F38" s="9">
        <f t="shared" si="3"/>
        <v>0.009999999999999998</v>
      </c>
      <c r="G38" s="9"/>
      <c r="H38" s="9">
        <v>0.045</v>
      </c>
      <c r="I38" s="9">
        <v>0.015</v>
      </c>
      <c r="J38" s="9">
        <v>0.04</v>
      </c>
      <c r="K38" s="9">
        <f t="shared" si="2"/>
        <v>0.03333333333333333</v>
      </c>
    </row>
    <row r="39" spans="1:11" ht="15">
      <c r="A39" s="23" t="str">
        <f>+'Sch 8, p 2'!A39</f>
        <v>Edison International</v>
      </c>
      <c r="C39" s="9"/>
      <c r="D39" s="9">
        <v>0.085</v>
      </c>
      <c r="E39" s="9">
        <v>0.14</v>
      </c>
      <c r="F39" s="9">
        <f t="shared" si="3"/>
        <v>0.11250000000000002</v>
      </c>
      <c r="G39" s="9"/>
      <c r="H39" s="9">
        <v>0.065</v>
      </c>
      <c r="I39" s="9">
        <v>0.065</v>
      </c>
      <c r="J39" s="9">
        <v>0.085</v>
      </c>
      <c r="K39" s="9">
        <f t="shared" si="2"/>
        <v>0.07166666666666667</v>
      </c>
    </row>
    <row r="40" spans="1:11" ht="15">
      <c r="A40" s="23" t="str">
        <f>+'Sch 8, p 2'!A40</f>
        <v>Empire District Electric</v>
      </c>
      <c r="C40" s="9">
        <f>+C19</f>
        <v>0.01</v>
      </c>
      <c r="D40" s="164">
        <f>+D19</f>
        <v>0</v>
      </c>
      <c r="E40" s="9">
        <f>+E19</f>
        <v>0.02</v>
      </c>
      <c r="F40" s="9">
        <f t="shared" si="3"/>
        <v>0.01</v>
      </c>
      <c r="G40" s="9"/>
      <c r="H40" s="9">
        <f>+H19</f>
        <v>0.1</v>
      </c>
      <c r="I40" s="9">
        <f>+I19</f>
        <v>0.015</v>
      </c>
      <c r="J40" s="9">
        <f>+J19</f>
        <v>0.025</v>
      </c>
      <c r="K40" s="9">
        <f t="shared" si="2"/>
        <v>0.04666666666666667</v>
      </c>
    </row>
    <row r="41" spans="1:11" ht="15">
      <c r="A41" s="23" t="str">
        <f>+'Sch 8, p 2'!A41</f>
        <v>Energy East</v>
      </c>
      <c r="C41" s="164">
        <v>-0.03</v>
      </c>
      <c r="D41" s="9">
        <v>0.05</v>
      </c>
      <c r="E41" s="9">
        <v>0.06</v>
      </c>
      <c r="F41" s="9">
        <f t="shared" si="3"/>
        <v>0.02666666666666667</v>
      </c>
      <c r="G41" s="9"/>
      <c r="H41" s="9">
        <v>0.005</v>
      </c>
      <c r="I41" s="9">
        <v>0.035</v>
      </c>
      <c r="J41" s="9">
        <v>0.02</v>
      </c>
      <c r="K41" s="9">
        <f t="shared" si="2"/>
        <v>0.02</v>
      </c>
    </row>
    <row r="42" spans="1:11" ht="15">
      <c r="A42" s="23" t="str">
        <f>+'Sch 8, p 2'!A42</f>
        <v>Entergy</v>
      </c>
      <c r="C42" s="9">
        <v>0.095</v>
      </c>
      <c r="D42" s="9">
        <v>0.125</v>
      </c>
      <c r="E42" s="9">
        <v>0.03</v>
      </c>
      <c r="F42" s="9">
        <f t="shared" si="3"/>
        <v>0.08333333333333333</v>
      </c>
      <c r="G42" s="9"/>
      <c r="H42" s="9">
        <v>0.08</v>
      </c>
      <c r="I42" s="9">
        <v>0.105</v>
      </c>
      <c r="J42" s="9">
        <v>0.08</v>
      </c>
      <c r="K42" s="9">
        <f t="shared" si="2"/>
        <v>0.08833333333333333</v>
      </c>
    </row>
    <row r="43" spans="1:11" ht="15">
      <c r="A43" s="23" t="str">
        <f>+'Sch 8, p 2'!A43</f>
        <v>FirstEnergy Corp</v>
      </c>
      <c r="C43" s="9">
        <v>0.035</v>
      </c>
      <c r="D43" s="9">
        <v>0.04</v>
      </c>
      <c r="E43" s="9">
        <v>0.045</v>
      </c>
      <c r="F43" s="9">
        <f t="shared" si="3"/>
        <v>0.04</v>
      </c>
      <c r="G43" s="9"/>
      <c r="H43" s="9">
        <v>0.085</v>
      </c>
      <c r="I43" s="9">
        <v>0.075</v>
      </c>
      <c r="J43" s="9">
        <v>0.055</v>
      </c>
      <c r="K43" s="9">
        <f t="shared" si="2"/>
        <v>0.07166666666666667</v>
      </c>
    </row>
    <row r="44" spans="1:11" ht="15">
      <c r="A44" s="23" t="str">
        <f>+'Sch 8, p 2'!A44</f>
        <v>FPL Group</v>
      </c>
      <c r="C44" s="9">
        <v>0.045</v>
      </c>
      <c r="D44" s="9">
        <v>0.055</v>
      </c>
      <c r="E44" s="9">
        <v>0.065</v>
      </c>
      <c r="F44" s="9">
        <f t="shared" si="3"/>
        <v>0.055</v>
      </c>
      <c r="G44" s="9"/>
      <c r="H44" s="9">
        <v>0.115</v>
      </c>
      <c r="I44" s="9">
        <v>0.09</v>
      </c>
      <c r="J44" s="9">
        <v>0.105</v>
      </c>
      <c r="K44" s="9">
        <f t="shared" si="2"/>
        <v>0.10333333333333333</v>
      </c>
    </row>
    <row r="45" spans="1:11" ht="15">
      <c r="A45" s="23" t="str">
        <f>+'Sch 8, p 2'!A45</f>
        <v>Hawaiian Electric Industries</v>
      </c>
      <c r="C45" s="9">
        <f>+C20</f>
        <v>-0.01</v>
      </c>
      <c r="D45" s="9">
        <f>+D20</f>
        <v>0</v>
      </c>
      <c r="E45" s="9">
        <f>+E20</f>
        <v>0.02</v>
      </c>
      <c r="F45" s="9">
        <f t="shared" si="3"/>
        <v>0.0033333333333333335</v>
      </c>
      <c r="G45" s="9"/>
      <c r="H45" s="9">
        <f>+H20</f>
        <v>0.015</v>
      </c>
      <c r="I45" s="9">
        <f>+I20</f>
        <v>0</v>
      </c>
      <c r="J45" s="9">
        <f>+J20</f>
        <v>-0.005</v>
      </c>
      <c r="K45" s="9">
        <f t="shared" si="2"/>
        <v>0.0033333333333333327</v>
      </c>
    </row>
    <row r="46" spans="1:11" ht="15">
      <c r="A46" s="23" t="str">
        <f>+'Sch 8, p 2'!A46</f>
        <v>IDACORP</v>
      </c>
      <c r="C46" s="9">
        <v>-0.085</v>
      </c>
      <c r="D46" s="9">
        <v>-0.085</v>
      </c>
      <c r="E46" s="9">
        <v>0.025</v>
      </c>
      <c r="F46" s="9">
        <f t="shared" si="3"/>
        <v>-0.04833333333333334</v>
      </c>
      <c r="G46" s="9"/>
      <c r="H46" s="9">
        <v>0.02</v>
      </c>
      <c r="I46" s="9">
        <v>0</v>
      </c>
      <c r="J46" s="9">
        <v>0.04</v>
      </c>
      <c r="K46" s="9">
        <f t="shared" si="2"/>
        <v>0.02</v>
      </c>
    </row>
    <row r="47" spans="1:11" ht="15">
      <c r="A47" s="23" t="str">
        <f>+'Sch 8, p 2'!A47</f>
        <v>MGE Corp</v>
      </c>
      <c r="C47" s="9">
        <v>0.035</v>
      </c>
      <c r="D47" s="9">
        <v>0.01</v>
      </c>
      <c r="E47" s="9">
        <v>0.075</v>
      </c>
      <c r="F47" s="9">
        <f t="shared" si="3"/>
        <v>0.04</v>
      </c>
      <c r="G47" s="9"/>
      <c r="H47" s="9">
        <v>0.06</v>
      </c>
      <c r="I47" s="9">
        <v>0.005</v>
      </c>
      <c r="J47" s="9">
        <v>0.07</v>
      </c>
      <c r="K47" s="9">
        <f t="shared" si="2"/>
        <v>0.045000000000000005</v>
      </c>
    </row>
    <row r="48" spans="1:11" ht="15">
      <c r="A48" s="23" t="str">
        <f>+'Sch 8, p 2'!A48</f>
        <v>Northeast Utilities</v>
      </c>
      <c r="C48" s="9"/>
      <c r="D48" s="9">
        <v>0.165</v>
      </c>
      <c r="E48" s="9">
        <v>0.03</v>
      </c>
      <c r="F48" s="9">
        <f t="shared" si="3"/>
        <v>0.0975</v>
      </c>
      <c r="G48" s="9"/>
      <c r="H48" s="9">
        <v>0.15</v>
      </c>
      <c r="I48" s="9">
        <v>0.06</v>
      </c>
      <c r="J48" s="9">
        <v>0.055</v>
      </c>
      <c r="K48" s="9">
        <f t="shared" si="2"/>
        <v>0.08833333333333333</v>
      </c>
    </row>
    <row r="49" spans="1:11" ht="15">
      <c r="A49" s="23" t="str">
        <f>+'Sch 8, p 2'!A49</f>
        <v>PG&amp;E</v>
      </c>
      <c r="C49" s="164"/>
      <c r="D49" s="164">
        <v>-0.015</v>
      </c>
      <c r="E49" s="164">
        <v>0.095</v>
      </c>
      <c r="F49" s="9">
        <f t="shared" si="3"/>
        <v>0.04</v>
      </c>
      <c r="G49" s="9"/>
      <c r="H49" s="164">
        <v>0.045</v>
      </c>
      <c r="I49" s="164"/>
      <c r="J49" s="164">
        <v>0.055</v>
      </c>
      <c r="K49" s="9">
        <f t="shared" si="2"/>
        <v>0.05</v>
      </c>
    </row>
    <row r="50" spans="1:11" ht="15">
      <c r="A50" s="23" t="str">
        <f>+'Sch 8, p 2'!A50</f>
        <v>Pinnacle West</v>
      </c>
      <c r="C50" s="164">
        <f>+C22</f>
        <v>-0.05</v>
      </c>
      <c r="D50" s="9">
        <f aca="true" t="shared" si="4" ref="D50:J51">+D22</f>
        <v>0.06</v>
      </c>
      <c r="E50" s="9">
        <f t="shared" si="4"/>
        <v>0.04</v>
      </c>
      <c r="F50" s="9">
        <f t="shared" si="3"/>
        <v>0.016666666666666666</v>
      </c>
      <c r="G50" s="9"/>
      <c r="H50" s="9">
        <f t="shared" si="4"/>
        <v>0.015</v>
      </c>
      <c r="I50" s="9">
        <f t="shared" si="4"/>
        <v>0.03</v>
      </c>
      <c r="J50" s="9">
        <f t="shared" si="4"/>
        <v>0.02</v>
      </c>
      <c r="K50" s="9">
        <f t="shared" si="2"/>
        <v>0.021666666666666667</v>
      </c>
    </row>
    <row r="51" spans="1:11" ht="15">
      <c r="A51" s="23" t="str">
        <f>+'Sch 8, p 2'!A51</f>
        <v>PNM Resources</v>
      </c>
      <c r="C51" s="9">
        <f>+C23</f>
        <v>-0.025</v>
      </c>
      <c r="D51" s="9">
        <f t="shared" si="4"/>
        <v>0.075</v>
      </c>
      <c r="E51" s="9">
        <f t="shared" si="4"/>
        <v>0.045</v>
      </c>
      <c r="F51" s="9">
        <f t="shared" si="3"/>
        <v>0.03166666666666667</v>
      </c>
      <c r="G51" s="9"/>
      <c r="H51" s="9">
        <f t="shared" si="4"/>
        <v>0.025</v>
      </c>
      <c r="I51" s="9">
        <f t="shared" si="4"/>
        <v>0.06</v>
      </c>
      <c r="J51" s="9">
        <f t="shared" si="4"/>
        <v>0.045</v>
      </c>
      <c r="K51" s="9">
        <f t="shared" si="2"/>
        <v>0.043333333333333335</v>
      </c>
    </row>
    <row r="52" spans="1:11" ht="15">
      <c r="A52" s="23" t="str">
        <f>+'Sch 8, p 2'!A52</f>
        <v>Progress Energy</v>
      </c>
      <c r="C52" s="9">
        <v>-0.005</v>
      </c>
      <c r="D52" s="9">
        <v>0.025</v>
      </c>
      <c r="E52" s="9">
        <v>0.05</v>
      </c>
      <c r="F52" s="9">
        <f t="shared" si="3"/>
        <v>0.023333333333333334</v>
      </c>
      <c r="G52" s="9"/>
      <c r="H52" s="9">
        <v>0.035</v>
      </c>
      <c r="I52" s="9">
        <v>0.01</v>
      </c>
      <c r="J52" s="9">
        <v>0.015</v>
      </c>
      <c r="K52" s="9">
        <f t="shared" si="2"/>
        <v>0.02</v>
      </c>
    </row>
    <row r="53" spans="1:11" ht="15">
      <c r="A53" s="23" t="str">
        <f>+'Sch 8, p 2'!A53</f>
        <v>Puget Energy</v>
      </c>
      <c r="C53" s="9">
        <v>-0.045</v>
      </c>
      <c r="D53" s="9">
        <v>-0.115</v>
      </c>
      <c r="E53" s="9">
        <v>0.015</v>
      </c>
      <c r="F53" s="9">
        <f t="shared" si="3"/>
        <v>-0.04833333333333334</v>
      </c>
      <c r="G53" s="9"/>
      <c r="H53" s="9">
        <v>0.06</v>
      </c>
      <c r="I53" s="9">
        <v>0.03</v>
      </c>
      <c r="J53" s="9">
        <v>0.04</v>
      </c>
      <c r="K53" s="9">
        <f t="shared" si="2"/>
        <v>0.043333333333333335</v>
      </c>
    </row>
    <row r="54" spans="1:11" ht="15">
      <c r="A54" s="23" t="str">
        <f>+'Sch 8, p 2'!A54</f>
        <v>Southern Company</v>
      </c>
      <c r="C54" s="9">
        <v>0.03</v>
      </c>
      <c r="D54" s="9">
        <v>0.02</v>
      </c>
      <c r="E54" s="9">
        <v>0.01</v>
      </c>
      <c r="F54" s="9">
        <f t="shared" si="3"/>
        <v>0.02</v>
      </c>
      <c r="G54" s="9"/>
      <c r="H54" s="9">
        <v>0.05</v>
      </c>
      <c r="I54" s="9">
        <v>0.045</v>
      </c>
      <c r="J54" s="9">
        <v>0.06</v>
      </c>
      <c r="K54" s="9">
        <f t="shared" si="2"/>
        <v>0.051666666666666666</v>
      </c>
    </row>
    <row r="55" spans="1:11" ht="15">
      <c r="A55" s="23" t="str">
        <f>+'Sch 8, p 2'!A55</f>
        <v>TECO Energy</v>
      </c>
      <c r="C55" s="9">
        <v>-0.13</v>
      </c>
      <c r="D55" s="9">
        <v>-0.105</v>
      </c>
      <c r="E55" s="9">
        <v>-0.095</v>
      </c>
      <c r="F55" s="9">
        <f t="shared" si="3"/>
        <v>-0.10999999999999999</v>
      </c>
      <c r="G55" s="9"/>
      <c r="H55" s="9">
        <v>0.04</v>
      </c>
      <c r="I55" s="9">
        <v>0.02</v>
      </c>
      <c r="J55" s="9">
        <v>0.065</v>
      </c>
      <c r="K55" s="9">
        <f t="shared" si="2"/>
        <v>0.041666666666666664</v>
      </c>
    </row>
    <row r="56" spans="1:11" ht="15">
      <c r="A56" s="23" t="str">
        <f>+'Sch 8, p 2'!A56</f>
        <v>Wisconsin Energy</v>
      </c>
      <c r="C56" s="9">
        <v>0.08</v>
      </c>
      <c r="D56" s="9">
        <v>-0.065</v>
      </c>
      <c r="E56" s="9">
        <v>0.06</v>
      </c>
      <c r="F56" s="9">
        <f t="shared" si="3"/>
        <v>0.024999999999999998</v>
      </c>
      <c r="G56" s="9"/>
      <c r="H56" s="9">
        <v>0.09</v>
      </c>
      <c r="I56" s="9">
        <v>0.09</v>
      </c>
      <c r="J56" s="9">
        <v>0.065</v>
      </c>
      <c r="K56" s="9">
        <f t="shared" si="2"/>
        <v>0.08166666666666667</v>
      </c>
    </row>
    <row r="57" spans="1:11" ht="15">
      <c r="A57" s="23" t="str">
        <f>+'Sch 8, p 2'!A57</f>
        <v>Xcel Energy Inc.</v>
      </c>
      <c r="C57" s="9">
        <v>-0.065</v>
      </c>
      <c r="D57" s="9">
        <v>-0.105</v>
      </c>
      <c r="E57" s="9">
        <v>-0.045</v>
      </c>
      <c r="F57" s="9">
        <f t="shared" si="3"/>
        <v>-0.07166666666666666</v>
      </c>
      <c r="G57" s="9"/>
      <c r="H57" s="9">
        <v>0.055</v>
      </c>
      <c r="I57" s="9">
        <v>0.045</v>
      </c>
      <c r="J57" s="9">
        <v>0.04</v>
      </c>
      <c r="K57" s="9">
        <f t="shared" si="2"/>
        <v>0.04666666666666667</v>
      </c>
    </row>
    <row r="58" spans="1:11" ht="15">
      <c r="A58" s="52"/>
      <c r="B58" s="52"/>
      <c r="C58" s="54"/>
      <c r="D58" s="54"/>
      <c r="E58" s="54"/>
      <c r="F58" s="54"/>
      <c r="G58" s="54"/>
      <c r="H58" s="54"/>
      <c r="I58" s="54"/>
      <c r="J58" s="54"/>
      <c r="K58" s="54"/>
    </row>
    <row r="59" spans="3:11" ht="15">
      <c r="C59" s="9"/>
      <c r="D59" s="9"/>
      <c r="E59" s="9"/>
      <c r="F59" s="9"/>
      <c r="G59" s="9"/>
      <c r="H59" s="9"/>
      <c r="I59" s="9"/>
      <c r="J59" s="9"/>
      <c r="K59" s="9"/>
    </row>
    <row r="60" spans="1:11" ht="15.75">
      <c r="A60" s="23" t="str">
        <f>+'Sch 8, p 2'!A60</f>
        <v>Average</v>
      </c>
      <c r="C60" s="9"/>
      <c r="D60" s="9"/>
      <c r="E60" s="9"/>
      <c r="F60" s="32">
        <f>AVERAGE(F33:F57)</f>
        <v>0.014826388888888889</v>
      </c>
      <c r="G60" s="9"/>
      <c r="H60" s="9"/>
      <c r="I60" s="9"/>
      <c r="J60" s="9"/>
      <c r="K60" s="32">
        <f>AVERAGE(K33:K57)</f>
        <v>0.05080000000000001</v>
      </c>
    </row>
    <row r="61" spans="1:11" ht="15.75" thickBot="1">
      <c r="A61" s="55"/>
      <c r="B61" s="55"/>
      <c r="C61" s="57"/>
      <c r="D61" s="57"/>
      <c r="E61" s="57"/>
      <c r="F61" s="57"/>
      <c r="G61" s="57"/>
      <c r="H61" s="57"/>
      <c r="I61" s="57"/>
      <c r="J61" s="57"/>
      <c r="K61" s="57"/>
    </row>
    <row r="62" spans="3:11" ht="15.75" thickTop="1">
      <c r="C62" s="9"/>
      <c r="D62" s="9"/>
      <c r="E62" s="9"/>
      <c r="F62" s="9"/>
      <c r="G62" s="9"/>
      <c r="H62" s="9"/>
      <c r="I62" s="9"/>
      <c r="J62" s="9"/>
      <c r="K62" s="9"/>
    </row>
    <row r="63" spans="1:11" ht="15.75">
      <c r="A63" s="33" t="str">
        <f>+'Sch 8, p 2'!A63</f>
        <v>Moody's Electric Utilities</v>
      </c>
      <c r="C63" s="9"/>
      <c r="D63" s="9"/>
      <c r="E63" s="9"/>
      <c r="F63" s="9"/>
      <c r="G63" s="9"/>
      <c r="H63" s="9"/>
      <c r="I63" s="9"/>
      <c r="J63" s="9"/>
      <c r="K63" s="9"/>
    </row>
    <row r="64" spans="3:11" ht="15"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34" t="str">
        <f>'Sch 8, p1'!A65</f>
        <v>American Electric Power</v>
      </c>
      <c r="C65" s="9">
        <f>+C35</f>
        <v>0.03</v>
      </c>
      <c r="D65" s="9">
        <f>+D35</f>
        <v>-0.095</v>
      </c>
      <c r="E65" s="9">
        <f>+E35</f>
        <v>-0.025</v>
      </c>
      <c r="F65" s="9">
        <f aca="true" t="shared" si="5" ref="F65:F83">AVERAGE(C65:E65)</f>
        <v>-0.03</v>
      </c>
      <c r="G65" s="9"/>
      <c r="H65" s="9">
        <f>+H35</f>
        <v>0.06</v>
      </c>
      <c r="I65" s="9">
        <f>+I35</f>
        <v>0.075</v>
      </c>
      <c r="J65" s="9">
        <f>+J35</f>
        <v>0.06</v>
      </c>
      <c r="K65" s="9">
        <f aca="true" t="shared" si="6" ref="K65:K83">AVERAGE(H65:J65)</f>
        <v>0.065</v>
      </c>
    </row>
    <row r="66" spans="1:11" ht="15">
      <c r="A66" s="34" t="str">
        <f>'Sch 8, p1'!A66</f>
        <v>CH Energy</v>
      </c>
      <c r="C66" s="9">
        <v>-0.025</v>
      </c>
      <c r="D66" s="164">
        <v>0</v>
      </c>
      <c r="E66" s="9">
        <v>0.015</v>
      </c>
      <c r="F66" s="9">
        <f t="shared" si="5"/>
        <v>-0.003333333333333334</v>
      </c>
      <c r="G66" s="9"/>
      <c r="H66" s="9">
        <v>0.015</v>
      </c>
      <c r="I66" s="9">
        <v>0.005</v>
      </c>
      <c r="J66" s="9">
        <v>0.015</v>
      </c>
      <c r="K66" s="9">
        <f t="shared" si="6"/>
        <v>0.011666666666666667</v>
      </c>
    </row>
    <row r="67" spans="1:11" ht="15">
      <c r="A67" s="34" t="str">
        <f>'Sch 8, p1'!A67</f>
        <v>Consolidated Edison</v>
      </c>
      <c r="C67" s="9">
        <v>-0.02</v>
      </c>
      <c r="D67" s="9">
        <v>0.01</v>
      </c>
      <c r="E67" s="9">
        <v>0.03</v>
      </c>
      <c r="F67" s="9">
        <f t="shared" si="5"/>
        <v>0.006666666666666665</v>
      </c>
      <c r="G67" s="9"/>
      <c r="H67" s="9">
        <v>0.045</v>
      </c>
      <c r="I67" s="9">
        <v>0.01</v>
      </c>
      <c r="J67" s="9">
        <v>0.055</v>
      </c>
      <c r="K67" s="9">
        <f t="shared" si="6"/>
        <v>0.03666666666666667</v>
      </c>
    </row>
    <row r="68" spans="1:11" ht="15">
      <c r="A68" s="34" t="str">
        <f>'Sch 8, p1'!A68</f>
        <v>Constellation Energy</v>
      </c>
      <c r="C68" s="9">
        <v>0.09</v>
      </c>
      <c r="D68" s="9">
        <v>0.01</v>
      </c>
      <c r="E68" s="9">
        <v>0.045</v>
      </c>
      <c r="F68" s="9">
        <f t="shared" si="5"/>
        <v>0.04833333333333333</v>
      </c>
      <c r="G68" s="9"/>
      <c r="H68" s="9">
        <v>0.135</v>
      </c>
      <c r="I68" s="9">
        <v>0.105</v>
      </c>
      <c r="J68" s="9">
        <v>0.1</v>
      </c>
      <c r="K68" s="9">
        <f t="shared" si="6"/>
        <v>0.11333333333333333</v>
      </c>
    </row>
    <row r="69" spans="1:11" ht="15">
      <c r="A69" s="34" t="str">
        <f>'Sch 8, p1'!A69</f>
        <v>Dominion Resources</v>
      </c>
      <c r="C69" s="9">
        <v>0.075</v>
      </c>
      <c r="D69" s="9">
        <v>0.01</v>
      </c>
      <c r="E69" s="9">
        <v>0.035</v>
      </c>
      <c r="F69" s="9">
        <f t="shared" si="5"/>
        <v>0.04</v>
      </c>
      <c r="G69" s="9"/>
      <c r="H69" s="9">
        <v>0.095</v>
      </c>
      <c r="I69" s="9">
        <v>0.075</v>
      </c>
      <c r="J69" s="9">
        <v>0.07</v>
      </c>
      <c r="K69" s="9">
        <f t="shared" si="6"/>
        <v>0.08</v>
      </c>
    </row>
    <row r="70" spans="1:11" ht="15">
      <c r="A70" s="34" t="str">
        <f>'Sch 8, p1'!A70</f>
        <v>DPL Inc</v>
      </c>
      <c r="C70" s="9">
        <v>-0.01</v>
      </c>
      <c r="D70" s="9">
        <v>0.01</v>
      </c>
      <c r="E70" s="9">
        <v>0.025</v>
      </c>
      <c r="F70" s="9">
        <f t="shared" si="5"/>
        <v>0.008333333333333333</v>
      </c>
      <c r="G70" s="9"/>
      <c r="H70" s="9">
        <v>0.11</v>
      </c>
      <c r="I70" s="9">
        <v>0.05</v>
      </c>
      <c r="J70" s="9">
        <v>0.09</v>
      </c>
      <c r="K70" s="9">
        <f t="shared" si="6"/>
        <v>0.08333333333333333</v>
      </c>
    </row>
    <row r="71" spans="1:11" ht="15">
      <c r="A71" s="34" t="str">
        <f>'Sch 8, p1'!A71</f>
        <v>DTE Energy</v>
      </c>
      <c r="C71" s="9">
        <f>+C38</f>
        <v>-0.01</v>
      </c>
      <c r="D71" s="9">
        <f>+D38</f>
        <v>0</v>
      </c>
      <c r="E71" s="9">
        <f>+E38</f>
        <v>0.03</v>
      </c>
      <c r="F71" s="9">
        <f t="shared" si="5"/>
        <v>0.006666666666666665</v>
      </c>
      <c r="G71" s="9"/>
      <c r="H71" s="9">
        <f>+H38</f>
        <v>0.045</v>
      </c>
      <c r="I71" s="9">
        <f>+I38</f>
        <v>0.015</v>
      </c>
      <c r="J71" s="9">
        <f>+J38</f>
        <v>0.04</v>
      </c>
      <c r="K71" s="9">
        <f t="shared" si="6"/>
        <v>0.03333333333333333</v>
      </c>
    </row>
    <row r="72" spans="1:11" ht="15">
      <c r="A72" s="34" t="str">
        <f>'Sch 8, p1'!A72</f>
        <v>Energy East</v>
      </c>
      <c r="C72" s="9">
        <f>+C41</f>
        <v>-0.03</v>
      </c>
      <c r="D72" s="9">
        <f>+D41</f>
        <v>0.05</v>
      </c>
      <c r="E72" s="9">
        <f>+E41</f>
        <v>0.06</v>
      </c>
      <c r="F72" s="9">
        <f t="shared" si="5"/>
        <v>0.02666666666666667</v>
      </c>
      <c r="G72" s="9"/>
      <c r="H72" s="9">
        <f>+H41</f>
        <v>0.005</v>
      </c>
      <c r="I72" s="9">
        <f>+I41</f>
        <v>0.035</v>
      </c>
      <c r="J72" s="9">
        <f>+J41</f>
        <v>0.02</v>
      </c>
      <c r="K72" s="9">
        <f t="shared" si="6"/>
        <v>0.02</v>
      </c>
    </row>
    <row r="73" spans="1:11" ht="15">
      <c r="A73" s="34" t="str">
        <f>'Sch 8, p1'!A73</f>
        <v>Exelon</v>
      </c>
      <c r="C73" s="9">
        <v>0.115</v>
      </c>
      <c r="D73" s="9"/>
      <c r="E73" s="9">
        <v>0.035</v>
      </c>
      <c r="F73" s="9">
        <f t="shared" si="5"/>
        <v>0.07500000000000001</v>
      </c>
      <c r="G73" s="9"/>
      <c r="H73" s="9">
        <v>0.09</v>
      </c>
      <c r="I73" s="9">
        <v>0.07</v>
      </c>
      <c r="J73" s="9">
        <v>0.075</v>
      </c>
      <c r="K73" s="9">
        <f t="shared" si="6"/>
        <v>0.07833333333333332</v>
      </c>
    </row>
    <row r="74" spans="1:11" ht="15">
      <c r="A74" s="34" t="str">
        <f>'Sch 8, p1'!A74</f>
        <v>FirstEnergy Corp</v>
      </c>
      <c r="C74" s="9">
        <f>+C43</f>
        <v>0.035</v>
      </c>
      <c r="D74" s="9">
        <f>+D43</f>
        <v>0.04</v>
      </c>
      <c r="E74" s="9">
        <f>+E43</f>
        <v>0.045</v>
      </c>
      <c r="F74" s="9">
        <f t="shared" si="5"/>
        <v>0.04</v>
      </c>
      <c r="G74" s="9"/>
      <c r="H74" s="9">
        <f>+H43</f>
        <v>0.085</v>
      </c>
      <c r="I74" s="9">
        <f>+I43</f>
        <v>0.075</v>
      </c>
      <c r="J74" s="9">
        <f>+J43</f>
        <v>0.055</v>
      </c>
      <c r="K74" s="9">
        <f t="shared" si="6"/>
        <v>0.07166666666666667</v>
      </c>
    </row>
    <row r="75" spans="1:11" ht="15">
      <c r="A75" s="34" t="str">
        <f>'Sch 8, p1'!A75</f>
        <v>IDACORP</v>
      </c>
      <c r="C75" s="9">
        <f>+C46</f>
        <v>-0.085</v>
      </c>
      <c r="D75" s="164">
        <f>+D46</f>
        <v>-0.085</v>
      </c>
      <c r="E75" s="9">
        <f>+E46</f>
        <v>0.025</v>
      </c>
      <c r="F75" s="9">
        <f t="shared" si="5"/>
        <v>-0.04833333333333334</v>
      </c>
      <c r="G75" s="9"/>
      <c r="H75" s="9">
        <f>+H46</f>
        <v>0.02</v>
      </c>
      <c r="I75" s="164">
        <f>+I46</f>
        <v>0</v>
      </c>
      <c r="J75" s="9">
        <f>+J46</f>
        <v>0.04</v>
      </c>
      <c r="K75" s="9">
        <f t="shared" si="6"/>
        <v>0.02</v>
      </c>
    </row>
    <row r="76" spans="1:11" ht="15">
      <c r="A76" s="34" t="str">
        <f>'Sch 8, p1'!A76</f>
        <v>NiSource</v>
      </c>
      <c r="C76" s="9">
        <v>-0.055</v>
      </c>
      <c r="D76" s="9">
        <v>-0.025</v>
      </c>
      <c r="E76" s="9">
        <v>0.02</v>
      </c>
      <c r="F76" s="9">
        <f t="shared" si="5"/>
        <v>-0.02</v>
      </c>
      <c r="G76" s="9"/>
      <c r="H76" s="9">
        <v>0.05</v>
      </c>
      <c r="I76" s="9">
        <v>0.015</v>
      </c>
      <c r="J76" s="9">
        <v>0.02</v>
      </c>
      <c r="K76" s="9">
        <f t="shared" si="6"/>
        <v>0.028333333333333335</v>
      </c>
    </row>
    <row r="77" spans="1:11" ht="15">
      <c r="A77" s="34" t="str">
        <f>'Sch 8, p1'!A77</f>
        <v>OGE Energy</v>
      </c>
      <c r="C77" s="9">
        <v>0.085</v>
      </c>
      <c r="D77" s="9"/>
      <c r="E77" s="9">
        <v>0.055</v>
      </c>
      <c r="F77" s="9">
        <f t="shared" si="5"/>
        <v>0.07</v>
      </c>
      <c r="G77" s="9"/>
      <c r="H77" s="9">
        <v>0.045</v>
      </c>
      <c r="I77" s="9">
        <v>0.025</v>
      </c>
      <c r="J77" s="9">
        <v>0.065</v>
      </c>
      <c r="K77" s="9">
        <f t="shared" si="6"/>
        <v>0.045000000000000005</v>
      </c>
    </row>
    <row r="78" spans="1:11" ht="15">
      <c r="A78" s="34" t="str">
        <f>'Sch 8, p1'!A78</f>
        <v>PPL Corp</v>
      </c>
      <c r="C78" s="9">
        <v>0.065</v>
      </c>
      <c r="D78" s="9">
        <v>0.13</v>
      </c>
      <c r="E78" s="9">
        <v>0.14</v>
      </c>
      <c r="F78" s="9">
        <f t="shared" si="5"/>
        <v>0.11166666666666668</v>
      </c>
      <c r="G78" s="9"/>
      <c r="H78" s="9">
        <v>0.135</v>
      </c>
      <c r="I78" s="9">
        <v>0.14</v>
      </c>
      <c r="J78" s="9">
        <v>0.1</v>
      </c>
      <c r="K78" s="9">
        <f t="shared" si="6"/>
        <v>0.125</v>
      </c>
    </row>
    <row r="79" spans="1:11" ht="15">
      <c r="A79" s="34" t="str">
        <f>'Sch 8, p1'!A79</f>
        <v>Progress Energy</v>
      </c>
      <c r="C79" s="9">
        <f>+C52</f>
        <v>-0.005</v>
      </c>
      <c r="D79" s="164">
        <f>+D52</f>
        <v>0.025</v>
      </c>
      <c r="E79" s="9">
        <f>+E52</f>
        <v>0.05</v>
      </c>
      <c r="F79" s="9">
        <f t="shared" si="5"/>
        <v>0.023333333333333334</v>
      </c>
      <c r="G79" s="9"/>
      <c r="H79" s="9">
        <f>+H52</f>
        <v>0.035</v>
      </c>
      <c r="I79" s="164">
        <f>+I52</f>
        <v>0.01</v>
      </c>
      <c r="J79" s="9">
        <f>+J52</f>
        <v>0.015</v>
      </c>
      <c r="K79" s="9">
        <f t="shared" si="6"/>
        <v>0.02</v>
      </c>
    </row>
    <row r="80" spans="1:11" ht="15">
      <c r="A80" s="34" t="str">
        <f>'Sch 8, p1'!A80</f>
        <v>Public Service Enterprise</v>
      </c>
      <c r="C80" s="9">
        <v>-0.015</v>
      </c>
      <c r="D80" s="9">
        <v>0.005</v>
      </c>
      <c r="E80" s="9">
        <v>0.05</v>
      </c>
      <c r="F80" s="9">
        <f t="shared" si="5"/>
        <v>0.013333333333333336</v>
      </c>
      <c r="G80" s="9"/>
      <c r="H80" s="9">
        <v>0.105</v>
      </c>
      <c r="I80" s="9">
        <v>0.055</v>
      </c>
      <c r="J80" s="9">
        <v>0.095</v>
      </c>
      <c r="K80" s="9">
        <f t="shared" si="6"/>
        <v>0.085</v>
      </c>
    </row>
    <row r="81" spans="1:11" ht="15">
      <c r="A81" s="34" t="str">
        <f>'Sch 8, p1'!A81</f>
        <v>Southern Company</v>
      </c>
      <c r="C81" s="9">
        <f aca="true" t="shared" si="7" ref="C81:E82">+C54</f>
        <v>0.03</v>
      </c>
      <c r="D81" s="9">
        <f t="shared" si="7"/>
        <v>0.02</v>
      </c>
      <c r="E81" s="9">
        <f t="shared" si="7"/>
        <v>0.01</v>
      </c>
      <c r="F81" s="9">
        <f t="shared" si="5"/>
        <v>0.02</v>
      </c>
      <c r="G81" s="9"/>
      <c r="H81" s="9">
        <f aca="true" t="shared" si="8" ref="H81:J82">+H54</f>
        <v>0.05</v>
      </c>
      <c r="I81" s="9">
        <f t="shared" si="8"/>
        <v>0.045</v>
      </c>
      <c r="J81" s="9">
        <f t="shared" si="8"/>
        <v>0.06</v>
      </c>
      <c r="K81" s="9">
        <f t="shared" si="6"/>
        <v>0.051666666666666666</v>
      </c>
    </row>
    <row r="82" spans="1:11" ht="15">
      <c r="A82" s="34" t="str">
        <f>'Sch 8, p1'!A82</f>
        <v>TECO Energy</v>
      </c>
      <c r="C82" s="9">
        <f t="shared" si="7"/>
        <v>-0.13</v>
      </c>
      <c r="D82" s="9">
        <f t="shared" si="7"/>
        <v>-0.105</v>
      </c>
      <c r="E82" s="9">
        <f t="shared" si="7"/>
        <v>-0.095</v>
      </c>
      <c r="F82" s="9">
        <f t="shared" si="5"/>
        <v>-0.10999999999999999</v>
      </c>
      <c r="G82" s="9"/>
      <c r="H82" s="9">
        <f t="shared" si="8"/>
        <v>0.04</v>
      </c>
      <c r="I82" s="9">
        <f t="shared" si="8"/>
        <v>0.02</v>
      </c>
      <c r="J82" s="9">
        <f t="shared" si="8"/>
        <v>0.065</v>
      </c>
      <c r="K82" s="9">
        <f t="shared" si="6"/>
        <v>0.041666666666666664</v>
      </c>
    </row>
    <row r="83" spans="1:11" ht="15">
      <c r="A83" s="34" t="str">
        <f>'Sch 8, p1'!A83</f>
        <v>Xcel Energy Inc.</v>
      </c>
      <c r="C83" s="9">
        <f>+C57</f>
        <v>-0.065</v>
      </c>
      <c r="D83" s="9">
        <f>+D57</f>
        <v>-0.105</v>
      </c>
      <c r="E83" s="9">
        <f>+E57</f>
        <v>-0.045</v>
      </c>
      <c r="F83" s="9">
        <f t="shared" si="5"/>
        <v>-0.07166666666666666</v>
      </c>
      <c r="G83" s="9"/>
      <c r="H83" s="9">
        <f>+H57</f>
        <v>0.055</v>
      </c>
      <c r="I83" s="9">
        <f>+I57</f>
        <v>0.045</v>
      </c>
      <c r="J83" s="9">
        <f>+J57</f>
        <v>0.04</v>
      </c>
      <c r="K83" s="9">
        <f t="shared" si="6"/>
        <v>0.04666666666666667</v>
      </c>
    </row>
    <row r="84" spans="1:11" ht="15">
      <c r="A84" s="52"/>
      <c r="B84" s="52"/>
      <c r="C84" s="54"/>
      <c r="D84" s="54"/>
      <c r="E84" s="54"/>
      <c r="F84" s="54"/>
      <c r="G84" s="54"/>
      <c r="H84" s="54"/>
      <c r="I84" s="54"/>
      <c r="J84" s="54"/>
      <c r="K84" s="54"/>
    </row>
    <row r="85" spans="3:11" ht="15">
      <c r="C85" s="9"/>
      <c r="D85" s="9"/>
      <c r="E85" s="9"/>
      <c r="F85" s="9"/>
      <c r="G85" s="9"/>
      <c r="H85" s="9"/>
      <c r="I85" s="9"/>
      <c r="J85" s="9"/>
      <c r="K85" s="9"/>
    </row>
    <row r="86" spans="1:11" ht="15.75">
      <c r="A86" s="23" t="str">
        <f>+'Sch 8, p 2'!A86</f>
        <v>Average</v>
      </c>
      <c r="C86" s="9"/>
      <c r="D86" s="9"/>
      <c r="E86" s="9"/>
      <c r="F86" s="32">
        <f>AVERAGE(F65:F83)</f>
        <v>0.010877192982456147</v>
      </c>
      <c r="G86" s="9"/>
      <c r="H86" s="9"/>
      <c r="I86" s="9"/>
      <c r="J86" s="9"/>
      <c r="K86" s="32">
        <f>AVERAGE(K65:K83)</f>
        <v>0.055614035087719296</v>
      </c>
    </row>
    <row r="87" spans="1:11" ht="15.75" thickBot="1">
      <c r="A87" s="55"/>
      <c r="B87" s="55"/>
      <c r="C87" s="57"/>
      <c r="D87" s="57"/>
      <c r="E87" s="57"/>
      <c r="F87" s="57"/>
      <c r="G87" s="57"/>
      <c r="H87" s="57"/>
      <c r="I87" s="57"/>
      <c r="J87" s="57"/>
      <c r="K87" s="57"/>
    </row>
    <row r="88" spans="3:11" ht="15.75" thickTop="1"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23" t="str">
        <f>+'Sch 8, p 2'!A89</f>
        <v>Source:  Value Line Investment Survey.</v>
      </c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4" spans="4:6" ht="15">
      <c r="D94" s="28"/>
      <c r="E94" s="28"/>
      <c r="F94" s="28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8"/>
      <c r="E98" s="28"/>
      <c r="F98" s="28"/>
    </row>
    <row r="99" spans="4:6" ht="15">
      <c r="D99" s="28"/>
      <c r="E99" s="28"/>
      <c r="F99" s="28"/>
    </row>
    <row r="100" spans="4:6" ht="15">
      <c r="D100" s="28"/>
      <c r="E100" s="28"/>
      <c r="F100" s="28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OutlineSymbols="0" zoomScalePageLayoutView="0" workbookViewId="0" topLeftCell="A31">
      <selection activeCell="H62" sqref="H62"/>
    </sheetView>
  </sheetViews>
  <sheetFormatPr defaultColWidth="9.77734375" defaultRowHeight="15"/>
  <cols>
    <col min="1" max="1" width="23.77734375" style="23" customWidth="1"/>
    <col min="2" max="2" width="2.77734375" style="23" customWidth="1"/>
    <col min="3" max="4" width="11.4453125" style="23" customWidth="1"/>
    <col min="5" max="5" width="13.77734375" style="23" customWidth="1"/>
    <col min="6" max="6" width="11.4453125" style="23" customWidth="1"/>
    <col min="7" max="7" width="12.99609375" style="23" customWidth="1"/>
    <col min="8" max="8" width="10.99609375" style="23" customWidth="1"/>
    <col min="9" max="10" width="10.77734375" style="23" customWidth="1"/>
    <col min="11" max="16384" width="9.77734375" style="23" customWidth="1"/>
  </cols>
  <sheetData>
    <row r="1" ht="15.75">
      <c r="I1" s="2" t="str">
        <f>+'Sch 8, p 3'!J1</f>
        <v>Exhibit___(DCP-2)</v>
      </c>
    </row>
    <row r="2" ht="15.75">
      <c r="I2" s="2" t="str">
        <f>'Sch 8, p 3'!J2</f>
        <v>Schedule 8</v>
      </c>
    </row>
    <row r="3" ht="15.75">
      <c r="I3" s="2" t="s">
        <v>179</v>
      </c>
    </row>
    <row r="4" spans="1:10" ht="20.25">
      <c r="A4" s="3" t="str">
        <f>'Sch 8, p 3'!A6</f>
        <v>COMPARISON COMPANIES</v>
      </c>
      <c r="B4" s="3"/>
      <c r="C4" s="3"/>
      <c r="D4" s="3"/>
      <c r="E4" s="3"/>
      <c r="F4" s="3"/>
      <c r="G4" s="3"/>
      <c r="H4" s="3"/>
      <c r="I4" s="3"/>
      <c r="J4" s="3"/>
    </row>
    <row r="5" spans="1:10" ht="20.25">
      <c r="A5" s="3" t="s">
        <v>100</v>
      </c>
      <c r="B5" s="3"/>
      <c r="C5" s="3"/>
      <c r="D5" s="3"/>
      <c r="E5" s="3"/>
      <c r="F5" s="3"/>
      <c r="G5" s="3"/>
      <c r="H5" s="3"/>
      <c r="I5" s="3"/>
      <c r="J5" s="3"/>
    </row>
    <row r="8" spans="1:10" ht="1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4:8" ht="15">
      <c r="D9" s="8" t="s">
        <v>103</v>
      </c>
      <c r="E9" s="8" t="s">
        <v>105</v>
      </c>
      <c r="F9" s="8" t="s">
        <v>103</v>
      </c>
      <c r="G9" s="8" t="s">
        <v>105</v>
      </c>
      <c r="H9" s="8" t="s">
        <v>158</v>
      </c>
    </row>
    <row r="10" spans="3:10" ht="15">
      <c r="C10" s="8" t="s">
        <v>102</v>
      </c>
      <c r="D10" s="8" t="s">
        <v>104</v>
      </c>
      <c r="E10" s="8" t="s">
        <v>104</v>
      </c>
      <c r="F10" s="8" t="s">
        <v>106</v>
      </c>
      <c r="G10" s="8" t="s">
        <v>106</v>
      </c>
      <c r="H10" s="8" t="s">
        <v>98</v>
      </c>
      <c r="I10" s="8" t="s">
        <v>87</v>
      </c>
      <c r="J10" s="8" t="s">
        <v>107</v>
      </c>
    </row>
    <row r="11" spans="3:10" ht="15">
      <c r="C11" s="8" t="s">
        <v>92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8" t="s">
        <v>33</v>
      </c>
      <c r="J11" s="8" t="s">
        <v>108</v>
      </c>
    </row>
    <row r="12" ht="15">
      <c r="A12" s="26" t="str">
        <f>+'Sch 8, p 3'!A12</f>
        <v>COMPANY</v>
      </c>
    </row>
    <row r="14" spans="1:10" ht="1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ht="15">
      <c r="A15" s="30"/>
    </row>
    <row r="16" ht="15.75">
      <c r="A16" s="62" t="str">
        <f>+'Sch 8, p 3'!A16</f>
        <v>Comparison Group</v>
      </c>
    </row>
    <row r="18" spans="1:10" ht="15">
      <c r="A18" s="30" t="str">
        <f>+'Sch 8, p1'!A18</f>
        <v>Avista Corp</v>
      </c>
      <c r="C18" s="9">
        <f>'Sch 8, p1'!G18*(1+0.5*I18)</f>
        <v>0.03410317227422211</v>
      </c>
      <c r="D18" s="9">
        <f>+'Sch 8, p 2'!H18</f>
        <v>0.0262</v>
      </c>
      <c r="E18" s="9">
        <f>+'Sch 8, p 2'!L18</f>
        <v>0.035</v>
      </c>
      <c r="F18" s="9">
        <f>+'Sch 8, p 3'!F18</f>
        <v>0.021666666666666667</v>
      </c>
      <c r="G18" s="9">
        <f>+'Sch 8, p 3'!K18</f>
        <v>0.085</v>
      </c>
      <c r="H18" s="28">
        <v>0.045</v>
      </c>
      <c r="I18" s="9">
        <f>AVERAGE(D18:H18)</f>
        <v>0.04257333333333333</v>
      </c>
      <c r="J18" s="9">
        <f>C18+I18</f>
        <v>0.07667650560755544</v>
      </c>
    </row>
    <row r="19" spans="1:10" ht="15">
      <c r="A19" s="30" t="str">
        <f>+'Sch 8, p1'!A19</f>
        <v>Empire District Electric</v>
      </c>
      <c r="C19" s="9">
        <f>'Sch 8, p1'!G19*(1+0.5*I19)</f>
        <v>0.06089740653840137</v>
      </c>
      <c r="D19" s="9">
        <f>+'Sch 8, p 2'!H19</f>
        <v>0.0018000000000000002</v>
      </c>
      <c r="E19" s="9">
        <f>+'Sch 8, p 2'!L19</f>
        <v>0.02</v>
      </c>
      <c r="F19" s="9">
        <f>+'Sch 8, p 3'!F19</f>
        <v>0.01</v>
      </c>
      <c r="G19" s="9">
        <f>+'Sch 8, p 3'!K19</f>
        <v>0.04666666666666667</v>
      </c>
      <c r="H19" s="28">
        <v>0.06</v>
      </c>
      <c r="I19" s="9">
        <f aca="true" t="shared" si="0" ref="I19:I24">AVERAGE(D19:H19)</f>
        <v>0.027693333333333337</v>
      </c>
      <c r="J19" s="9">
        <f aca="true" t="shared" si="1" ref="J19:J24">C19+I19</f>
        <v>0.08859073987173471</v>
      </c>
    </row>
    <row r="20" spans="1:10" ht="15">
      <c r="A20" s="30" t="str">
        <f>+'Sch 8, p1'!A20</f>
        <v>Hawaiian Electric Industries</v>
      </c>
      <c r="C20" s="9">
        <f>'Sch 8, p1'!G20*(1+0.5*I20)</f>
        <v>0.05562656570155902</v>
      </c>
      <c r="D20" s="9">
        <f>+'Sch 8, p 2'!H20</f>
        <v>0.014400000000000001</v>
      </c>
      <c r="E20" s="9">
        <f>+'Sch 8, p 2'!L20</f>
        <v>0.008333333333333333</v>
      </c>
      <c r="F20" s="9">
        <f>+'Sch 8, p 3'!F20</f>
        <v>0.0033333333333333335</v>
      </c>
      <c r="G20" s="9">
        <f>+'Sch 8, p 3'!K20</f>
        <v>0.0033333333333333327</v>
      </c>
      <c r="H20" s="28">
        <v>0.0417</v>
      </c>
      <c r="I20" s="9">
        <f t="shared" si="0"/>
        <v>0.01422</v>
      </c>
      <c r="J20" s="9">
        <f t="shared" si="1"/>
        <v>0.06984656570155902</v>
      </c>
    </row>
    <row r="21" spans="1:10" ht="15">
      <c r="A21" s="30" t="str">
        <f>+'Sch 8, p1'!A21</f>
        <v>PEPCO Holdings</v>
      </c>
      <c r="C21" s="9">
        <f>'Sch 8, p1'!G21*(1+0.5*I21)</f>
        <v>0.04183955838323354</v>
      </c>
      <c r="D21" s="9">
        <f>+'Sch 8, p 2'!H21</f>
        <v>0.0228</v>
      </c>
      <c r="E21" s="9">
        <f>+'Sch 8, p 2'!L21</f>
        <v>0.045000000000000005</v>
      </c>
      <c r="F21" s="9"/>
      <c r="G21" s="9">
        <f>+'Sch 8, p 3'!K21</f>
        <v>0.10333333333333335</v>
      </c>
      <c r="H21" s="28">
        <v>0.11</v>
      </c>
      <c r="I21" s="9">
        <f t="shared" si="0"/>
        <v>0.07028333333333334</v>
      </c>
      <c r="J21" s="9">
        <f t="shared" si="1"/>
        <v>0.11212289171656688</v>
      </c>
    </row>
    <row r="22" spans="1:10" ht="15">
      <c r="A22" s="30" t="str">
        <f>+'Sch 8, p1'!A22</f>
        <v>Pinnacle West</v>
      </c>
      <c r="C22" s="9">
        <f>'Sch 8, p1'!G22*(1+0.5*I22)</f>
        <v>0.05516309090909091</v>
      </c>
      <c r="D22" s="9">
        <f>+'Sch 8, p 2'!H22</f>
        <v>0.0236</v>
      </c>
      <c r="E22" s="9">
        <f>+'Sch 8, p 2'!L22</f>
        <v>0.015</v>
      </c>
      <c r="F22" s="9">
        <f>+'Sch 8, p 3'!F22</f>
        <v>0.016666666666666666</v>
      </c>
      <c r="G22" s="9">
        <f>+'Sch 8, p 3'!K22</f>
        <v>0.021666666666666667</v>
      </c>
      <c r="H22" s="28">
        <v>0.0363</v>
      </c>
      <c r="I22" s="9">
        <f t="shared" si="0"/>
        <v>0.022646666666666666</v>
      </c>
      <c r="J22" s="9">
        <f t="shared" si="1"/>
        <v>0.07780975757575757</v>
      </c>
    </row>
    <row r="23" spans="1:10" ht="15">
      <c r="A23" s="30" t="str">
        <f>+'Sch 8, p1'!A23</f>
        <v>PNM Resources</v>
      </c>
      <c r="C23" s="9">
        <f>'Sch 8, p1'!G23*(1+0.5*I23)</f>
        <v>0.061573342036553534</v>
      </c>
      <c r="D23" s="9">
        <f>+'Sch 8, p 2'!H23</f>
        <v>0.033999999999999996</v>
      </c>
      <c r="E23" s="9">
        <f>+'Sch 8, p 2'!L23</f>
        <v>0.03</v>
      </c>
      <c r="F23" s="9">
        <f>+'Sch 8, p 3'!F23</f>
        <v>0.03166666666666667</v>
      </c>
      <c r="G23" s="9">
        <f>+'Sch 8, p 3'!K23</f>
        <v>0.043333333333333335</v>
      </c>
      <c r="H23" s="28">
        <v>0.1143</v>
      </c>
      <c r="I23" s="9">
        <f t="shared" si="0"/>
        <v>0.050660000000000004</v>
      </c>
      <c r="J23" s="9">
        <f t="shared" si="1"/>
        <v>0.11223334203655354</v>
      </c>
    </row>
    <row r="24" spans="1:10" ht="15">
      <c r="A24" s="30" t="str">
        <f>+'Sch 8, p1'!A24</f>
        <v>Westar Energy</v>
      </c>
      <c r="C24" s="9">
        <f>'Sch 8, p1'!G24*(1+0.5*I24)</f>
        <v>0.04980253688553247</v>
      </c>
      <c r="D24" s="9">
        <f>+'Sch 8, p 2'!H24</f>
        <v>0.044399999999999995</v>
      </c>
      <c r="E24" s="9">
        <f>+'Sch 8, p 2'!L24</f>
        <v>0.024999999999999998</v>
      </c>
      <c r="F24" s="9">
        <f>+'Sch 8, p 3'!F24</f>
        <v>0.07500000000000001</v>
      </c>
      <c r="G24" s="9">
        <f>+'Sch 8, p 3'!K24</f>
        <v>0.03333333333333333</v>
      </c>
      <c r="H24" s="28">
        <v>0.0554</v>
      </c>
      <c r="I24" s="9">
        <f t="shared" si="0"/>
        <v>0.046626666666666663</v>
      </c>
      <c r="J24" s="9">
        <f t="shared" si="1"/>
        <v>0.09642920355219914</v>
      </c>
    </row>
    <row r="25" spans="1:10" ht="15.75" thickBot="1">
      <c r="A25" s="79"/>
      <c r="B25" s="40"/>
      <c r="C25" s="50"/>
      <c r="D25" s="50"/>
      <c r="E25" s="50"/>
      <c r="F25" s="50"/>
      <c r="G25" s="50"/>
      <c r="H25" s="50"/>
      <c r="I25" s="50"/>
      <c r="J25" s="50"/>
    </row>
    <row r="26" spans="1:10" ht="28.5" customHeight="1" thickTop="1">
      <c r="A26" s="156" t="s">
        <v>213</v>
      </c>
      <c r="B26" s="150"/>
      <c r="C26" s="151">
        <f>AVERAGE(C18:C24)</f>
        <v>0.05128652467551329</v>
      </c>
      <c r="D26" s="151">
        <f aca="true" t="shared" si="2" ref="D26:J26">AVERAGE(D18:D24)</f>
        <v>0.023885714285714284</v>
      </c>
      <c r="E26" s="151">
        <f t="shared" si="2"/>
        <v>0.025476190476190475</v>
      </c>
      <c r="F26" s="151">
        <f t="shared" si="2"/>
        <v>0.026388888888888892</v>
      </c>
      <c r="G26" s="151">
        <f t="shared" si="2"/>
        <v>0.048095238095238094</v>
      </c>
      <c r="H26" s="151">
        <f t="shared" si="2"/>
        <v>0.0661</v>
      </c>
      <c r="I26" s="151">
        <f t="shared" si="2"/>
        <v>0.03924333333333334</v>
      </c>
      <c r="J26" s="152">
        <f t="shared" si="2"/>
        <v>0.09052985800884662</v>
      </c>
    </row>
    <row r="27" spans="1:10" ht="28.5" customHeight="1">
      <c r="A27" s="157" t="s">
        <v>197</v>
      </c>
      <c r="B27" s="158"/>
      <c r="C27" s="196">
        <f>MEDIAN(C18:C24)</f>
        <v>0.05516309090909091</v>
      </c>
      <c r="D27" s="196">
        <f aca="true" t="shared" si="3" ref="D27:J27">MEDIAN(D18:D24)</f>
        <v>0.0236</v>
      </c>
      <c r="E27" s="196">
        <f t="shared" si="3"/>
        <v>0.024999999999999998</v>
      </c>
      <c r="F27" s="196">
        <f t="shared" si="3"/>
        <v>0.019166666666666665</v>
      </c>
      <c r="G27" s="196">
        <f t="shared" si="3"/>
        <v>0.043333333333333335</v>
      </c>
      <c r="H27" s="196">
        <f t="shared" si="3"/>
        <v>0.0554</v>
      </c>
      <c r="I27" s="196">
        <f t="shared" si="3"/>
        <v>0.04257333333333333</v>
      </c>
      <c r="J27" s="160">
        <f t="shared" si="3"/>
        <v>0.08859073987173471</v>
      </c>
    </row>
    <row r="28" spans="1:10" ht="28.5" customHeight="1">
      <c r="A28" s="157" t="s">
        <v>332</v>
      </c>
      <c r="B28" s="158"/>
      <c r="C28" s="159"/>
      <c r="D28" s="159">
        <f>+C26+D26</f>
        <v>0.07517223896122757</v>
      </c>
      <c r="E28" s="196">
        <f>+C26+E26</f>
        <v>0.07676271515170377</v>
      </c>
      <c r="F28" s="196">
        <f>+C26+F26</f>
        <v>0.07767541356440219</v>
      </c>
      <c r="G28" s="196">
        <f>+C26+G26</f>
        <v>0.09938176277075139</v>
      </c>
      <c r="H28" s="160">
        <f>+C26+H26</f>
        <v>0.1173865246755133</v>
      </c>
      <c r="I28" s="159">
        <f>+C26+I26</f>
        <v>0.09052985800884664</v>
      </c>
      <c r="J28" s="159"/>
    </row>
    <row r="29" spans="1:10" ht="28.5" customHeight="1" thickBot="1">
      <c r="A29" s="161" t="s">
        <v>333</v>
      </c>
      <c r="B29" s="153"/>
      <c r="C29" s="154"/>
      <c r="D29" s="154">
        <f>+C27+D27</f>
        <v>0.07876309090909091</v>
      </c>
      <c r="E29" s="162">
        <f>+C27+E27</f>
        <v>0.0801630909090909</v>
      </c>
      <c r="F29" s="162">
        <f>+C27+F27</f>
        <v>0.07432975757575758</v>
      </c>
      <c r="G29" s="162">
        <f>+C27+G27</f>
        <v>0.09849642424242425</v>
      </c>
      <c r="H29" s="155">
        <f>+C27+H27</f>
        <v>0.11056309090909092</v>
      </c>
      <c r="I29" s="154">
        <f>+C27+I27</f>
        <v>0.09773642424242424</v>
      </c>
      <c r="J29" s="154"/>
    </row>
    <row r="30" spans="1:10" ht="30" customHeight="1" thickTop="1">
      <c r="A30" s="62" t="str">
        <f>+'Sch 8, p 3'!A30</f>
        <v>S&amp;P Integrated</v>
      </c>
      <c r="C30" s="9"/>
      <c r="D30" s="9"/>
      <c r="E30" s="9"/>
      <c r="F30" s="9"/>
      <c r="G30" s="9"/>
      <c r="H30" s="9"/>
      <c r="I30" s="9"/>
      <c r="J30" s="9"/>
    </row>
    <row r="31" spans="1:10" ht="15.75" customHeight="1">
      <c r="A31" s="62" t="str">
        <f>+'Sch 8, p 3'!A31</f>
        <v>Electric Utilities</v>
      </c>
      <c r="C31" s="9"/>
      <c r="D31" s="9"/>
      <c r="E31" s="9"/>
      <c r="F31" s="9"/>
      <c r="G31" s="9"/>
      <c r="H31" s="9"/>
      <c r="I31" s="9"/>
      <c r="J31" s="9"/>
    </row>
    <row r="32" spans="1:10" ht="15.75" customHeight="1">
      <c r="A32" s="62"/>
      <c r="C32" s="9"/>
      <c r="D32" s="9"/>
      <c r="E32" s="9"/>
      <c r="F32" s="9"/>
      <c r="G32" s="9"/>
      <c r="H32" s="9"/>
      <c r="I32" s="9"/>
      <c r="J32" s="9"/>
    </row>
    <row r="33" spans="1:10" ht="15">
      <c r="A33" s="30" t="str">
        <f>+'Sch 8, p1'!A33</f>
        <v>ALLETE</v>
      </c>
      <c r="C33" s="9">
        <f>'Sch 8, p1'!G33*(1+0.5*I33)</f>
        <v>0.04777826451145522</v>
      </c>
      <c r="D33" s="9">
        <f>+'Sch 8, p 2'!H33</f>
        <v>0.051750000000000004</v>
      </c>
      <c r="E33" s="9">
        <f>+'Sch 8, p 2'!L33</f>
        <v>0.03</v>
      </c>
      <c r="F33" s="9"/>
      <c r="G33" s="9">
        <f>+'Sch 8, p 3'!K33</f>
        <v>0.04833333333333334</v>
      </c>
      <c r="H33" s="28">
        <v>0.05</v>
      </c>
      <c r="I33" s="9">
        <f aca="true" t="shared" si="4" ref="I33:I57">AVERAGE(D33:H33)</f>
        <v>0.04502083333333333</v>
      </c>
      <c r="J33" s="9">
        <f aca="true" t="shared" si="5" ref="J33:J57">C33+I33</f>
        <v>0.09279909784478854</v>
      </c>
    </row>
    <row r="34" spans="1:10" ht="15">
      <c r="A34" s="30" t="str">
        <f>+'Sch 8, p1'!A34</f>
        <v>Alliant Energy</v>
      </c>
      <c r="C34" s="9">
        <f>'Sch 8, p1'!G34*(1+0.5*I34)</f>
        <v>0.03771875954781545</v>
      </c>
      <c r="D34" s="9">
        <f>+'Sch 8, p 2'!H34</f>
        <v>0.048600000000000004</v>
      </c>
      <c r="E34" s="9">
        <f>+'Sch 8, p 2'!L34</f>
        <v>0.04833333333333334</v>
      </c>
      <c r="F34" s="9"/>
      <c r="G34" s="9">
        <f>+'Sch 8, p 3'!K34</f>
        <v>0.06999999999999999</v>
      </c>
      <c r="H34" s="28">
        <v>0.0633</v>
      </c>
      <c r="I34" s="9">
        <f t="shared" si="4"/>
        <v>0.05755833333333333</v>
      </c>
      <c r="J34" s="9">
        <f t="shared" si="5"/>
        <v>0.09527709288114877</v>
      </c>
    </row>
    <row r="35" spans="1:10" ht="15">
      <c r="A35" s="30" t="str">
        <f>+'Sch 8, p1'!A35</f>
        <v>American Electric Power</v>
      </c>
      <c r="C35" s="9">
        <f>'Sch 8, p1'!G35*(1+0.5*I35)</f>
        <v>0.03784359635240033</v>
      </c>
      <c r="D35" s="9">
        <f>+'Sch 8, p 2'!H35</f>
        <v>0.0522</v>
      </c>
      <c r="E35" s="9">
        <f>+'Sch 8, p 2'!L35</f>
        <v>0.05333333333333334</v>
      </c>
      <c r="F35" s="9">
        <f>+'Sch 8, p 3'!F35</f>
        <v>-0.03</v>
      </c>
      <c r="G35" s="9">
        <f>+'Sch 8, p 3'!K35</f>
        <v>0.065</v>
      </c>
      <c r="H35" s="28">
        <v>0.0657</v>
      </c>
      <c r="I35" s="9">
        <f t="shared" si="4"/>
        <v>0.04124666666666667</v>
      </c>
      <c r="J35" s="9">
        <f t="shared" si="5"/>
        <v>0.07909026301906699</v>
      </c>
    </row>
    <row r="36" spans="1:10" ht="15">
      <c r="A36" s="30" t="str">
        <f>+'Sch 8, p1'!A36</f>
        <v>Ameren Corp.</v>
      </c>
      <c r="C36" s="9">
        <f>'Sch 8, p1'!G36*(1+0.5*I36)</f>
        <v>0.054004367888527104</v>
      </c>
      <c r="D36" s="9">
        <f>+'Sch 8, p 2'!H36</f>
        <v>0.0124</v>
      </c>
      <c r="E36" s="9">
        <f>+'Sch 8, p 2'!L36</f>
        <v>0.02</v>
      </c>
      <c r="F36" s="9">
        <f>+'Sch 8, p 3'!F36</f>
        <v>0.02</v>
      </c>
      <c r="G36" s="9">
        <f>+'Sch 8, p 3'!K36</f>
        <v>0.021666666666666667</v>
      </c>
      <c r="H36" s="28">
        <v>0.0475</v>
      </c>
      <c r="I36" s="9">
        <f t="shared" si="4"/>
        <v>0.024313333333333333</v>
      </c>
      <c r="J36" s="9">
        <f t="shared" si="5"/>
        <v>0.07831770122186044</v>
      </c>
    </row>
    <row r="37" spans="1:10" ht="15">
      <c r="A37" s="30" t="str">
        <f>+'Sch 8, p1'!A37</f>
        <v>Cleco</v>
      </c>
      <c r="C37" s="9">
        <f>'Sch 8, p1'!G37*(1+0.5*I37)</f>
        <v>0.037622843256379095</v>
      </c>
      <c r="D37" s="9">
        <f>+'Sch 8, p 2'!H37</f>
        <v>0.034</v>
      </c>
      <c r="E37" s="9">
        <f>+'Sch 8, p 2'!L37</f>
        <v>0.041666666666666664</v>
      </c>
      <c r="F37" s="9">
        <f>+'Sch 8, p 3'!F37</f>
        <v>0.0325</v>
      </c>
      <c r="G37" s="9">
        <f>+'Sch 8, p 3'!K37</f>
        <v>0.07333333333333333</v>
      </c>
      <c r="H37" s="28">
        <v>0.1397</v>
      </c>
      <c r="I37" s="9">
        <f t="shared" si="4"/>
        <v>0.06423999999999999</v>
      </c>
      <c r="J37" s="9">
        <f t="shared" si="5"/>
        <v>0.1018628432563791</v>
      </c>
    </row>
    <row r="38" spans="1:10" ht="15">
      <c r="A38" s="30" t="str">
        <f>+'Sch 8, p1'!A38</f>
        <v>DTE Energy</v>
      </c>
      <c r="C38" s="9">
        <f>'Sch 8, p1'!G38*(1+0.5*I38)</f>
        <v>0.051682377919320587</v>
      </c>
      <c r="D38" s="9">
        <f>+'Sch 8, p 2'!H38</f>
        <v>0.020999999999999998</v>
      </c>
      <c r="E38" s="9">
        <f>+'Sch 8, p 2'!L38</f>
        <v>0.028333333333333335</v>
      </c>
      <c r="F38" s="9">
        <f>+'Sch 8, p 3'!F38</f>
        <v>0.009999999999999998</v>
      </c>
      <c r="G38" s="9">
        <f>+'Sch 8, p 3'!K38</f>
        <v>0.03333333333333333</v>
      </c>
      <c r="H38" s="28">
        <v>0.05</v>
      </c>
      <c r="I38" s="9">
        <f t="shared" si="4"/>
        <v>0.028533333333333334</v>
      </c>
      <c r="J38" s="9">
        <f t="shared" si="5"/>
        <v>0.08021571125265392</v>
      </c>
    </row>
    <row r="39" spans="1:10" ht="15">
      <c r="A39" s="30" t="str">
        <f>+'Sch 8, p1'!A39</f>
        <v>Edison International</v>
      </c>
      <c r="C39" s="9">
        <f>'Sch 8, p1'!G39*(1+0.5*I39)</f>
        <v>0.02483384125126004</v>
      </c>
      <c r="D39" s="9">
        <f>+'Sch 8, p 2'!H39</f>
        <v>0.088</v>
      </c>
      <c r="E39" s="9">
        <f>+'Sch 8, p 2'!L39</f>
        <v>0.07</v>
      </c>
      <c r="F39" s="9">
        <f>+'Sch 8, p 3'!F39</f>
        <v>0.11250000000000002</v>
      </c>
      <c r="G39" s="9">
        <f>+'Sch 8, p 3'!K39</f>
        <v>0.07166666666666667</v>
      </c>
      <c r="H39" s="28">
        <v>0.0911</v>
      </c>
      <c r="I39" s="9">
        <f t="shared" si="4"/>
        <v>0.08665333333333333</v>
      </c>
      <c r="J39" s="9">
        <f t="shared" si="5"/>
        <v>0.11148717458459337</v>
      </c>
    </row>
    <row r="40" spans="1:10" ht="15">
      <c r="A40" s="30" t="str">
        <f>+'Sch 8, p1'!A40</f>
        <v>Empire District Electric</v>
      </c>
      <c r="C40" s="9">
        <f>'Sch 8, p1'!G40*(1+0.5*I40)</f>
        <v>0.06089740653840137</v>
      </c>
      <c r="D40" s="9">
        <f>+'Sch 8, p 2'!H40</f>
        <v>0.0018000000000000002</v>
      </c>
      <c r="E40" s="9">
        <f>+'Sch 8, p 2'!L40</f>
        <v>0.02</v>
      </c>
      <c r="F40" s="9">
        <f>+'Sch 8, p 3'!F40</f>
        <v>0.01</v>
      </c>
      <c r="G40" s="9">
        <f>+'Sch 8, p 3'!K40</f>
        <v>0.04666666666666667</v>
      </c>
      <c r="H40" s="28">
        <f>+H19</f>
        <v>0.06</v>
      </c>
      <c r="I40" s="9">
        <f t="shared" si="4"/>
        <v>0.027693333333333337</v>
      </c>
      <c r="J40" s="9">
        <f t="shared" si="5"/>
        <v>0.08859073987173471</v>
      </c>
    </row>
    <row r="41" spans="1:10" ht="15">
      <c r="A41" s="30" t="str">
        <f>+'Sch 8, p1'!A41</f>
        <v>Energy East</v>
      </c>
      <c r="C41" s="9">
        <f>'Sch 8, p1'!G41*(1+0.5*I41)</f>
        <v>0.04899597792924374</v>
      </c>
      <c r="D41" s="9">
        <f>+'Sch 8, p 2'!H41</f>
        <v>0.0316</v>
      </c>
      <c r="E41" s="9">
        <f>+'Sch 8, p 2'!L41</f>
        <v>0.016666666666666666</v>
      </c>
      <c r="F41" s="9">
        <f>+'Sch 8, p 3'!F41</f>
        <v>0.02666666666666667</v>
      </c>
      <c r="G41" s="9">
        <f>+'Sch 8, p 3'!K41</f>
        <v>0.02</v>
      </c>
      <c r="H41" s="28">
        <v>0.05</v>
      </c>
      <c r="I41" s="9">
        <f t="shared" si="4"/>
        <v>0.02898666666666667</v>
      </c>
      <c r="J41" s="9">
        <f t="shared" si="5"/>
        <v>0.07798264459591041</v>
      </c>
    </row>
    <row r="42" spans="1:10" ht="15">
      <c r="A42" s="30" t="str">
        <f>+'Sch 8, p1'!A42</f>
        <v>Entergy</v>
      </c>
      <c r="C42" s="9">
        <f>'Sch 8, p1'!G42*(1+0.5*I42)</f>
        <v>0.027605869651434363</v>
      </c>
      <c r="D42" s="9">
        <f>+'Sch 8, p 2'!H42</f>
        <v>0.0668</v>
      </c>
      <c r="E42" s="9">
        <f>+'Sch 8, p 2'!L42</f>
        <v>0.07833333333333332</v>
      </c>
      <c r="F42" s="9">
        <f>+'Sch 8, p 3'!F42</f>
        <v>0.08333333333333333</v>
      </c>
      <c r="G42" s="9">
        <f>+'Sch 8, p 3'!K42</f>
        <v>0.08833333333333333</v>
      </c>
      <c r="H42" s="28">
        <v>0.1242</v>
      </c>
      <c r="I42" s="9">
        <f t="shared" si="4"/>
        <v>0.08819999999999999</v>
      </c>
      <c r="J42" s="9">
        <f t="shared" si="5"/>
        <v>0.11580586965143436</v>
      </c>
    </row>
    <row r="43" spans="1:10" ht="15">
      <c r="A43" s="30" t="str">
        <f>+'Sch 8, p1'!A43</f>
        <v>FirstEnergy Corp</v>
      </c>
      <c r="C43" s="9">
        <f>'Sch 8, p1'!G43*(1+0.5*I43)</f>
        <v>0.03176392678092574</v>
      </c>
      <c r="D43" s="9">
        <f>+'Sch 8, p 2'!H43</f>
        <v>0.048</v>
      </c>
      <c r="E43" s="9">
        <f>+'Sch 8, p 2'!L43</f>
        <v>0.065</v>
      </c>
      <c r="F43" s="9">
        <f>+'Sch 8, p 3'!F43</f>
        <v>0.04</v>
      </c>
      <c r="G43" s="9">
        <f>+'Sch 8, p 3'!K43</f>
        <v>0.07166666666666667</v>
      </c>
      <c r="H43" s="28">
        <v>0.095</v>
      </c>
      <c r="I43" s="9">
        <f t="shared" si="4"/>
        <v>0.06393333333333333</v>
      </c>
      <c r="J43" s="9">
        <f t="shared" si="5"/>
        <v>0.09569726011425907</v>
      </c>
    </row>
    <row r="44" spans="1:10" ht="15">
      <c r="A44" s="30" t="str">
        <f>+'Sch 8, p1'!A44</f>
        <v>FPL Group</v>
      </c>
      <c r="C44" s="9">
        <f>'Sch 8, p1'!G44*(1+0.5*I44)</f>
        <v>0.028236251272653227</v>
      </c>
      <c r="D44" s="9">
        <f>+'Sch 8, p 2'!H44</f>
        <v>0.0608</v>
      </c>
      <c r="E44" s="9">
        <f>+'Sch 8, p 2'!L44</f>
        <v>0.07</v>
      </c>
      <c r="F44" s="9">
        <f>+'Sch 8, p 3'!F44</f>
        <v>0.055</v>
      </c>
      <c r="G44" s="9">
        <f>+'Sch 8, p 3'!K44</f>
        <v>0.10333333333333333</v>
      </c>
      <c r="H44" s="28">
        <v>0.098</v>
      </c>
      <c r="I44" s="9">
        <f t="shared" si="4"/>
        <v>0.07742666666666667</v>
      </c>
      <c r="J44" s="9">
        <f t="shared" si="5"/>
        <v>0.1056629179393199</v>
      </c>
    </row>
    <row r="45" spans="1:10" ht="15">
      <c r="A45" s="30" t="str">
        <f>+'Sch 8, p1'!A45</f>
        <v>Hawaiian Electric Industries</v>
      </c>
      <c r="C45" s="9">
        <f>'Sch 8, p1'!G45*(1+0.5*I45)</f>
        <v>0.05562656570155902</v>
      </c>
      <c r="D45" s="9">
        <f>+'Sch 8, p 2'!H45</f>
        <v>0.014400000000000001</v>
      </c>
      <c r="E45" s="9">
        <f>+'Sch 8, p 2'!L45</f>
        <v>0.008333333333333333</v>
      </c>
      <c r="F45" s="9">
        <f>+'Sch 8, p 3'!F45</f>
        <v>0.0033333333333333335</v>
      </c>
      <c r="G45" s="9">
        <f>+'Sch 8, p 3'!K45</f>
        <v>0.0033333333333333327</v>
      </c>
      <c r="H45" s="28">
        <f>+H20</f>
        <v>0.0417</v>
      </c>
      <c r="I45" s="9">
        <f t="shared" si="4"/>
        <v>0.01422</v>
      </c>
      <c r="J45" s="9">
        <f t="shared" si="5"/>
        <v>0.06984656570155902</v>
      </c>
    </row>
    <row r="46" spans="1:10" ht="15">
      <c r="A46" s="30" t="str">
        <f>+'Sch 8, p1'!A46</f>
        <v>IDACORP</v>
      </c>
      <c r="C46" s="9">
        <f>'Sch 8, p1'!G46*(1+0.5*I46)</f>
        <v>0.0382267815191856</v>
      </c>
      <c r="D46" s="9">
        <f>+'Sch 8, p 2'!H46</f>
        <v>0.0226</v>
      </c>
      <c r="E46" s="9">
        <f>+'Sch 8, p 2'!L46</f>
        <v>0.03333333333333333</v>
      </c>
      <c r="F46" s="9"/>
      <c r="G46" s="9">
        <f>+'Sch 8, p 3'!K46</f>
        <v>0.02</v>
      </c>
      <c r="H46" s="28">
        <v>0.06</v>
      </c>
      <c r="I46" s="9">
        <f t="shared" si="4"/>
        <v>0.03398333333333334</v>
      </c>
      <c r="J46" s="9">
        <f t="shared" si="5"/>
        <v>0.07221011485251894</v>
      </c>
    </row>
    <row r="47" spans="1:10" ht="15">
      <c r="A47" s="30" t="str">
        <f>+'Sch 8, p1'!A47</f>
        <v>MGE Corp</v>
      </c>
      <c r="C47" s="9">
        <f>'Sch 8, p1'!G47*(1+0.5*I47)</f>
        <v>0.04400706150341686</v>
      </c>
      <c r="D47" s="9">
        <f>+'Sch 8, p 2'!H47</f>
        <v>0.028000000000000004</v>
      </c>
      <c r="E47" s="9">
        <f>+'Sch 8, p 2'!L47</f>
        <v>0.049999999999999996</v>
      </c>
      <c r="F47" s="9">
        <f>+'Sch 8, p 3'!F47</f>
        <v>0.04</v>
      </c>
      <c r="G47" s="9">
        <f>+'Sch 8, p 3'!K47</f>
        <v>0.045000000000000005</v>
      </c>
      <c r="H47" s="28"/>
      <c r="I47" s="9">
        <f t="shared" si="4"/>
        <v>0.04075</v>
      </c>
      <c r="J47" s="9">
        <f t="shared" si="5"/>
        <v>0.08475706150341686</v>
      </c>
    </row>
    <row r="48" spans="1:10" ht="15">
      <c r="A48" s="30" t="str">
        <f>+'Sch 8, p1'!A48</f>
        <v>Northeast Utilities</v>
      </c>
      <c r="C48" s="9">
        <f>'Sch 8, p1'!G48*(1+0.5*I48)</f>
        <v>0.029766870576946148</v>
      </c>
      <c r="D48" s="9">
        <f>+'Sch 8, p 2'!H48</f>
        <v>0.022200000000000004</v>
      </c>
      <c r="E48" s="9">
        <f>+'Sch 8, p 2'!L48</f>
        <v>0.04833333333333334</v>
      </c>
      <c r="F48" s="9">
        <f>+'Sch 8, p 3'!F48</f>
        <v>0.0975</v>
      </c>
      <c r="G48" s="9">
        <f>+'Sch 8, p 3'!K48</f>
        <v>0.08833333333333333</v>
      </c>
      <c r="H48" s="28">
        <v>0.0839</v>
      </c>
      <c r="I48" s="9">
        <f t="shared" si="4"/>
        <v>0.06805333333333334</v>
      </c>
      <c r="J48" s="9">
        <f t="shared" si="5"/>
        <v>0.09782020391027949</v>
      </c>
    </row>
    <row r="49" spans="1:10" ht="15">
      <c r="A49" s="30" t="str">
        <f>+'Sch 8, p1'!A49</f>
        <v>PG&amp;E</v>
      </c>
      <c r="C49" s="9">
        <f>'Sch 8, p1'!G49*(1+0.5*I49)</f>
        <v>0.03928443251159385</v>
      </c>
      <c r="D49" s="9">
        <f>+'Sch 8, p 2'!H49</f>
        <v>0.0982</v>
      </c>
      <c r="E49" s="9">
        <f>+'Sch 8, p 2'!L49</f>
        <v>0.0475</v>
      </c>
      <c r="F49" s="9">
        <f>+'Sch 8, p 3'!F49</f>
        <v>0.04</v>
      </c>
      <c r="G49" s="9">
        <f>+'Sch 8, p 3'!K49</f>
        <v>0.05</v>
      </c>
      <c r="H49" s="28">
        <v>0.0815</v>
      </c>
      <c r="I49" s="9">
        <f t="shared" si="4"/>
        <v>0.06344000000000001</v>
      </c>
      <c r="J49" s="9">
        <f t="shared" si="5"/>
        <v>0.10272443251159386</v>
      </c>
    </row>
    <row r="50" spans="1:10" ht="15">
      <c r="A50" s="30" t="str">
        <f>+'Sch 8, p1'!A50</f>
        <v>Pinnacle West</v>
      </c>
      <c r="C50" s="9">
        <f>'Sch 8, p1'!G50*(1+0.5*I50)</f>
        <v>0.05513581818181819</v>
      </c>
      <c r="D50" s="9">
        <f>+'Sch 8, p 2'!H50</f>
        <v>0.0236</v>
      </c>
      <c r="E50" s="9">
        <f>+'Sch 8, p 2'!L50</f>
        <v>0.01</v>
      </c>
      <c r="F50" s="9">
        <f>+'Sch 8, p 3'!F50</f>
        <v>0.016666666666666666</v>
      </c>
      <c r="G50" s="9">
        <f>+'Sch 8, p 3'!K50</f>
        <v>0.021666666666666667</v>
      </c>
      <c r="H50" s="28">
        <f>+H22</f>
        <v>0.0363</v>
      </c>
      <c r="I50" s="9">
        <f t="shared" si="4"/>
        <v>0.021646666666666668</v>
      </c>
      <c r="J50" s="9">
        <f t="shared" si="5"/>
        <v>0.07678248484848485</v>
      </c>
    </row>
    <row r="51" spans="1:10" ht="15">
      <c r="A51" s="30" t="str">
        <f>+'Sch 8, p1'!A51</f>
        <v>PNM Resources</v>
      </c>
      <c r="C51" s="9">
        <f>'Sch 8, p1'!G51*(1+0.5*I51)</f>
        <v>0.06151328981723238</v>
      </c>
      <c r="D51" s="9">
        <f>+'Sch 8, p 2'!H51</f>
        <v>0.033999999999999996</v>
      </c>
      <c r="E51" s="9">
        <f>+'Sch 8, p 2'!L51</f>
        <v>0.02</v>
      </c>
      <c r="F51" s="9">
        <f>+'Sch 8, p 3'!F51</f>
        <v>0.03166666666666667</v>
      </c>
      <c r="G51" s="9">
        <f>+'Sch 8, p 3'!K51</f>
        <v>0.043333333333333335</v>
      </c>
      <c r="H51" s="28">
        <f>+H23</f>
        <v>0.1143</v>
      </c>
      <c r="I51" s="9">
        <f t="shared" si="4"/>
        <v>0.04866</v>
      </c>
      <c r="J51" s="9">
        <f t="shared" si="5"/>
        <v>0.11017328981723237</v>
      </c>
    </row>
    <row r="52" spans="1:10" ht="15">
      <c r="A52" s="30" t="str">
        <f>+'Sch 8, p1'!A52</f>
        <v>Progress Energy</v>
      </c>
      <c r="C52" s="9">
        <f>'Sch 8, p1'!G52*(1+0.5*I52)</f>
        <v>0.05562196209587514</v>
      </c>
      <c r="D52" s="9">
        <f>+'Sch 8, p 2'!H52</f>
        <v>0.018</v>
      </c>
      <c r="E52" s="9">
        <f>+'Sch 8, p 2'!L52</f>
        <v>0.02</v>
      </c>
      <c r="F52" s="9">
        <f>+'Sch 8, p 3'!F52</f>
        <v>0.023333333333333334</v>
      </c>
      <c r="G52" s="9">
        <f>+'Sch 8, p 3'!K52</f>
        <v>0.02</v>
      </c>
      <c r="H52" s="28">
        <v>0.0595</v>
      </c>
      <c r="I52" s="9">
        <f t="shared" si="4"/>
        <v>0.028166666666666666</v>
      </c>
      <c r="J52" s="9">
        <f t="shared" si="5"/>
        <v>0.08378862876254181</v>
      </c>
    </row>
    <row r="53" spans="1:10" ht="15">
      <c r="A53" s="30" t="str">
        <f>+'Sch 8, p1'!A53</f>
        <v>Puget Energy</v>
      </c>
      <c r="C53" s="9">
        <f>'Sch 8, p1'!G53*(1+0.5*I53)</f>
        <v>0.03863983585858586</v>
      </c>
      <c r="D53" s="9">
        <f>+'Sch 8, p 2'!H53</f>
        <v>0.027600000000000003</v>
      </c>
      <c r="E53" s="9">
        <f>+'Sch 8, p 2'!L53</f>
        <v>0.0325</v>
      </c>
      <c r="F53" s="9"/>
      <c r="G53" s="9">
        <f>+'Sch 8, p 3'!K53</f>
        <v>0.043333333333333335</v>
      </c>
      <c r="H53" s="28">
        <v>0.0573</v>
      </c>
      <c r="I53" s="9">
        <f t="shared" si="4"/>
        <v>0.040183333333333335</v>
      </c>
      <c r="J53" s="9">
        <f t="shared" si="5"/>
        <v>0.0788231691919192</v>
      </c>
    </row>
    <row r="54" spans="1:10" ht="15">
      <c r="A54" s="30" t="str">
        <f>+'Sch 8, p1'!A54</f>
        <v>Southern Company</v>
      </c>
      <c r="C54" s="9">
        <f>'Sch 8, p1'!G54*(1+0.5*I54)</f>
        <v>0.04429359206925942</v>
      </c>
      <c r="D54" s="9">
        <f>+'Sch 8, p 2'!H54</f>
        <v>0.043000000000000003</v>
      </c>
      <c r="E54" s="9">
        <f>+'Sch 8, p 2'!L54</f>
        <v>0.041666666666666664</v>
      </c>
      <c r="F54" s="9">
        <f>+'Sch 8, p 3'!F54</f>
        <v>0.02</v>
      </c>
      <c r="G54" s="9">
        <f>+'Sch 8, p 3'!K54</f>
        <v>0.051666666666666666</v>
      </c>
      <c r="H54" s="28">
        <v>0.0529</v>
      </c>
      <c r="I54" s="9">
        <f t="shared" si="4"/>
        <v>0.041846666666666664</v>
      </c>
      <c r="J54" s="9">
        <f t="shared" si="5"/>
        <v>0.08614025873592608</v>
      </c>
    </row>
    <row r="55" spans="1:10" ht="15">
      <c r="A55" s="30" t="str">
        <f>+'Sch 8, p1'!A55</f>
        <v>TECO Energy</v>
      </c>
      <c r="C55" s="9">
        <f>'Sch 8, p1'!G55*(1+0.5*I55)</f>
        <v>0.04930359913124417</v>
      </c>
      <c r="D55" s="9">
        <f>+'Sch 8, p 2'!H55</f>
        <v>0.0268</v>
      </c>
      <c r="E55" s="9">
        <f>+'Sch 8, p 2'!L55</f>
        <v>0.03333333333333333</v>
      </c>
      <c r="F55" s="9"/>
      <c r="G55" s="9">
        <f>+'Sch 8, p 3'!K55</f>
        <v>0.041666666666666664</v>
      </c>
      <c r="H55" s="28">
        <v>0.0472</v>
      </c>
      <c r="I55" s="9">
        <f t="shared" si="4"/>
        <v>0.03725</v>
      </c>
      <c r="J55" s="9">
        <f t="shared" si="5"/>
        <v>0.08655359913124416</v>
      </c>
    </row>
    <row r="56" spans="1:10" ht="15">
      <c r="A56" s="30" t="str">
        <f>+'Sch 8, p1'!A56</f>
        <v>Wisconsin Energy</v>
      </c>
      <c r="C56" s="9">
        <f>'Sch 8, p1'!G56*(1+0.5*I56)</f>
        <v>0.024382150420259797</v>
      </c>
      <c r="D56" s="9">
        <f>+'Sch 8, p 2'!H56</f>
        <v>0.0678</v>
      </c>
      <c r="E56" s="9">
        <f>+'Sch 8, p 2'!L56</f>
        <v>0.07</v>
      </c>
      <c r="F56" s="9">
        <f>+'Sch 8, p 3'!F56</f>
        <v>0.024999999999999998</v>
      </c>
      <c r="G56" s="9">
        <f>+'Sch 8, p 3'!K56</f>
        <v>0.08166666666666667</v>
      </c>
      <c r="H56" s="28">
        <v>0.0965</v>
      </c>
      <c r="I56" s="9">
        <f t="shared" si="4"/>
        <v>0.06819333333333333</v>
      </c>
      <c r="J56" s="9">
        <f t="shared" si="5"/>
        <v>0.09257548375359312</v>
      </c>
    </row>
    <row r="57" spans="1:10" ht="15">
      <c r="A57" s="30" t="str">
        <f>+'Sch 8, p1'!A57</f>
        <v>Xcel Energy Inc.</v>
      </c>
      <c r="C57" s="9">
        <f>'Sch 8, p1'!G57*(1+0.5*I57)</f>
        <v>0.04448370773232443</v>
      </c>
      <c r="D57" s="9">
        <f>+'Sch 8, p 2'!H57</f>
        <v>0.0346</v>
      </c>
      <c r="E57" s="9">
        <f>+'Sch 8, p 2'!L57</f>
        <v>0.03333333333333333</v>
      </c>
      <c r="F57" s="9"/>
      <c r="G57" s="9">
        <f>+'Sch 8, p 3'!K57</f>
        <v>0.04666666666666667</v>
      </c>
      <c r="H57" s="28">
        <v>0.0646</v>
      </c>
      <c r="I57" s="9">
        <f t="shared" si="4"/>
        <v>0.044800000000000006</v>
      </c>
      <c r="J57" s="9">
        <f t="shared" si="5"/>
        <v>0.08928370773232444</v>
      </c>
    </row>
    <row r="58" spans="1:10" ht="15.75" thickBot="1">
      <c r="A58" s="63"/>
      <c r="B58" s="52"/>
      <c r="C58" s="54"/>
      <c r="D58" s="54"/>
      <c r="E58" s="54"/>
      <c r="F58" s="54"/>
      <c r="G58" s="54"/>
      <c r="H58" s="54"/>
      <c r="I58" s="54"/>
      <c r="J58" s="54"/>
    </row>
    <row r="59" spans="1:10" ht="28.5" customHeight="1" thickTop="1">
      <c r="A59" s="156" t="s">
        <v>213</v>
      </c>
      <c r="B59" s="150"/>
      <c r="C59" s="151">
        <f>AVERAGE(C33:C57)</f>
        <v>0.042770766000764675</v>
      </c>
      <c r="D59" s="151">
        <f aca="true" t="shared" si="6" ref="D59:J59">AVERAGE(D33:D57)</f>
        <v>0.03911</v>
      </c>
      <c r="E59" s="151">
        <f t="shared" si="6"/>
        <v>0.0396</v>
      </c>
      <c r="F59" s="151">
        <f t="shared" si="6"/>
        <v>0.03460526315789474</v>
      </c>
      <c r="G59" s="151">
        <f t="shared" si="6"/>
        <v>0.05080000000000001</v>
      </c>
      <c r="H59" s="151">
        <f t="shared" si="6"/>
        <v>0.07209166666666665</v>
      </c>
      <c r="I59" s="151">
        <f t="shared" si="6"/>
        <v>0.04739996666666666</v>
      </c>
      <c r="J59" s="152">
        <f t="shared" si="6"/>
        <v>0.09017073266743134</v>
      </c>
    </row>
    <row r="60" spans="1:10" ht="28.5" customHeight="1">
      <c r="A60" s="157" t="s">
        <v>197</v>
      </c>
      <c r="B60" s="158"/>
      <c r="C60" s="196">
        <f>MEDIAN(C33:C57)</f>
        <v>0.04400706150341686</v>
      </c>
      <c r="D60" s="196">
        <f aca="true" t="shared" si="7" ref="D60:J60">MEDIAN(D33:D57)</f>
        <v>0.033999999999999996</v>
      </c>
      <c r="E60" s="196">
        <f t="shared" si="7"/>
        <v>0.03333333333333333</v>
      </c>
      <c r="F60" s="196">
        <f t="shared" si="7"/>
        <v>0.02666666666666667</v>
      </c>
      <c r="G60" s="196">
        <f t="shared" si="7"/>
        <v>0.04666666666666667</v>
      </c>
      <c r="H60" s="196">
        <f t="shared" si="7"/>
        <v>0.061649999999999996</v>
      </c>
      <c r="I60" s="196">
        <f t="shared" si="7"/>
        <v>0.041846666666666664</v>
      </c>
      <c r="J60" s="160">
        <f t="shared" si="7"/>
        <v>0.08859073987173471</v>
      </c>
    </row>
    <row r="61" spans="1:10" ht="28.5" customHeight="1">
      <c r="A61" s="157" t="s">
        <v>332</v>
      </c>
      <c r="B61" s="158"/>
      <c r="C61" s="159"/>
      <c r="D61" s="159">
        <f>+C59+D59</f>
        <v>0.08188076600076467</v>
      </c>
      <c r="E61" s="196">
        <f>+C59+E59</f>
        <v>0.08237076600076468</v>
      </c>
      <c r="F61" s="196">
        <f>+C59+F59</f>
        <v>0.07737602915865942</v>
      </c>
      <c r="G61" s="196">
        <f>+C59+G59</f>
        <v>0.0935707660007647</v>
      </c>
      <c r="H61" s="160">
        <f>+C59+H59</f>
        <v>0.11486243266743132</v>
      </c>
      <c r="I61" s="159">
        <f>+C59+I59</f>
        <v>0.09017073266743134</v>
      </c>
      <c r="J61" s="159"/>
    </row>
    <row r="62" spans="1:10" ht="28.5" customHeight="1" thickBot="1">
      <c r="A62" s="193" t="s">
        <v>333</v>
      </c>
      <c r="B62" s="55"/>
      <c r="C62" s="57"/>
      <c r="D62" s="57">
        <f>+C60+D60</f>
        <v>0.07800706150341685</v>
      </c>
      <c r="E62" s="194">
        <f>+C60+E60</f>
        <v>0.07734039483675019</v>
      </c>
      <c r="F62" s="194">
        <f>+C60+F60</f>
        <v>0.07067372817008352</v>
      </c>
      <c r="G62" s="194">
        <f>+C60+G60</f>
        <v>0.09067372817008353</v>
      </c>
      <c r="H62" s="195">
        <f>+C60+H60</f>
        <v>0.10565706150341686</v>
      </c>
      <c r="I62" s="57">
        <f>+C60+I60</f>
        <v>0.08585372817008352</v>
      </c>
      <c r="J62" s="57"/>
    </row>
    <row r="63" spans="1:10" ht="31.5" customHeight="1" thickTop="1">
      <c r="A63" s="62" t="str">
        <f>+'Sch 8, p 3'!A63</f>
        <v>Moody's Electric Utilities</v>
      </c>
      <c r="C63" s="9"/>
      <c r="D63" s="9"/>
      <c r="E63" s="9"/>
      <c r="F63" s="9"/>
      <c r="G63" s="9"/>
      <c r="H63" s="9"/>
      <c r="I63" s="9"/>
      <c r="J63" s="9"/>
    </row>
    <row r="64" spans="1:10" ht="15">
      <c r="A64" s="30"/>
      <c r="C64" s="9"/>
      <c r="D64" s="9"/>
      <c r="E64" s="9"/>
      <c r="F64" s="9"/>
      <c r="G64" s="9"/>
      <c r="H64" s="9"/>
      <c r="I64" s="9"/>
      <c r="J64" s="9"/>
    </row>
    <row r="65" spans="1:10" ht="15">
      <c r="A65" s="105" t="str">
        <f>+'Sch 8, p 3'!A65</f>
        <v>American Electric Power</v>
      </c>
      <c r="C65" s="9">
        <f>'Sch 8, p1'!G65*(1+0.5*I65)</f>
        <v>0.03817381490692591</v>
      </c>
      <c r="D65" s="9">
        <f>+'Sch 8, p 2'!H65</f>
        <v>0.0522</v>
      </c>
      <c r="E65" s="9">
        <f>+'Sch 8, p 2'!L65</f>
        <v>0.05333333333333334</v>
      </c>
      <c r="F65" s="9"/>
      <c r="G65" s="9">
        <f>+'Sch 8, p 3'!K65</f>
        <v>0.065</v>
      </c>
      <c r="H65" s="9">
        <f>+H35</f>
        <v>0.0657</v>
      </c>
      <c r="I65" s="9">
        <f aca="true" t="shared" si="8" ref="I65:I83">AVERAGE(D65:H65)</f>
        <v>0.05905833333333334</v>
      </c>
      <c r="J65" s="9">
        <f aca="true" t="shared" si="9" ref="J65:J83">C65+I65</f>
        <v>0.09723214824025925</v>
      </c>
    </row>
    <row r="66" spans="1:10" ht="15">
      <c r="A66" s="105" t="str">
        <f>+'Sch 8, p 3'!A66</f>
        <v>CH Energy</v>
      </c>
      <c r="C66" s="9">
        <f>'Sch 8, p1'!G66*(1+0.5*I66)</f>
        <v>0.05448249280440497</v>
      </c>
      <c r="D66" s="9">
        <f>+'Sch 8, p 2'!H66</f>
        <v>0.016800000000000002</v>
      </c>
      <c r="E66" s="9">
        <f>+'Sch 8, p 2'!L66</f>
        <v>0.018333333333333333</v>
      </c>
      <c r="F66" s="9"/>
      <c r="G66" s="9">
        <f>+'Sch 8, p 3'!K66</f>
        <v>0.011666666666666667</v>
      </c>
      <c r="H66" s="9"/>
      <c r="I66" s="9">
        <f t="shared" si="8"/>
        <v>0.015600000000000001</v>
      </c>
      <c r="J66" s="9">
        <f t="shared" si="9"/>
        <v>0.07008249280440497</v>
      </c>
    </row>
    <row r="67" spans="1:10" ht="15">
      <c r="A67" s="105" t="str">
        <f>+'Sch 8, p 3'!A67</f>
        <v>Consolidated Edison</v>
      </c>
      <c r="C67" s="9">
        <f>'Sch 8, p1'!G67*(1+0.5*I67)</f>
        <v>0.053559413092550794</v>
      </c>
      <c r="D67" s="9">
        <f>+'Sch 8, p 2'!H67</f>
        <v>0.0258</v>
      </c>
      <c r="E67" s="9">
        <f>+'Sch 8, p 2'!L67</f>
        <v>0.03833333333333333</v>
      </c>
      <c r="F67" s="9">
        <f>+'Sch 8, p 3'!F67</f>
        <v>0.006666666666666665</v>
      </c>
      <c r="G67" s="9">
        <f>+'Sch 8, p 3'!K67</f>
        <v>0.03666666666666667</v>
      </c>
      <c r="H67" s="9">
        <v>0.0322</v>
      </c>
      <c r="I67" s="9">
        <f t="shared" si="8"/>
        <v>0.02793333333333333</v>
      </c>
      <c r="J67" s="9">
        <f t="shared" si="9"/>
        <v>0.08149274642588412</v>
      </c>
    </row>
    <row r="68" spans="1:10" ht="15">
      <c r="A68" s="105" t="str">
        <f>+'Sch 8, p 3'!A68</f>
        <v>Constellation Energy</v>
      </c>
      <c r="C68" s="9">
        <f>'Sch 8, p1'!G68*(1+0.5*I68)</f>
        <v>0.02119936250504625</v>
      </c>
      <c r="D68" s="9">
        <f>+'Sch 8, p 2'!H68</f>
        <v>0.082</v>
      </c>
      <c r="E68" s="9">
        <f>+'Sch 8, p 2'!L68</f>
        <v>0.12</v>
      </c>
      <c r="F68" s="9">
        <f>+'Sch 8, p 3'!F68</f>
        <v>0.04833333333333333</v>
      </c>
      <c r="G68" s="9">
        <f>+'Sch 8, p 3'!K68</f>
        <v>0.11333333333333333</v>
      </c>
      <c r="H68" s="9">
        <v>0.1645</v>
      </c>
      <c r="I68" s="9">
        <f t="shared" si="8"/>
        <v>0.10563333333333333</v>
      </c>
      <c r="J68" s="9">
        <f t="shared" si="9"/>
        <v>0.12683269583837958</v>
      </c>
    </row>
    <row r="69" spans="1:10" ht="15">
      <c r="A69" s="105" t="str">
        <f>+'Sch 8, p 3'!A69</f>
        <v>Dominion Resources</v>
      </c>
      <c r="C69" s="9">
        <f>'Sch 8, p1'!G69*(1+0.5*I69)</f>
        <v>0.03740645013198669</v>
      </c>
      <c r="D69" s="9">
        <f>+'Sch 8, p 2'!H69</f>
        <v>0.041</v>
      </c>
      <c r="E69" s="9">
        <f>+'Sch 8, p 2'!L69</f>
        <v>0.07</v>
      </c>
      <c r="F69" s="9">
        <f>+'Sch 8, p 3'!F69</f>
        <v>0.04</v>
      </c>
      <c r="G69" s="9">
        <f>+'Sch 8, p 3'!K69</f>
        <v>0.08</v>
      </c>
      <c r="H69" s="9">
        <v>0.083</v>
      </c>
      <c r="I69" s="9">
        <f t="shared" si="8"/>
        <v>0.06280000000000001</v>
      </c>
      <c r="J69" s="9">
        <f t="shared" si="9"/>
        <v>0.1002064501319867</v>
      </c>
    </row>
    <row r="70" spans="1:10" ht="15">
      <c r="A70" s="105" t="str">
        <f>+'Sch 8, p 3'!A70</f>
        <v>DPL Inc</v>
      </c>
      <c r="C70" s="9">
        <f>'Sch 8, p1'!G70*(1+0.5*I70)</f>
        <v>0.04134736138944556</v>
      </c>
      <c r="D70" s="9">
        <f>+'Sch 8, p 2'!H70</f>
        <v>0.052000000000000005</v>
      </c>
      <c r="E70" s="9">
        <f>+'Sch 8, p 2'!L70</f>
        <v>0.09999999999999999</v>
      </c>
      <c r="F70" s="9">
        <f>+'Sch 8, p 3'!F70</f>
        <v>0.008333333333333333</v>
      </c>
      <c r="G70" s="9">
        <f>+'Sch 8, p 3'!K70</f>
        <v>0.08333333333333333</v>
      </c>
      <c r="H70" s="9">
        <v>0.0725</v>
      </c>
      <c r="I70" s="9">
        <f t="shared" si="8"/>
        <v>0.06323333333333334</v>
      </c>
      <c r="J70" s="9">
        <f t="shared" si="9"/>
        <v>0.1045806947227789</v>
      </c>
    </row>
    <row r="71" spans="1:10" ht="15">
      <c r="A71" s="105" t="str">
        <f>+'Sch 8, p 3'!A71</f>
        <v>DTE Energy</v>
      </c>
      <c r="C71" s="9">
        <f>'Sch 8, p1'!G71*(1+0.5*I71)</f>
        <v>0.05166539278131634</v>
      </c>
      <c r="D71" s="9">
        <f>+'Sch 8, p 2'!H71</f>
        <v>0.020999999999999998</v>
      </c>
      <c r="E71" s="9">
        <f>+'Sch 8, p 2'!L71</f>
        <v>0.028333333333333335</v>
      </c>
      <c r="F71" s="9">
        <f>+'Sch 8, p 3'!F71</f>
        <v>0.006666666666666665</v>
      </c>
      <c r="G71" s="9">
        <f>+'Sch 8, p 3'!K71</f>
        <v>0.03333333333333333</v>
      </c>
      <c r="H71" s="9">
        <f>+H38</f>
        <v>0.05</v>
      </c>
      <c r="I71" s="9">
        <f t="shared" si="8"/>
        <v>0.027866666666666668</v>
      </c>
      <c r="J71" s="9">
        <f t="shared" si="9"/>
        <v>0.07953205944798301</v>
      </c>
    </row>
    <row r="72" spans="1:10" ht="15">
      <c r="A72" s="105" t="str">
        <f>+'Sch 8, p 3'!A72</f>
        <v>Energy East</v>
      </c>
      <c r="C72" s="9">
        <f>'Sch 8, p1'!G72*(1+0.5*I72)</f>
        <v>0.04899597792924374</v>
      </c>
      <c r="D72" s="9">
        <f>+'Sch 8, p 2'!H72</f>
        <v>0.0316</v>
      </c>
      <c r="E72" s="9">
        <f>+'Sch 8, p 2'!L72</f>
        <v>0.016666666666666666</v>
      </c>
      <c r="F72" s="9">
        <f>+'Sch 8, p 3'!F72</f>
        <v>0.02666666666666667</v>
      </c>
      <c r="G72" s="9">
        <f>+'Sch 8, p 3'!K72</f>
        <v>0.02</v>
      </c>
      <c r="H72" s="9">
        <f>+H41</f>
        <v>0.05</v>
      </c>
      <c r="I72" s="9">
        <f t="shared" si="8"/>
        <v>0.02898666666666667</v>
      </c>
      <c r="J72" s="9">
        <f t="shared" si="9"/>
        <v>0.07798264459591041</v>
      </c>
    </row>
    <row r="73" spans="1:10" ht="15">
      <c r="A73" s="105" t="str">
        <f>+'Sch 8, p 3'!A73</f>
        <v>Exelon</v>
      </c>
      <c r="C73" s="9">
        <f>'Sch 8, p1'!G73*(1+0.5*I73)</f>
        <v>0.02673263381028087</v>
      </c>
      <c r="D73" s="9">
        <f>+'Sch 8, p 2'!H73</f>
        <v>0.1246</v>
      </c>
      <c r="E73" s="9">
        <f>+'Sch 8, p 2'!L73</f>
        <v>0.13833333333333334</v>
      </c>
      <c r="F73" s="9">
        <f>+'Sch 8, p 3'!F73</f>
        <v>0.07500000000000001</v>
      </c>
      <c r="G73" s="9">
        <f>+'Sch 8, p 3'!K73</f>
        <v>0.07833333333333332</v>
      </c>
      <c r="H73" s="9">
        <v>0.093</v>
      </c>
      <c r="I73" s="9">
        <f t="shared" si="8"/>
        <v>0.10185333333333332</v>
      </c>
      <c r="J73" s="9">
        <f t="shared" si="9"/>
        <v>0.1285859671436142</v>
      </c>
    </row>
    <row r="74" spans="1:10" ht="15">
      <c r="A74" s="105" t="str">
        <f>+'Sch 8, p 3'!A74</f>
        <v>FirstEnergy Corp</v>
      </c>
      <c r="C74" s="9">
        <f>'Sch 8, p1'!G74*(1+0.5*I74)</f>
        <v>0.03176392678092574</v>
      </c>
      <c r="D74" s="9">
        <f>+'Sch 8, p 2'!H74</f>
        <v>0.048</v>
      </c>
      <c r="E74" s="9">
        <f>+'Sch 8, p 2'!L74</f>
        <v>0.065</v>
      </c>
      <c r="F74" s="9">
        <f>+'Sch 8, p 3'!F74</f>
        <v>0.04</v>
      </c>
      <c r="G74" s="9">
        <f>+'Sch 8, p 3'!K74</f>
        <v>0.07166666666666667</v>
      </c>
      <c r="H74" s="9">
        <f>+H43</f>
        <v>0.095</v>
      </c>
      <c r="I74" s="9">
        <f t="shared" si="8"/>
        <v>0.06393333333333333</v>
      </c>
      <c r="J74" s="9">
        <f t="shared" si="9"/>
        <v>0.09569726011425907</v>
      </c>
    </row>
    <row r="75" spans="1:10" ht="15">
      <c r="A75" s="105" t="str">
        <f>+'Sch 8, p 3'!A75</f>
        <v>IDACORP</v>
      </c>
      <c r="C75" s="9">
        <f>'Sch 8, p1'!G75*(1+0.5*I75)</f>
        <v>0.0382267815191856</v>
      </c>
      <c r="D75" s="9">
        <f>+'Sch 8, p 2'!H75</f>
        <v>0.0226</v>
      </c>
      <c r="E75" s="9">
        <f>+'Sch 8, p 2'!L75</f>
        <v>0.03333333333333333</v>
      </c>
      <c r="F75" s="9"/>
      <c r="G75" s="9">
        <f>+'Sch 8, p 3'!K75</f>
        <v>0.02</v>
      </c>
      <c r="H75" s="9">
        <f>+H46</f>
        <v>0.06</v>
      </c>
      <c r="I75" s="9">
        <f t="shared" si="8"/>
        <v>0.03398333333333334</v>
      </c>
      <c r="J75" s="9">
        <f t="shared" si="9"/>
        <v>0.07221011485251894</v>
      </c>
    </row>
    <row r="76" spans="1:10" ht="15">
      <c r="A76" s="105" t="str">
        <f>+'Sch 8, p 3'!A76</f>
        <v>NiSource</v>
      </c>
      <c r="C76" s="9">
        <f>'Sch 8, p1'!G76*(1+0.5*I76)</f>
        <v>0.05089786885245901</v>
      </c>
      <c r="D76" s="9">
        <f>+'Sch 8, p 2'!H76</f>
        <v>0.020399999999999998</v>
      </c>
      <c r="E76" s="9">
        <f>+'Sch 8, p 2'!L76</f>
        <v>0.021666666666666667</v>
      </c>
      <c r="F76" s="9"/>
      <c r="G76" s="9">
        <f>+'Sch 8, p 3'!K76</f>
        <v>0.028333333333333335</v>
      </c>
      <c r="H76" s="9">
        <v>0.029</v>
      </c>
      <c r="I76" s="9">
        <f t="shared" si="8"/>
        <v>0.02485</v>
      </c>
      <c r="J76" s="9">
        <f t="shared" si="9"/>
        <v>0.07574786885245902</v>
      </c>
    </row>
    <row r="77" spans="1:10" ht="15">
      <c r="A77" s="105" t="str">
        <f>+'Sch 8, p 3'!A77</f>
        <v>OGE Energy</v>
      </c>
      <c r="C77" s="9">
        <f>'Sch 8, p1'!G77*(1+0.5*I77)</f>
        <v>0.04323867514380866</v>
      </c>
      <c r="D77" s="9">
        <f>+'Sch 8, p 2'!H77</f>
        <v>0.0482</v>
      </c>
      <c r="E77" s="9">
        <f>+'Sch 8, p 2'!L77</f>
        <v>0.056666666666666664</v>
      </c>
      <c r="F77" s="9">
        <f>+'Sch 8, p 3'!F77</f>
        <v>0.07</v>
      </c>
      <c r="G77" s="9">
        <f>+'Sch 8, p 3'!K77</f>
        <v>0.045000000000000005</v>
      </c>
      <c r="H77" s="9">
        <v>0.04</v>
      </c>
      <c r="I77" s="9">
        <f t="shared" si="8"/>
        <v>0.05197333333333334</v>
      </c>
      <c r="J77" s="9">
        <f t="shared" si="9"/>
        <v>0.095212008477142</v>
      </c>
    </row>
    <row r="78" spans="1:10" ht="15">
      <c r="A78" s="105" t="str">
        <f>+'Sch 8, p 3'!A78</f>
        <v>PPL Corp</v>
      </c>
      <c r="C78" s="9">
        <f>'Sch 8, p1'!G78*(1+0.5*I78)</f>
        <v>0.028320498916124735</v>
      </c>
      <c r="D78" s="9">
        <f>+'Sch 8, p 2'!H78</f>
        <v>0.0982</v>
      </c>
      <c r="E78" s="9">
        <f>+'Sch 8, p 2'!L78</f>
        <v>0.085</v>
      </c>
      <c r="F78" s="9">
        <f>+'Sch 8, p 3'!F78</f>
        <v>0.11166666666666668</v>
      </c>
      <c r="G78" s="9">
        <f>+'Sch 8, p 3'!K78</f>
        <v>0.125</v>
      </c>
      <c r="H78" s="9">
        <v>0.1422</v>
      </c>
      <c r="I78" s="9">
        <f t="shared" si="8"/>
        <v>0.11241333333333334</v>
      </c>
      <c r="J78" s="9">
        <f t="shared" si="9"/>
        <v>0.14073383224945807</v>
      </c>
    </row>
    <row r="79" spans="1:10" ht="15">
      <c r="A79" s="105" t="str">
        <f>+'Sch 8, p 3'!A79</f>
        <v>Progress Energy</v>
      </c>
      <c r="C79" s="9">
        <f>'Sch 8, p1'!G79*(1+0.5*I79)</f>
        <v>0.05562196209587514</v>
      </c>
      <c r="D79" s="9">
        <f>+'Sch 8, p 2'!H79</f>
        <v>0.018</v>
      </c>
      <c r="E79" s="9">
        <f>+'Sch 8, p 2'!L79</f>
        <v>0.02</v>
      </c>
      <c r="F79" s="9">
        <f>+'Sch 8, p 3'!F79</f>
        <v>0.023333333333333334</v>
      </c>
      <c r="G79" s="9">
        <f>+'Sch 8, p 3'!K79</f>
        <v>0.02</v>
      </c>
      <c r="H79" s="9">
        <f>+H52</f>
        <v>0.0595</v>
      </c>
      <c r="I79" s="9">
        <f t="shared" si="8"/>
        <v>0.028166666666666666</v>
      </c>
      <c r="J79" s="9">
        <f t="shared" si="9"/>
        <v>0.08378862876254181</v>
      </c>
    </row>
    <row r="80" spans="1:10" ht="15">
      <c r="A80" s="105" t="str">
        <f>+'Sch 8, p 3'!A80</f>
        <v>Public Service Enterprise</v>
      </c>
      <c r="C80" s="9">
        <f>'Sch 8, p1'!G80*(1+0.5*I80)</f>
        <v>0.029401836725760563</v>
      </c>
      <c r="D80" s="9">
        <f>+'Sch 8, p 2'!H80</f>
        <v>0.0566</v>
      </c>
      <c r="E80" s="9">
        <f>+'Sch 8, p 2'!L80</f>
        <v>0.08666666666666667</v>
      </c>
      <c r="F80" s="9">
        <f>+'Sch 8, p 3'!F80</f>
        <v>0.013333333333333336</v>
      </c>
      <c r="G80" s="9">
        <f>+'Sch 8, p 3'!K80</f>
        <v>0.085</v>
      </c>
      <c r="H80" s="9">
        <v>0.156</v>
      </c>
      <c r="I80" s="9">
        <f t="shared" si="8"/>
        <v>0.07952</v>
      </c>
      <c r="J80" s="9">
        <f t="shared" si="9"/>
        <v>0.10892183672576056</v>
      </c>
    </row>
    <row r="81" spans="1:10" ht="15">
      <c r="A81" s="105" t="str">
        <f>+'Sch 8, p 3'!A81</f>
        <v>Southern Company</v>
      </c>
      <c r="C81" s="9">
        <f>'Sch 8, p1'!G81*(1+0.5*I81)</f>
        <v>0.04429359206925942</v>
      </c>
      <c r="D81" s="9">
        <f>+'Sch 8, p 2'!H81</f>
        <v>0.043000000000000003</v>
      </c>
      <c r="E81" s="9">
        <f>+'Sch 8, p 2'!L81</f>
        <v>0.041666666666666664</v>
      </c>
      <c r="F81" s="9">
        <f>+'Sch 8, p 3'!F81</f>
        <v>0.02</v>
      </c>
      <c r="G81" s="9">
        <f>+'Sch 8, p 3'!K81</f>
        <v>0.051666666666666666</v>
      </c>
      <c r="H81" s="9">
        <f>+H54</f>
        <v>0.0529</v>
      </c>
      <c r="I81" s="9">
        <f t="shared" si="8"/>
        <v>0.041846666666666664</v>
      </c>
      <c r="J81" s="9">
        <f t="shared" si="9"/>
        <v>0.08614025873592608</v>
      </c>
    </row>
    <row r="82" spans="1:10" ht="15">
      <c r="A82" s="105" t="str">
        <f>+'Sch 8, p 3'!A82</f>
        <v>TECO Energy</v>
      </c>
      <c r="C82" s="9">
        <f>'Sch 8, p1'!G82*(1+0.5*I82)</f>
        <v>0.04930359913124417</v>
      </c>
      <c r="D82" s="9">
        <f>+'Sch 8, p 2'!H82</f>
        <v>0.0268</v>
      </c>
      <c r="E82" s="9">
        <f>+'Sch 8, p 2'!L82</f>
        <v>0.03333333333333333</v>
      </c>
      <c r="F82" s="9"/>
      <c r="G82" s="9">
        <f>+'Sch 8, p 3'!K82</f>
        <v>0.041666666666666664</v>
      </c>
      <c r="H82" s="9">
        <f>+H55</f>
        <v>0.0472</v>
      </c>
      <c r="I82" s="9">
        <f t="shared" si="8"/>
        <v>0.03725</v>
      </c>
      <c r="J82" s="9">
        <f t="shared" si="9"/>
        <v>0.08655359913124416</v>
      </c>
    </row>
    <row r="83" spans="1:10" ht="15">
      <c r="A83" s="105" t="str">
        <f>+'Sch 8, p 3'!A83</f>
        <v>Xcel Energy Inc.</v>
      </c>
      <c r="C83" s="9">
        <f>'Sch 8, p1'!G83*(1+0.5*I83)</f>
        <v>0.04448370773232443</v>
      </c>
      <c r="D83" s="9">
        <f>+'Sch 8, p 2'!H83</f>
        <v>0.0346</v>
      </c>
      <c r="E83" s="9">
        <f>+'Sch 8, p 2'!L83</f>
        <v>0.03333333333333333</v>
      </c>
      <c r="F83" s="9"/>
      <c r="G83" s="9">
        <f>+'Sch 8, p 3'!K83</f>
        <v>0.04666666666666667</v>
      </c>
      <c r="H83" s="9">
        <f>+H57</f>
        <v>0.0646</v>
      </c>
      <c r="I83" s="9">
        <f t="shared" si="8"/>
        <v>0.044800000000000006</v>
      </c>
      <c r="J83" s="9">
        <f t="shared" si="9"/>
        <v>0.08928370773232444</v>
      </c>
    </row>
    <row r="84" spans="1:10" ht="15.75" thickBot="1">
      <c r="A84" s="63"/>
      <c r="B84" s="52"/>
      <c r="C84" s="54"/>
      <c r="D84" s="54"/>
      <c r="E84" s="54"/>
      <c r="F84" s="54"/>
      <c r="G84" s="54"/>
      <c r="H84" s="54"/>
      <c r="I84" s="54"/>
      <c r="J84" s="54"/>
    </row>
    <row r="85" spans="1:10" ht="28.5" customHeight="1" thickTop="1">
      <c r="A85" s="156" t="s">
        <v>213</v>
      </c>
      <c r="B85" s="150"/>
      <c r="C85" s="151">
        <f>AVERAGE(C65:C83)</f>
        <v>0.04153238675358782</v>
      </c>
      <c r="D85" s="151">
        <f aca="true" t="shared" si="10" ref="D85:J85">AVERAGE(D65:D83)</f>
        <v>0.045442105263157895</v>
      </c>
      <c r="E85" s="151">
        <f t="shared" si="10"/>
        <v>0.05578947368421052</v>
      </c>
      <c r="F85" s="151">
        <f t="shared" si="10"/>
        <v>0.03769230769230769</v>
      </c>
      <c r="G85" s="151">
        <f t="shared" si="10"/>
        <v>0.055614035087719296</v>
      </c>
      <c r="H85" s="151">
        <f t="shared" si="10"/>
        <v>0.07540555555555555</v>
      </c>
      <c r="I85" s="151">
        <f t="shared" si="10"/>
        <v>0.05324745614035088</v>
      </c>
      <c r="J85" s="152">
        <f t="shared" si="10"/>
        <v>0.0947798428939387</v>
      </c>
    </row>
    <row r="86" spans="1:10" ht="28.5" customHeight="1">
      <c r="A86" s="157" t="s">
        <v>197</v>
      </c>
      <c r="B86" s="158"/>
      <c r="C86" s="196">
        <f>MEDIAN(C65:C83)</f>
        <v>0.04323867514380866</v>
      </c>
      <c r="D86" s="196">
        <f aca="true" t="shared" si="11" ref="D86:J86">MEDIAN(D65:D83)</f>
        <v>0.041</v>
      </c>
      <c r="E86" s="196">
        <f t="shared" si="11"/>
        <v>0.041666666666666664</v>
      </c>
      <c r="F86" s="196">
        <f t="shared" si="11"/>
        <v>0.02666666666666667</v>
      </c>
      <c r="G86" s="196">
        <f t="shared" si="11"/>
        <v>0.04666666666666667</v>
      </c>
      <c r="H86" s="196">
        <f t="shared" si="11"/>
        <v>0.0623</v>
      </c>
      <c r="I86" s="196">
        <f t="shared" si="11"/>
        <v>0.044800000000000006</v>
      </c>
      <c r="J86" s="160">
        <f t="shared" si="11"/>
        <v>0.08928370773232444</v>
      </c>
    </row>
    <row r="87" spans="1:10" ht="28.5" customHeight="1">
      <c r="A87" s="157" t="s">
        <v>332</v>
      </c>
      <c r="B87" s="158"/>
      <c r="C87" s="159"/>
      <c r="D87" s="159">
        <f>+C85+D85</f>
        <v>0.08697449201674572</v>
      </c>
      <c r="E87" s="196">
        <f>+C85+E85</f>
        <v>0.09732186043779834</v>
      </c>
      <c r="F87" s="196">
        <f>+C85+F85</f>
        <v>0.07922469444589551</v>
      </c>
      <c r="G87" s="196">
        <f>+C85+G85</f>
        <v>0.09714642184130712</v>
      </c>
      <c r="H87" s="160">
        <f>+C85+H85</f>
        <v>0.11693794230914337</v>
      </c>
      <c r="I87" s="196">
        <f>+D85+I85</f>
        <v>0.09868956140350878</v>
      </c>
      <c r="J87" s="159"/>
    </row>
    <row r="88" spans="1:10" ht="28.5" customHeight="1" thickBot="1">
      <c r="A88" s="161" t="s">
        <v>333</v>
      </c>
      <c r="B88" s="153"/>
      <c r="C88" s="154"/>
      <c r="D88" s="154">
        <f>+C86+D86</f>
        <v>0.08423867514380866</v>
      </c>
      <c r="E88" s="162">
        <f>+C86+E86</f>
        <v>0.08490534181047532</v>
      </c>
      <c r="F88" s="162">
        <f>+C86+F86</f>
        <v>0.06990534181047532</v>
      </c>
      <c r="G88" s="162">
        <f>+C86+G86</f>
        <v>0.08990534181047533</v>
      </c>
      <c r="H88" s="155">
        <f>+C86+H86</f>
        <v>0.10553867514380866</v>
      </c>
      <c r="I88" s="154">
        <f>+C86+I86</f>
        <v>0.08803867514380867</v>
      </c>
      <c r="J88" s="154"/>
    </row>
    <row r="89" spans="1:10" ht="15.75" thickTop="1">
      <c r="A89" s="30"/>
      <c r="C89" s="9"/>
      <c r="D89" s="9"/>
      <c r="E89" s="9"/>
      <c r="F89" s="9"/>
      <c r="G89" s="9"/>
      <c r="H89" s="9"/>
      <c r="I89" s="9"/>
      <c r="J89" s="9"/>
    </row>
    <row r="90" spans="1:10" ht="15">
      <c r="A90" s="23" t="s">
        <v>101</v>
      </c>
      <c r="C90" s="9"/>
      <c r="D90" s="9"/>
      <c r="E90" s="9"/>
      <c r="F90" s="9"/>
      <c r="G90" s="9"/>
      <c r="H90" s="9"/>
      <c r="I90" s="9"/>
      <c r="J90" s="9"/>
    </row>
    <row r="91" spans="3:10" ht="15">
      <c r="C91" s="9"/>
      <c r="D91" s="9"/>
      <c r="E91" s="9"/>
      <c r="F91" s="9"/>
      <c r="G91" s="9"/>
      <c r="H91" s="9"/>
      <c r="I91" s="9"/>
      <c r="J91" s="9"/>
    </row>
    <row r="92" spans="3:10" ht="15">
      <c r="C92" s="9"/>
      <c r="D92" s="9"/>
      <c r="E92" s="9"/>
      <c r="F92" s="9"/>
      <c r="G92" s="9"/>
      <c r="H92" s="9"/>
      <c r="I92" s="9"/>
      <c r="J92" s="9"/>
    </row>
    <row r="93" spans="3:10" ht="15">
      <c r="C93" s="9"/>
      <c r="D93" s="9"/>
      <c r="E93" s="9"/>
      <c r="F93" s="9"/>
      <c r="G93" s="9"/>
      <c r="H93" s="9"/>
      <c r="I93" s="9"/>
      <c r="J93" s="9"/>
    </row>
    <row r="94" spans="3:10" ht="15">
      <c r="C94" s="9"/>
      <c r="D94" s="9"/>
      <c r="E94" s="9"/>
      <c r="F94" s="9"/>
      <c r="G94" s="9"/>
      <c r="H94" s="9"/>
      <c r="I94" s="9"/>
      <c r="J94" s="9"/>
    </row>
    <row r="95" spans="3:10" ht="15">
      <c r="C95" s="9"/>
      <c r="D95" s="9"/>
      <c r="E95" s="9"/>
      <c r="F95" s="9"/>
      <c r="G95" s="9"/>
      <c r="H95" s="9"/>
      <c r="I95" s="9"/>
      <c r="J95" s="9"/>
    </row>
    <row r="96" spans="3:10" ht="15">
      <c r="C96" s="9"/>
      <c r="D96" s="9"/>
      <c r="E96" s="9"/>
      <c r="F96" s="9"/>
      <c r="G96" s="9"/>
      <c r="H96" s="9"/>
      <c r="I96" s="9"/>
      <c r="J96" s="9"/>
    </row>
    <row r="97" spans="3:10" ht="15">
      <c r="C97" s="9"/>
      <c r="D97" s="9"/>
      <c r="E97" s="9"/>
      <c r="F97" s="9"/>
      <c r="G97" s="9"/>
      <c r="H97" s="9"/>
      <c r="I97" s="9"/>
      <c r="J97" s="9"/>
    </row>
    <row r="98" spans="3:10" ht="15">
      <c r="C98" s="9"/>
      <c r="D98" s="9"/>
      <c r="E98" s="9"/>
      <c r="F98" s="9"/>
      <c r="G98" s="9"/>
      <c r="H98" s="9"/>
      <c r="I98" s="9"/>
      <c r="J98" s="9"/>
    </row>
    <row r="99" spans="3:10" ht="15">
      <c r="C99" s="9"/>
      <c r="D99" s="9"/>
      <c r="E99" s="9"/>
      <c r="F99" s="9"/>
      <c r="G99" s="9"/>
      <c r="H99" s="9"/>
      <c r="I99" s="9"/>
      <c r="J99" s="9"/>
    </row>
    <row r="100" spans="3:10" ht="15">
      <c r="C100" s="9"/>
      <c r="D100" s="9"/>
      <c r="E100" s="9"/>
      <c r="F100" s="9"/>
      <c r="G100" s="9"/>
      <c r="H100" s="9"/>
      <c r="I100" s="9"/>
      <c r="J100" s="9"/>
    </row>
    <row r="101" spans="3:10" ht="15">
      <c r="C101" s="9"/>
      <c r="D101" s="9"/>
      <c r="E101" s="9"/>
      <c r="F101" s="9"/>
      <c r="G101" s="9"/>
      <c r="H101" s="9"/>
      <c r="I101" s="9"/>
      <c r="J101" s="9"/>
    </row>
    <row r="102" spans="3:10" ht="15">
      <c r="C102" s="9"/>
      <c r="D102" s="9"/>
      <c r="E102" s="9"/>
      <c r="F102" s="9"/>
      <c r="G102" s="9"/>
      <c r="H102" s="9"/>
      <c r="I102" s="9"/>
      <c r="J102" s="9"/>
    </row>
    <row r="103" spans="3:10" ht="15">
      <c r="C103" s="9"/>
      <c r="D103" s="9"/>
      <c r="E103" s="9"/>
      <c r="F103" s="9"/>
      <c r="G103" s="9"/>
      <c r="H103" s="9"/>
      <c r="I103" s="9"/>
      <c r="J103" s="9"/>
    </row>
    <row r="104" spans="3:10" ht="15">
      <c r="C104" s="9"/>
      <c r="D104" s="9"/>
      <c r="E104" s="9"/>
      <c r="F104" s="9"/>
      <c r="G104" s="9"/>
      <c r="H104" s="9"/>
      <c r="I104" s="9"/>
      <c r="J104" s="9"/>
    </row>
    <row r="105" spans="3:10" ht="15">
      <c r="C105" s="9"/>
      <c r="D105" s="9"/>
      <c r="E105" s="9"/>
      <c r="F105" s="9"/>
      <c r="G105" s="9"/>
      <c r="H105" s="9"/>
      <c r="I105" s="9"/>
      <c r="J105" s="9"/>
    </row>
    <row r="106" spans="3:10" ht="15">
      <c r="C106" s="9"/>
      <c r="D106" s="9"/>
      <c r="E106" s="9"/>
      <c r="F106" s="9"/>
      <c r="G106" s="9"/>
      <c r="H106" s="9"/>
      <c r="I106" s="9"/>
      <c r="J106" s="9"/>
    </row>
    <row r="107" spans="3:10" ht="15">
      <c r="C107" s="9"/>
      <c r="D107" s="9"/>
      <c r="E107" s="9"/>
      <c r="F107" s="9"/>
      <c r="G107" s="9"/>
      <c r="H107" s="9"/>
      <c r="I107" s="9"/>
      <c r="J107" s="9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3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OutlineSymbols="0" zoomScale="87" zoomScaleNormal="87" zoomScalePageLayoutView="0" workbookViewId="0" topLeftCell="A1">
      <selection activeCell="H2" sqref="H2"/>
    </sheetView>
  </sheetViews>
  <sheetFormatPr defaultColWidth="9.77734375" defaultRowHeight="15"/>
  <cols>
    <col min="1" max="1" width="9.77734375" style="23" customWidth="1"/>
    <col min="2" max="2" width="5.77734375" style="23" customWidth="1"/>
    <col min="3" max="3" width="9.77734375" style="23" customWidth="1"/>
    <col min="4" max="4" width="5.77734375" style="23" customWidth="1"/>
    <col min="5" max="5" width="9.77734375" style="23" customWidth="1"/>
    <col min="6" max="6" width="5.77734375" style="23" customWidth="1"/>
    <col min="7" max="7" width="12.77734375" style="23" customWidth="1"/>
    <col min="8" max="16384" width="9.77734375" style="23" customWidth="1"/>
  </cols>
  <sheetData>
    <row r="1" spans="6:8" ht="15.75">
      <c r="F1" s="2"/>
      <c r="H1" s="33" t="str">
        <f>+'Sch 8, p 4'!I1</f>
        <v>Exhibit___(DCP-2)</v>
      </c>
    </row>
    <row r="2" spans="5:8" ht="15.75">
      <c r="E2" s="26"/>
      <c r="F2" s="2"/>
      <c r="H2" s="33" t="s">
        <v>91</v>
      </c>
    </row>
    <row r="3" ht="15.75">
      <c r="G3" s="2"/>
    </row>
    <row r="5" spans="1:7" ht="20.25">
      <c r="A5" s="3" t="s">
        <v>121</v>
      </c>
      <c r="B5" s="7"/>
      <c r="C5" s="7"/>
      <c r="D5" s="7"/>
      <c r="E5" s="7"/>
      <c r="F5" s="7"/>
      <c r="G5" s="7"/>
    </row>
    <row r="6" spans="1:7" ht="20.25">
      <c r="A6" s="3" t="s">
        <v>118</v>
      </c>
      <c r="B6" s="7"/>
      <c r="C6" s="7"/>
      <c r="D6" s="7"/>
      <c r="E6" s="7"/>
      <c r="F6" s="7"/>
      <c r="G6" s="7"/>
    </row>
    <row r="10" spans="8:9" ht="15">
      <c r="H10" s="26" t="s">
        <v>239</v>
      </c>
      <c r="I10" s="26" t="s">
        <v>209</v>
      </c>
    </row>
    <row r="11" spans="1:9" ht="15">
      <c r="A11" s="8" t="s">
        <v>63</v>
      </c>
      <c r="B11" s="8"/>
      <c r="C11" s="8" t="s">
        <v>98</v>
      </c>
      <c r="D11" s="8"/>
      <c r="E11" s="8" t="s">
        <v>99</v>
      </c>
      <c r="F11" s="8"/>
      <c r="G11" s="8" t="s">
        <v>120</v>
      </c>
      <c r="H11" s="8" t="s">
        <v>240</v>
      </c>
      <c r="I11" s="8" t="s">
        <v>210</v>
      </c>
    </row>
    <row r="12" spans="1:9" ht="15">
      <c r="A12" s="70"/>
      <c r="B12" s="70"/>
      <c r="C12" s="70"/>
      <c r="D12" s="70"/>
      <c r="E12" s="70"/>
      <c r="F12" s="70"/>
      <c r="G12" s="70"/>
      <c r="H12" s="52"/>
      <c r="I12" s="52"/>
    </row>
    <row r="13" spans="1:7" ht="15">
      <c r="A13" s="118"/>
      <c r="B13" s="118"/>
      <c r="C13" s="118"/>
      <c r="D13" s="118"/>
      <c r="E13" s="118"/>
      <c r="F13" s="118"/>
      <c r="G13" s="118"/>
    </row>
    <row r="14" spans="1:7" ht="15">
      <c r="A14" s="118">
        <v>1977</v>
      </c>
      <c r="B14" s="118"/>
      <c r="C14" s="119"/>
      <c r="D14" s="119"/>
      <c r="E14" s="119">
        <v>79.07</v>
      </c>
      <c r="F14" s="118"/>
      <c r="G14" s="118"/>
    </row>
    <row r="15" spans="1:9" ht="15">
      <c r="A15" s="26">
        <f>+A14+1</f>
        <v>1978</v>
      </c>
      <c r="B15" s="26"/>
      <c r="C15" s="64">
        <v>12.33</v>
      </c>
      <c r="D15" s="64"/>
      <c r="E15" s="64">
        <v>85.35</v>
      </c>
      <c r="F15" s="64"/>
      <c r="G15" s="65">
        <f>C15/(AVERAGE(E14:E15))</f>
        <v>0.14998175404452013</v>
      </c>
      <c r="H15" s="29">
        <v>0.079</v>
      </c>
      <c r="I15" s="29">
        <f>+G15-H15</f>
        <v>0.07098175404452013</v>
      </c>
    </row>
    <row r="16" spans="1:9" ht="15">
      <c r="A16" s="26">
        <f aca="true" t="shared" si="0" ref="A16:A33">A15+1</f>
        <v>1979</v>
      </c>
      <c r="B16" s="26"/>
      <c r="C16" s="64">
        <v>14.86</v>
      </c>
      <c r="D16" s="64"/>
      <c r="E16" s="64">
        <v>94.27</v>
      </c>
      <c r="F16" s="64"/>
      <c r="G16" s="65">
        <f>C16/(AVERAGE(E15:E16))</f>
        <v>0.16546041643469545</v>
      </c>
      <c r="H16" s="29">
        <v>0.0886</v>
      </c>
      <c r="I16" s="29">
        <f aca="true" t="shared" si="1" ref="I16:I42">+G16-H16</f>
        <v>0.07686041643469545</v>
      </c>
    </row>
    <row r="17" spans="1:9" ht="15">
      <c r="A17" s="26">
        <f t="shared" si="0"/>
        <v>1980</v>
      </c>
      <c r="B17" s="26"/>
      <c r="C17" s="64">
        <v>14.82</v>
      </c>
      <c r="D17" s="64"/>
      <c r="E17" s="64">
        <v>102.48</v>
      </c>
      <c r="F17" s="64"/>
      <c r="G17" s="65">
        <f>C17/(AVERAGE(E16:E17))</f>
        <v>0.15064803049555273</v>
      </c>
      <c r="H17" s="29">
        <v>0.0997</v>
      </c>
      <c r="I17" s="29">
        <f t="shared" si="1"/>
        <v>0.05094803049555273</v>
      </c>
    </row>
    <row r="18" spans="1:9" ht="15">
      <c r="A18" s="26">
        <f t="shared" si="0"/>
        <v>1981</v>
      </c>
      <c r="B18" s="26"/>
      <c r="C18" s="64">
        <v>15.36</v>
      </c>
      <c r="D18" s="64"/>
      <c r="E18" s="64">
        <v>109.43</v>
      </c>
      <c r="F18" s="64"/>
      <c r="G18" s="65">
        <f aca="true" t="shared" si="2" ref="G18:G42">C18/(AVERAGE(E17:E18))</f>
        <v>0.14496720305790192</v>
      </c>
      <c r="H18" s="29">
        <v>0.1155</v>
      </c>
      <c r="I18" s="29">
        <f t="shared" si="1"/>
        <v>0.029467203057901917</v>
      </c>
    </row>
    <row r="19" spans="1:9" ht="15">
      <c r="A19" s="26">
        <f t="shared" si="0"/>
        <v>1982</v>
      </c>
      <c r="B19" s="26"/>
      <c r="C19" s="64">
        <v>12.64</v>
      </c>
      <c r="D19" s="64"/>
      <c r="E19" s="64">
        <v>112.46</v>
      </c>
      <c r="F19" s="64"/>
      <c r="G19" s="65">
        <f t="shared" si="2"/>
        <v>0.11393032583712652</v>
      </c>
      <c r="H19" s="29">
        <v>0.135</v>
      </c>
      <c r="I19" s="29">
        <f t="shared" si="1"/>
        <v>-0.02106967416287349</v>
      </c>
    </row>
    <row r="20" spans="1:9" ht="15">
      <c r="A20" s="26">
        <f t="shared" si="0"/>
        <v>1983</v>
      </c>
      <c r="B20" s="26"/>
      <c r="C20" s="64">
        <v>14.03</v>
      </c>
      <c r="D20" s="64"/>
      <c r="E20" s="64">
        <v>116.93</v>
      </c>
      <c r="F20" s="64"/>
      <c r="G20" s="65">
        <f t="shared" si="2"/>
        <v>0.12232442565063865</v>
      </c>
      <c r="H20" s="29">
        <v>0.1038</v>
      </c>
      <c r="I20" s="29">
        <f t="shared" si="1"/>
        <v>0.01852442565063865</v>
      </c>
    </row>
    <row r="21" spans="1:9" ht="15">
      <c r="A21" s="26">
        <f t="shared" si="0"/>
        <v>1984</v>
      </c>
      <c r="B21" s="26"/>
      <c r="C21" s="64">
        <v>16.64</v>
      </c>
      <c r="D21" s="64"/>
      <c r="E21" s="64">
        <v>122.47</v>
      </c>
      <c r="F21" s="64"/>
      <c r="G21" s="65">
        <f t="shared" si="2"/>
        <v>0.13901420217209692</v>
      </c>
      <c r="H21" s="29">
        <v>0.1174</v>
      </c>
      <c r="I21" s="29">
        <f t="shared" si="1"/>
        <v>0.02161420217209692</v>
      </c>
    </row>
    <row r="22" spans="1:9" ht="15">
      <c r="A22" s="26">
        <f t="shared" si="0"/>
        <v>1985</v>
      </c>
      <c r="B22" s="26"/>
      <c r="C22" s="64">
        <v>14.61</v>
      </c>
      <c r="D22" s="64"/>
      <c r="E22" s="64">
        <v>125.2</v>
      </c>
      <c r="F22" s="64"/>
      <c r="G22" s="65">
        <f t="shared" si="2"/>
        <v>0.11797956958856541</v>
      </c>
      <c r="H22" s="29">
        <v>0.1125</v>
      </c>
      <c r="I22" s="29">
        <f t="shared" si="1"/>
        <v>0.005479569588565408</v>
      </c>
    </row>
    <row r="23" spans="1:9" ht="15">
      <c r="A23" s="26">
        <f t="shared" si="0"/>
        <v>1986</v>
      </c>
      <c r="B23" s="26"/>
      <c r="C23" s="64">
        <v>14.48</v>
      </c>
      <c r="D23" s="64"/>
      <c r="E23" s="64">
        <v>126.82</v>
      </c>
      <c r="F23" s="64"/>
      <c r="G23" s="65">
        <f t="shared" si="2"/>
        <v>0.11491151495913024</v>
      </c>
      <c r="H23" s="29">
        <v>0.0898</v>
      </c>
      <c r="I23" s="29">
        <f t="shared" si="1"/>
        <v>0.025111514959130235</v>
      </c>
    </row>
    <row r="24" spans="1:9" ht="15">
      <c r="A24" s="26">
        <f t="shared" si="0"/>
        <v>1987</v>
      </c>
      <c r="B24" s="26"/>
      <c r="C24" s="64">
        <v>17.5</v>
      </c>
      <c r="D24" s="64"/>
      <c r="E24" s="64">
        <v>134.04</v>
      </c>
      <c r="F24" s="64"/>
      <c r="G24" s="65">
        <f t="shared" si="2"/>
        <v>0.13417158629149734</v>
      </c>
      <c r="H24" s="29">
        <v>0.0792</v>
      </c>
      <c r="I24" s="29">
        <f t="shared" si="1"/>
        <v>0.05497158629149733</v>
      </c>
    </row>
    <row r="25" spans="1:9" ht="15">
      <c r="A25" s="26">
        <f t="shared" si="0"/>
        <v>1988</v>
      </c>
      <c r="B25" s="26"/>
      <c r="C25" s="64">
        <v>23.75</v>
      </c>
      <c r="D25" s="64"/>
      <c r="E25" s="64">
        <v>141.32</v>
      </c>
      <c r="F25" s="64"/>
      <c r="G25" s="65">
        <f t="shared" si="2"/>
        <v>0.17250145264381173</v>
      </c>
      <c r="H25" s="29">
        <v>0.0897</v>
      </c>
      <c r="I25" s="29">
        <f t="shared" si="1"/>
        <v>0.08280145264381172</v>
      </c>
    </row>
    <row r="26" spans="1:9" ht="15">
      <c r="A26" s="26">
        <f t="shared" si="0"/>
        <v>1989</v>
      </c>
      <c r="B26" s="26"/>
      <c r="C26" s="64">
        <v>22.87</v>
      </c>
      <c r="D26" s="64"/>
      <c r="E26" s="64">
        <v>147.26</v>
      </c>
      <c r="F26" s="64"/>
      <c r="G26" s="65">
        <f t="shared" si="2"/>
        <v>0.15850024256705247</v>
      </c>
      <c r="H26" s="29">
        <v>0.0881</v>
      </c>
      <c r="I26" s="29">
        <f t="shared" si="1"/>
        <v>0.07040024256705248</v>
      </c>
    </row>
    <row r="27" spans="1:9" ht="15">
      <c r="A27" s="26">
        <f t="shared" si="0"/>
        <v>1990</v>
      </c>
      <c r="B27" s="26"/>
      <c r="C27" s="64">
        <v>21.73</v>
      </c>
      <c r="D27" s="64"/>
      <c r="E27" s="64">
        <v>153.01</v>
      </c>
      <c r="F27" s="64"/>
      <c r="G27" s="65">
        <f t="shared" si="2"/>
        <v>0.14473640390315384</v>
      </c>
      <c r="H27" s="29">
        <v>0.0819</v>
      </c>
      <c r="I27" s="29">
        <f t="shared" si="1"/>
        <v>0.06283640390315384</v>
      </c>
    </row>
    <row r="28" spans="1:9" ht="15">
      <c r="A28" s="26">
        <f t="shared" si="0"/>
        <v>1991</v>
      </c>
      <c r="B28" s="26"/>
      <c r="C28" s="64">
        <v>16.29</v>
      </c>
      <c r="D28" s="64"/>
      <c r="E28" s="64">
        <v>158.85</v>
      </c>
      <c r="F28" s="64"/>
      <c r="G28" s="65">
        <f t="shared" si="2"/>
        <v>0.1044699544667479</v>
      </c>
      <c r="H28" s="29">
        <v>0.0822</v>
      </c>
      <c r="I28" s="29">
        <f t="shared" si="1"/>
        <v>0.0222699544667479</v>
      </c>
    </row>
    <row r="29" spans="1:9" ht="15">
      <c r="A29" s="26">
        <f t="shared" si="0"/>
        <v>1992</v>
      </c>
      <c r="B29" s="26"/>
      <c r="C29" s="64">
        <v>19.09</v>
      </c>
      <c r="D29" s="64"/>
      <c r="E29" s="64">
        <v>149.74</v>
      </c>
      <c r="F29" s="64"/>
      <c r="G29" s="65">
        <f t="shared" si="2"/>
        <v>0.12372403512751547</v>
      </c>
      <c r="H29" s="29">
        <v>0.0726</v>
      </c>
      <c r="I29" s="29">
        <f t="shared" si="1"/>
        <v>0.05112403512751547</v>
      </c>
    </row>
    <row r="30" spans="1:9" ht="15">
      <c r="A30" s="26">
        <f t="shared" si="0"/>
        <v>1993</v>
      </c>
      <c r="B30" s="26"/>
      <c r="C30" s="64">
        <v>21.89</v>
      </c>
      <c r="D30" s="64"/>
      <c r="E30" s="64">
        <v>180.88</v>
      </c>
      <c r="F30" s="64"/>
      <c r="G30" s="65">
        <f t="shared" si="2"/>
        <v>0.13241788155586473</v>
      </c>
      <c r="H30" s="29">
        <v>0.0717</v>
      </c>
      <c r="I30" s="29">
        <f t="shared" si="1"/>
        <v>0.06071788155586473</v>
      </c>
    </row>
    <row r="31" spans="1:9" ht="15">
      <c r="A31" s="26">
        <f t="shared" si="0"/>
        <v>1994</v>
      </c>
      <c r="B31" s="26"/>
      <c r="C31" s="64">
        <v>30.6</v>
      </c>
      <c r="D31" s="64"/>
      <c r="E31" s="64">
        <v>193.06</v>
      </c>
      <c r="F31" s="64"/>
      <c r="G31" s="65">
        <f t="shared" si="2"/>
        <v>0.1636626196716051</v>
      </c>
      <c r="H31" s="29">
        <v>0.0659</v>
      </c>
      <c r="I31" s="29">
        <f t="shared" si="1"/>
        <v>0.09776261967160509</v>
      </c>
    </row>
    <row r="32" spans="1:9" ht="15">
      <c r="A32" s="26">
        <f t="shared" si="0"/>
        <v>1995</v>
      </c>
      <c r="B32" s="26"/>
      <c r="C32" s="64">
        <v>33.96</v>
      </c>
      <c r="D32" s="64"/>
      <c r="E32" s="64">
        <v>215.51</v>
      </c>
      <c r="F32" s="64"/>
      <c r="G32" s="65">
        <f t="shared" si="2"/>
        <v>0.1662383434907115</v>
      </c>
      <c r="H32" s="29">
        <v>0.076</v>
      </c>
      <c r="I32" s="29">
        <f t="shared" si="1"/>
        <v>0.09023834349071151</v>
      </c>
    </row>
    <row r="33" spans="1:9" ht="15">
      <c r="A33" s="26">
        <f t="shared" si="0"/>
        <v>1996</v>
      </c>
      <c r="B33" s="26"/>
      <c r="C33" s="64">
        <v>38.73</v>
      </c>
      <c r="D33" s="64"/>
      <c r="E33" s="64">
        <v>237.08</v>
      </c>
      <c r="F33" s="64"/>
      <c r="G33" s="65">
        <f t="shared" si="2"/>
        <v>0.17114827990013035</v>
      </c>
      <c r="H33" s="29">
        <v>0.0618</v>
      </c>
      <c r="I33" s="29">
        <f t="shared" si="1"/>
        <v>0.10934827990013035</v>
      </c>
    </row>
    <row r="34" spans="1:9" ht="15">
      <c r="A34" s="26">
        <v>1997</v>
      </c>
      <c r="B34" s="26"/>
      <c r="C34" s="64">
        <v>39.72</v>
      </c>
      <c r="D34" s="64"/>
      <c r="E34" s="64">
        <v>249.52</v>
      </c>
      <c r="F34" s="64"/>
      <c r="G34" s="65">
        <f t="shared" si="2"/>
        <v>0.16325524044389642</v>
      </c>
      <c r="H34" s="29">
        <v>0.0664</v>
      </c>
      <c r="I34" s="29">
        <f t="shared" si="1"/>
        <v>0.09685524044389641</v>
      </c>
    </row>
    <row r="35" spans="1:9" ht="15">
      <c r="A35" s="26">
        <v>1998</v>
      </c>
      <c r="B35" s="26"/>
      <c r="C35" s="64">
        <v>37.71</v>
      </c>
      <c r="D35" s="64"/>
      <c r="E35" s="64">
        <v>266.4</v>
      </c>
      <c r="F35" s="64"/>
      <c r="G35" s="65">
        <f t="shared" si="2"/>
        <v>0.1461854551093193</v>
      </c>
      <c r="H35" s="29">
        <v>0.0583</v>
      </c>
      <c r="I35" s="29">
        <f t="shared" si="1"/>
        <v>0.0878854551093193</v>
      </c>
    </row>
    <row r="36" spans="1:9" ht="15">
      <c r="A36" s="26">
        <v>1999</v>
      </c>
      <c r="B36" s="26"/>
      <c r="C36" s="64">
        <v>48.17</v>
      </c>
      <c r="D36" s="64"/>
      <c r="E36" s="64">
        <v>290.68</v>
      </c>
      <c r="F36" s="64"/>
      <c r="G36" s="65">
        <f t="shared" si="2"/>
        <v>0.1729374596108279</v>
      </c>
      <c r="H36" s="29">
        <v>0.0557</v>
      </c>
      <c r="I36" s="29">
        <f t="shared" si="1"/>
        <v>0.1172374596108279</v>
      </c>
    </row>
    <row r="37" spans="1:9" ht="15">
      <c r="A37" s="26">
        <v>2000</v>
      </c>
      <c r="B37" s="26"/>
      <c r="C37" s="64">
        <v>50</v>
      </c>
      <c r="D37" s="64"/>
      <c r="E37" s="64">
        <v>325.8</v>
      </c>
      <c r="F37" s="64"/>
      <c r="G37" s="65">
        <f t="shared" si="2"/>
        <v>0.1622112639501687</v>
      </c>
      <c r="H37" s="29">
        <v>0.065</v>
      </c>
      <c r="I37" s="29">
        <f t="shared" si="1"/>
        <v>0.09721126395016869</v>
      </c>
    </row>
    <row r="38" spans="1:9" ht="15">
      <c r="A38" s="26">
        <f>+A37+1</f>
        <v>2001</v>
      </c>
      <c r="B38" s="26"/>
      <c r="C38" s="27">
        <v>24.69</v>
      </c>
      <c r="D38" s="27"/>
      <c r="E38" s="27">
        <v>338.37</v>
      </c>
      <c r="F38" s="26"/>
      <c r="G38" s="65">
        <f t="shared" si="2"/>
        <v>0.07434843488865801</v>
      </c>
      <c r="H38" s="29">
        <v>0.0553</v>
      </c>
      <c r="I38" s="29">
        <f t="shared" si="1"/>
        <v>0.01904843488865801</v>
      </c>
    </row>
    <row r="39" spans="1:9" ht="15">
      <c r="A39" s="26">
        <v>2002</v>
      </c>
      <c r="B39" s="26"/>
      <c r="C39" s="27">
        <v>27.59</v>
      </c>
      <c r="D39" s="27"/>
      <c r="E39" s="27">
        <v>321.72</v>
      </c>
      <c r="F39" s="26"/>
      <c r="G39" s="65">
        <f t="shared" si="2"/>
        <v>0.0835946613340605</v>
      </c>
      <c r="H39" s="29">
        <v>0.0559</v>
      </c>
      <c r="I39" s="29">
        <f t="shared" si="1"/>
        <v>0.027694661334060504</v>
      </c>
    </row>
    <row r="40" spans="1:9" ht="15">
      <c r="A40" s="26">
        <v>2003</v>
      </c>
      <c r="B40" s="26"/>
      <c r="C40" s="27">
        <v>48.73</v>
      </c>
      <c r="D40" s="27"/>
      <c r="E40" s="27">
        <v>367.17</v>
      </c>
      <c r="F40" s="26"/>
      <c r="G40" s="65">
        <f t="shared" si="2"/>
        <v>0.14147396536457196</v>
      </c>
      <c r="H40" s="29">
        <v>0.048</v>
      </c>
      <c r="I40" s="29">
        <f t="shared" si="1"/>
        <v>0.09347396536457196</v>
      </c>
    </row>
    <row r="41" spans="1:9" ht="15">
      <c r="A41" s="26">
        <v>2004</v>
      </c>
      <c r="B41" s="26"/>
      <c r="C41" s="27">
        <v>58.55</v>
      </c>
      <c r="D41" s="27"/>
      <c r="E41" s="27">
        <v>414.75</v>
      </c>
      <c r="F41" s="26"/>
      <c r="G41" s="65">
        <f t="shared" si="2"/>
        <v>0.14975956619603026</v>
      </c>
      <c r="H41" s="29">
        <v>0.0502</v>
      </c>
      <c r="I41" s="29">
        <f t="shared" si="1"/>
        <v>0.09955956619603026</v>
      </c>
    </row>
    <row r="42" spans="1:9" ht="15">
      <c r="A42" s="26">
        <v>2005</v>
      </c>
      <c r="B42" s="26"/>
      <c r="C42" s="27">
        <v>69.93</v>
      </c>
      <c r="D42" s="27"/>
      <c r="E42" s="27">
        <v>453.06</v>
      </c>
      <c r="F42" s="26"/>
      <c r="G42" s="65">
        <f t="shared" si="2"/>
        <v>0.1611643101600581</v>
      </c>
      <c r="H42" s="29">
        <v>0.0469</v>
      </c>
      <c r="I42" s="29">
        <f t="shared" si="1"/>
        <v>0.11426431016005811</v>
      </c>
    </row>
    <row r="43" spans="1:9" ht="15">
      <c r="A43" s="26">
        <v>2006</v>
      </c>
      <c r="B43" s="26"/>
      <c r="C43" s="163">
        <v>81.51</v>
      </c>
      <c r="D43" s="163"/>
      <c r="E43" s="163">
        <v>504.39</v>
      </c>
      <c r="F43" s="8"/>
      <c r="G43" s="65">
        <f>C43/(AVERAGE(E42:E43))</f>
        <v>0.17026476578411406</v>
      </c>
      <c r="H43" s="11">
        <v>0.0468</v>
      </c>
      <c r="I43" s="11">
        <f>+G43-H43</f>
        <v>0.12346476578411406</v>
      </c>
    </row>
    <row r="44" spans="1:9" ht="15">
      <c r="A44" s="26"/>
      <c r="B44" s="26"/>
      <c r="C44" s="27"/>
      <c r="D44" s="27"/>
      <c r="E44" s="27"/>
      <c r="F44" s="26"/>
      <c r="G44" s="65"/>
      <c r="H44" s="29"/>
      <c r="I44" s="29"/>
    </row>
    <row r="45" spans="1:9" ht="15.75">
      <c r="A45" s="26"/>
      <c r="B45" s="26"/>
      <c r="C45" s="26"/>
      <c r="D45" s="26"/>
      <c r="E45" s="26"/>
      <c r="F45" s="26"/>
      <c r="G45" s="80"/>
      <c r="H45" s="29"/>
      <c r="I45" s="29"/>
    </row>
    <row r="46" spans="1:9" ht="15.75">
      <c r="A46" s="26" t="s">
        <v>95</v>
      </c>
      <c r="B46" s="26"/>
      <c r="C46" s="26"/>
      <c r="D46" s="26"/>
      <c r="E46" s="26"/>
      <c r="F46" s="26"/>
      <c r="G46" s="80"/>
      <c r="H46" s="80"/>
      <c r="I46" s="80">
        <f>AVERAGE(I15:I43)</f>
        <v>0.0640373574034491</v>
      </c>
    </row>
    <row r="47" spans="1:9" ht="15">
      <c r="A47" s="52"/>
      <c r="B47" s="52"/>
      <c r="C47" s="52"/>
      <c r="D47" s="52"/>
      <c r="E47" s="52"/>
      <c r="F47" s="52"/>
      <c r="G47" s="52"/>
      <c r="H47" s="52"/>
      <c r="I47" s="52"/>
    </row>
    <row r="48" ht="15">
      <c r="A48" s="23" t="s">
        <v>119</v>
      </c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OutlineSymbols="0" zoomScale="87" zoomScaleNormal="87" zoomScalePageLayoutView="0" workbookViewId="0" topLeftCell="A58">
      <selection activeCell="H2" sqref="H2"/>
    </sheetView>
  </sheetViews>
  <sheetFormatPr defaultColWidth="9.77734375" defaultRowHeight="15"/>
  <cols>
    <col min="1" max="1" width="23.77734375" style="23" customWidth="1"/>
    <col min="2" max="2" width="3.77734375" style="23" customWidth="1"/>
    <col min="3" max="3" width="12.77734375" style="23" customWidth="1"/>
    <col min="4" max="4" width="3.77734375" style="23" customWidth="1"/>
    <col min="5" max="5" width="9.77734375" style="23" customWidth="1"/>
    <col min="6" max="6" width="3.77734375" style="23" customWidth="1"/>
    <col min="7" max="7" width="12.77734375" style="23" customWidth="1"/>
    <col min="8" max="8" width="3.77734375" style="23" customWidth="1"/>
    <col min="9" max="16384" width="9.77734375" style="23" customWidth="1"/>
  </cols>
  <sheetData>
    <row r="1" spans="7:8" ht="15.75">
      <c r="G1" s="2"/>
      <c r="H1" s="33" t="str">
        <f>+'Sch 9'!H1</f>
        <v>Exhibit___(DCP-2)</v>
      </c>
    </row>
    <row r="2" spans="7:8" ht="15.75">
      <c r="G2" s="2"/>
      <c r="H2" s="2" t="s">
        <v>226</v>
      </c>
    </row>
    <row r="3" spans="7:8" ht="15.75">
      <c r="G3" s="2"/>
      <c r="H3" s="33"/>
    </row>
    <row r="4" ht="15.75">
      <c r="I4" s="2"/>
    </row>
    <row r="5" ht="15.75">
      <c r="I5" s="2"/>
    </row>
    <row r="6" spans="1:9" ht="20.25">
      <c r="A6" s="3" t="str">
        <f>'Sch 8, p 4'!A4</f>
        <v>COMPARISON COMPANIES</v>
      </c>
      <c r="B6" s="3"/>
      <c r="C6" s="3"/>
      <c r="D6" s="3"/>
      <c r="E6" s="3"/>
      <c r="F6" s="3"/>
      <c r="G6" s="3"/>
      <c r="H6" s="3"/>
      <c r="I6" s="3"/>
    </row>
    <row r="7" spans="1:9" ht="20.25">
      <c r="A7" s="3" t="s">
        <v>109</v>
      </c>
      <c r="B7" s="3"/>
      <c r="C7" s="3"/>
      <c r="D7" s="3"/>
      <c r="E7" s="3"/>
      <c r="F7" s="3"/>
      <c r="G7" s="3"/>
      <c r="H7" s="3"/>
      <c r="I7" s="3"/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3:9" ht="15">
      <c r="C12" s="8" t="s">
        <v>111</v>
      </c>
      <c r="D12" s="8"/>
      <c r="E12" s="8"/>
      <c r="F12" s="8"/>
      <c r="G12" s="8" t="s">
        <v>113</v>
      </c>
      <c r="H12" s="8"/>
      <c r="I12" s="8" t="s">
        <v>115</v>
      </c>
    </row>
    <row r="13" spans="1:9" ht="15">
      <c r="A13" s="8" t="str">
        <f>'Sch 8, p 4'!A12</f>
        <v>COMPANY</v>
      </c>
      <c r="C13" s="8" t="s">
        <v>35</v>
      </c>
      <c r="D13" s="8"/>
      <c r="E13" s="8" t="s">
        <v>112</v>
      </c>
      <c r="F13" s="8"/>
      <c r="G13" s="8" t="s">
        <v>114</v>
      </c>
      <c r="H13" s="8"/>
      <c r="I13" s="8" t="s">
        <v>108</v>
      </c>
    </row>
    <row r="15" spans="1:9" ht="15.75" thickTop="1">
      <c r="A15" s="24"/>
      <c r="B15" s="24"/>
      <c r="C15" s="24"/>
      <c r="D15" s="24"/>
      <c r="E15" s="24"/>
      <c r="F15" s="24"/>
      <c r="G15" s="24"/>
      <c r="H15" s="24"/>
      <c r="I15" s="24"/>
    </row>
    <row r="16" ht="15.75">
      <c r="A16" s="33" t="str">
        <f>'Sch 8, p 4'!A16</f>
        <v>Comparison Group</v>
      </c>
    </row>
    <row r="18" spans="1:9" ht="15">
      <c r="A18" s="23" t="str">
        <f>+'Sch 8, p 4'!A18</f>
        <v>Avista Corp</v>
      </c>
      <c r="C18" s="11">
        <v>0.044</v>
      </c>
      <c r="E18" s="14">
        <f>+'Sch 13 WP'!D13</f>
        <v>0.95</v>
      </c>
      <c r="G18" s="11">
        <v>0.059</v>
      </c>
      <c r="I18" s="9">
        <f>+C18+(E18*G18)</f>
        <v>0.10005</v>
      </c>
    </row>
    <row r="19" spans="1:9" ht="15">
      <c r="A19" s="23" t="str">
        <f>'Sch 8, p1'!A19</f>
        <v>Empire District Electric</v>
      </c>
      <c r="C19" s="11">
        <f>+C18</f>
        <v>0.044</v>
      </c>
      <c r="E19" s="14">
        <f>+'Sch 13 WP'!D14</f>
        <v>0.85</v>
      </c>
      <c r="G19" s="11">
        <f>+G18</f>
        <v>0.059</v>
      </c>
      <c r="I19" s="9">
        <f aca="true" t="shared" si="0" ref="I19:I24">+C19+(E19*G19)</f>
        <v>0.09414999999999998</v>
      </c>
    </row>
    <row r="20" spans="1:9" ht="15">
      <c r="A20" s="23" t="str">
        <f>'Sch 8, p1'!A20</f>
        <v>Hawaiian Electric Industries</v>
      </c>
      <c r="C20" s="11">
        <f>+C19</f>
        <v>0.044</v>
      </c>
      <c r="E20" s="14">
        <f>+'Sch 13 WP'!D15</f>
        <v>0.75</v>
      </c>
      <c r="G20" s="11">
        <f>+G19</f>
        <v>0.059</v>
      </c>
      <c r="I20" s="9">
        <f t="shared" si="0"/>
        <v>0.08825</v>
      </c>
    </row>
    <row r="21" spans="1:9" ht="15">
      <c r="A21" s="23" t="str">
        <f>'Sch 8, p1'!A21</f>
        <v>PEPCO Holdings</v>
      </c>
      <c r="C21" s="11">
        <f>+C20</f>
        <v>0.044</v>
      </c>
      <c r="E21" s="14">
        <f>+'Sch 13 WP'!D16</f>
        <v>0.9</v>
      </c>
      <c r="G21" s="11">
        <f>+G20</f>
        <v>0.059</v>
      </c>
      <c r="I21" s="9">
        <f t="shared" si="0"/>
        <v>0.09709999999999999</v>
      </c>
    </row>
    <row r="22" spans="1:9" ht="15">
      <c r="A22" s="23" t="str">
        <f>'Sch 8, p1'!A22</f>
        <v>Pinnacle West</v>
      </c>
      <c r="C22" s="11">
        <f>+C20</f>
        <v>0.044</v>
      </c>
      <c r="E22" s="14">
        <f>+'Sch 13 WP'!D17</f>
        <v>0.8</v>
      </c>
      <c r="G22" s="11">
        <f>+G20</f>
        <v>0.059</v>
      </c>
      <c r="I22" s="9">
        <f t="shared" si="0"/>
        <v>0.0912</v>
      </c>
    </row>
    <row r="23" spans="1:9" ht="15">
      <c r="A23" s="23" t="str">
        <f>'Sch 8, p1'!A23</f>
        <v>PNM Resources</v>
      </c>
      <c r="C23" s="11">
        <f>+C22</f>
        <v>0.044</v>
      </c>
      <c r="E23" s="14">
        <f>+'Sch 13 WP'!D18</f>
        <v>0.9</v>
      </c>
      <c r="G23" s="11">
        <f>+G22</f>
        <v>0.059</v>
      </c>
      <c r="I23" s="9">
        <f t="shared" si="0"/>
        <v>0.09709999999999999</v>
      </c>
    </row>
    <row r="24" spans="1:9" ht="15">
      <c r="A24" s="23" t="str">
        <f>'Sch 8, p1'!A24</f>
        <v>Westar Energy</v>
      </c>
      <c r="C24" s="11">
        <f>+C23</f>
        <v>0.044</v>
      </c>
      <c r="E24" s="14">
        <f>+'Sch 13 WP'!D19</f>
        <v>0.85</v>
      </c>
      <c r="G24" s="11">
        <f>+G23</f>
        <v>0.059</v>
      </c>
      <c r="I24" s="9">
        <f t="shared" si="0"/>
        <v>0.09414999999999998</v>
      </c>
    </row>
    <row r="25" spans="1:9" ht="15.75" thickBot="1">
      <c r="A25" s="40"/>
      <c r="B25" s="40"/>
      <c r="C25" s="137"/>
      <c r="D25" s="40"/>
      <c r="E25" s="138"/>
      <c r="F25" s="40"/>
      <c r="G25" s="137"/>
      <c r="H25" s="40"/>
      <c r="I25" s="50"/>
    </row>
    <row r="26" spans="1:9" ht="29.25" customHeight="1" thickTop="1">
      <c r="A26" s="142" t="s">
        <v>213</v>
      </c>
      <c r="B26" s="142"/>
      <c r="C26" s="143"/>
      <c r="D26" s="142"/>
      <c r="E26" s="144"/>
      <c r="F26" s="142"/>
      <c r="G26" s="143"/>
      <c r="H26" s="142"/>
      <c r="I26" s="145">
        <f>AVERAGE(I18:I24)</f>
        <v>0.09457142857142856</v>
      </c>
    </row>
    <row r="27" spans="1:9" ht="29.25" customHeight="1" thickBot="1">
      <c r="A27" s="146" t="s">
        <v>197</v>
      </c>
      <c r="B27" s="146"/>
      <c r="C27" s="147"/>
      <c r="D27" s="146"/>
      <c r="E27" s="148"/>
      <c r="F27" s="146"/>
      <c r="G27" s="147"/>
      <c r="H27" s="146"/>
      <c r="I27" s="149">
        <f>MEDIAN(I18:I24)</f>
        <v>0.09414999999999998</v>
      </c>
    </row>
    <row r="28" spans="1:9" ht="15" customHeight="1" thickTop="1">
      <c r="A28" s="204"/>
      <c r="B28" s="204"/>
      <c r="C28" s="205"/>
      <c r="D28" s="204"/>
      <c r="E28" s="206"/>
      <c r="F28" s="204"/>
      <c r="G28" s="205"/>
      <c r="H28" s="204"/>
      <c r="I28" s="207"/>
    </row>
    <row r="29" spans="1:9" ht="15.75">
      <c r="A29" s="33" t="str">
        <f>'Sch 8, p 4'!A30</f>
        <v>S&amp;P Integrated</v>
      </c>
      <c r="C29" s="11"/>
      <c r="E29" s="14"/>
      <c r="G29" s="11"/>
      <c r="I29" s="9"/>
    </row>
    <row r="30" spans="1:9" ht="15.75">
      <c r="A30" s="33" t="str">
        <f>'Sch 8, p 4'!A31</f>
        <v>Electric Utilities</v>
      </c>
      <c r="C30" s="11"/>
      <c r="E30" s="14"/>
      <c r="G30" s="11"/>
      <c r="I30" s="9"/>
    </row>
    <row r="31" spans="3:9" ht="15">
      <c r="C31" s="11"/>
      <c r="E31" s="14"/>
      <c r="G31" s="11"/>
      <c r="I31" s="9"/>
    </row>
    <row r="32" spans="1:9" ht="15">
      <c r="A32" s="23" t="str">
        <f>+'Sch 8, p 4'!A33</f>
        <v>ALLETE</v>
      </c>
      <c r="C32" s="11">
        <f>C23</f>
        <v>0.044</v>
      </c>
      <c r="E32" s="14">
        <f>+'Sch 13 WP'!D27</f>
        <v>0.95</v>
      </c>
      <c r="G32" s="11">
        <f>G23</f>
        <v>0.059</v>
      </c>
      <c r="I32" s="9">
        <f aca="true" t="shared" si="1" ref="I32:I56">+C32+(E32*G32)</f>
        <v>0.10005</v>
      </c>
    </row>
    <row r="33" spans="1:9" ht="15">
      <c r="A33" s="23" t="str">
        <f>+'Sch 8, p 4'!A34</f>
        <v>Alliant Energy</v>
      </c>
      <c r="C33" s="11">
        <f aca="true" t="shared" si="2" ref="C33:C56">+C32</f>
        <v>0.044</v>
      </c>
      <c r="E33" s="14">
        <f>+'Sch 13 WP'!D28</f>
        <v>0.8</v>
      </c>
      <c r="G33" s="11">
        <f aca="true" t="shared" si="3" ref="G33:G56">+G32</f>
        <v>0.059</v>
      </c>
      <c r="I33" s="9">
        <f t="shared" si="1"/>
        <v>0.0912</v>
      </c>
    </row>
    <row r="34" spans="1:9" ht="15">
      <c r="A34" s="23" t="str">
        <f>+'Sch 8, p 4'!A35</f>
        <v>American Electric Power</v>
      </c>
      <c r="C34" s="11">
        <f t="shared" si="2"/>
        <v>0.044</v>
      </c>
      <c r="E34" s="14">
        <f>+'Sch 13 WP'!D29</f>
        <v>0.85</v>
      </c>
      <c r="G34" s="11">
        <f t="shared" si="3"/>
        <v>0.059</v>
      </c>
      <c r="I34" s="9">
        <f t="shared" si="1"/>
        <v>0.09414999999999998</v>
      </c>
    </row>
    <row r="35" spans="1:9" ht="15">
      <c r="A35" s="23" t="str">
        <f>+'Sch 8, p 4'!A36</f>
        <v>Ameren Corp.</v>
      </c>
      <c r="C35" s="11">
        <f t="shared" si="2"/>
        <v>0.044</v>
      </c>
      <c r="E35" s="14">
        <f>+'Sch 13 WP'!D30</f>
        <v>0.8</v>
      </c>
      <c r="G35" s="11">
        <f t="shared" si="3"/>
        <v>0.059</v>
      </c>
      <c r="I35" s="9">
        <f t="shared" si="1"/>
        <v>0.0912</v>
      </c>
    </row>
    <row r="36" spans="1:9" ht="15">
      <c r="A36" s="23" t="str">
        <f>+'Sch 8, p 4'!A37</f>
        <v>Cleco</v>
      </c>
      <c r="C36" s="11">
        <f t="shared" si="2"/>
        <v>0.044</v>
      </c>
      <c r="E36" s="14">
        <f>+'Sch 13 WP'!D31</f>
        <v>1</v>
      </c>
      <c r="G36" s="11">
        <f t="shared" si="3"/>
        <v>0.059</v>
      </c>
      <c r="I36" s="9">
        <f t="shared" si="1"/>
        <v>0.103</v>
      </c>
    </row>
    <row r="37" spans="1:9" ht="15">
      <c r="A37" s="23" t="str">
        <f>+'Sch 8, p 4'!A38</f>
        <v>DTE Energy</v>
      </c>
      <c r="C37" s="11">
        <f t="shared" si="2"/>
        <v>0.044</v>
      </c>
      <c r="E37" s="14">
        <f>+'Sch 13 WP'!D32</f>
        <v>0.75</v>
      </c>
      <c r="G37" s="11">
        <f t="shared" si="3"/>
        <v>0.059</v>
      </c>
      <c r="I37" s="9">
        <f t="shared" si="1"/>
        <v>0.08825</v>
      </c>
    </row>
    <row r="38" spans="1:9" ht="15">
      <c r="A38" s="23" t="str">
        <f>+'Sch 8, p 4'!A39</f>
        <v>Edison International</v>
      </c>
      <c r="C38" s="11">
        <f t="shared" si="2"/>
        <v>0.044</v>
      </c>
      <c r="E38" s="14">
        <f>+'Sch 13 WP'!D33</f>
        <v>0.85</v>
      </c>
      <c r="G38" s="11">
        <f t="shared" si="3"/>
        <v>0.059</v>
      </c>
      <c r="I38" s="9">
        <f t="shared" si="1"/>
        <v>0.09414999999999998</v>
      </c>
    </row>
    <row r="39" spans="1:9" ht="15">
      <c r="A39" s="23" t="str">
        <f>+'Sch 8, p 4'!A40</f>
        <v>Empire District Electric</v>
      </c>
      <c r="C39" s="11">
        <f t="shared" si="2"/>
        <v>0.044</v>
      </c>
      <c r="E39" s="14">
        <f>+'Sch 13 WP'!D34</f>
        <v>0.85</v>
      </c>
      <c r="G39" s="11">
        <f t="shared" si="3"/>
        <v>0.059</v>
      </c>
      <c r="I39" s="9">
        <f t="shared" si="1"/>
        <v>0.09414999999999998</v>
      </c>
    </row>
    <row r="40" spans="1:9" ht="15">
      <c r="A40" s="23" t="str">
        <f>+'Sch 8, p 4'!A41</f>
        <v>Energy East</v>
      </c>
      <c r="C40" s="11">
        <f t="shared" si="2"/>
        <v>0.044</v>
      </c>
      <c r="E40" s="14">
        <f>+'Sch 13 WP'!D35</f>
        <v>0.75</v>
      </c>
      <c r="G40" s="11">
        <f t="shared" si="3"/>
        <v>0.059</v>
      </c>
      <c r="I40" s="9">
        <f t="shared" si="1"/>
        <v>0.08825</v>
      </c>
    </row>
    <row r="41" spans="1:9" ht="15">
      <c r="A41" s="23" t="str">
        <f>+'Sch 8, p 4'!A42</f>
        <v>Entergy</v>
      </c>
      <c r="C41" s="11">
        <f t="shared" si="2"/>
        <v>0.044</v>
      </c>
      <c r="E41" s="14">
        <f>+'Sch 13 WP'!D36</f>
        <v>0.85</v>
      </c>
      <c r="G41" s="11">
        <f t="shared" si="3"/>
        <v>0.059</v>
      </c>
      <c r="I41" s="9">
        <f t="shared" si="1"/>
        <v>0.09414999999999998</v>
      </c>
    </row>
    <row r="42" spans="1:9" ht="15">
      <c r="A42" s="23" t="str">
        <f>+'Sch 8, p 4'!A43</f>
        <v>FirstEnergy Corp</v>
      </c>
      <c r="C42" s="11">
        <f t="shared" si="2"/>
        <v>0.044</v>
      </c>
      <c r="E42" s="14">
        <f>+'Sch 13 WP'!D37</f>
        <v>0.8</v>
      </c>
      <c r="G42" s="11">
        <f t="shared" si="3"/>
        <v>0.059</v>
      </c>
      <c r="I42" s="9">
        <f t="shared" si="1"/>
        <v>0.0912</v>
      </c>
    </row>
    <row r="43" spans="1:9" ht="15">
      <c r="A43" s="23" t="str">
        <f>+'Sch 8, p 4'!A44</f>
        <v>FPL Group</v>
      </c>
      <c r="C43" s="11">
        <f t="shared" si="2"/>
        <v>0.044</v>
      </c>
      <c r="E43" s="14">
        <f>+'Sch 13 WP'!D38</f>
        <v>0.75</v>
      </c>
      <c r="G43" s="11">
        <f t="shared" si="3"/>
        <v>0.059</v>
      </c>
      <c r="I43" s="9">
        <f t="shared" si="1"/>
        <v>0.08825</v>
      </c>
    </row>
    <row r="44" spans="1:9" ht="15">
      <c r="A44" s="23" t="str">
        <f>+'Sch 8, p 4'!A45</f>
        <v>Hawaiian Electric Industries</v>
      </c>
      <c r="C44" s="11">
        <f t="shared" si="2"/>
        <v>0.044</v>
      </c>
      <c r="E44" s="14">
        <f>+'Sch 13 WP'!D39</f>
        <v>0.75</v>
      </c>
      <c r="G44" s="11">
        <f t="shared" si="3"/>
        <v>0.059</v>
      </c>
      <c r="I44" s="9">
        <f t="shared" si="1"/>
        <v>0.08825</v>
      </c>
    </row>
    <row r="45" spans="1:9" ht="15">
      <c r="A45" s="23" t="str">
        <f>+'Sch 8, p 4'!A46</f>
        <v>IDACORP</v>
      </c>
      <c r="C45" s="11">
        <f t="shared" si="2"/>
        <v>0.044</v>
      </c>
      <c r="E45" s="14">
        <f>+'Sch 13 WP'!D40</f>
        <v>0.9</v>
      </c>
      <c r="G45" s="11">
        <f t="shared" si="3"/>
        <v>0.059</v>
      </c>
      <c r="I45" s="9">
        <f t="shared" si="1"/>
        <v>0.09709999999999999</v>
      </c>
    </row>
    <row r="46" spans="1:9" ht="15">
      <c r="A46" s="23" t="str">
        <f>+'Sch 8, p 4'!A47</f>
        <v>MGE Corp</v>
      </c>
      <c r="C46" s="11">
        <f>+C45</f>
        <v>0.044</v>
      </c>
      <c r="E46" s="14">
        <f>+'Sch 13 WP'!D41</f>
        <v>0.9</v>
      </c>
      <c r="G46" s="11">
        <f>+G45</f>
        <v>0.059</v>
      </c>
      <c r="I46" s="9">
        <f t="shared" si="1"/>
        <v>0.09709999999999999</v>
      </c>
    </row>
    <row r="47" spans="1:9" ht="15">
      <c r="A47" s="23" t="str">
        <f>+'Sch 8, p 4'!A48</f>
        <v>Northeast Utilities</v>
      </c>
      <c r="C47" s="11">
        <f>+C45</f>
        <v>0.044</v>
      </c>
      <c r="E47" s="14">
        <f>+'Sch 13 WP'!D42</f>
        <v>0.75</v>
      </c>
      <c r="G47" s="11">
        <f>+G45</f>
        <v>0.059</v>
      </c>
      <c r="I47" s="9">
        <f t="shared" si="1"/>
        <v>0.08825</v>
      </c>
    </row>
    <row r="48" spans="1:9" ht="15">
      <c r="A48" s="23" t="str">
        <f>+'Sch 8, p 4'!A49</f>
        <v>PG&amp;E</v>
      </c>
      <c r="C48" s="11">
        <f t="shared" si="2"/>
        <v>0.044</v>
      </c>
      <c r="E48" s="14">
        <f>+'Sch 13 WP'!D43</f>
        <v>0.85</v>
      </c>
      <c r="G48" s="11">
        <f t="shared" si="3"/>
        <v>0.059</v>
      </c>
      <c r="I48" s="9">
        <f t="shared" si="1"/>
        <v>0.09414999999999998</v>
      </c>
    </row>
    <row r="49" spans="1:9" ht="15">
      <c r="A49" s="23" t="str">
        <f>+'Sch 8, p 4'!A50</f>
        <v>Pinnacle West</v>
      </c>
      <c r="C49" s="11">
        <f t="shared" si="2"/>
        <v>0.044</v>
      </c>
      <c r="E49" s="14">
        <f>+'Sch 13 WP'!D44</f>
        <v>0.8</v>
      </c>
      <c r="G49" s="11">
        <f t="shared" si="3"/>
        <v>0.059</v>
      </c>
      <c r="I49" s="9">
        <f t="shared" si="1"/>
        <v>0.0912</v>
      </c>
    </row>
    <row r="50" spans="1:9" ht="15">
      <c r="A50" s="23" t="str">
        <f>+'Sch 8, p 4'!A51</f>
        <v>PNM Resources</v>
      </c>
      <c r="C50" s="11">
        <f t="shared" si="2"/>
        <v>0.044</v>
      </c>
      <c r="E50" s="14">
        <f>+'Sch 13 WP'!D45</f>
        <v>0.9</v>
      </c>
      <c r="G50" s="11">
        <f t="shared" si="3"/>
        <v>0.059</v>
      </c>
      <c r="I50" s="9">
        <f t="shared" si="1"/>
        <v>0.09709999999999999</v>
      </c>
    </row>
    <row r="51" spans="1:9" ht="15">
      <c r="A51" s="23" t="str">
        <f>+'Sch 8, p 4'!A52</f>
        <v>Progress Energy</v>
      </c>
      <c r="C51" s="11">
        <f t="shared" si="2"/>
        <v>0.044</v>
      </c>
      <c r="E51" s="14">
        <f>+'Sch 13 WP'!D46</f>
        <v>0.8</v>
      </c>
      <c r="G51" s="11">
        <f t="shared" si="3"/>
        <v>0.059</v>
      </c>
      <c r="I51" s="9">
        <f t="shared" si="1"/>
        <v>0.0912</v>
      </c>
    </row>
    <row r="52" spans="1:9" ht="15">
      <c r="A52" s="23" t="str">
        <f>+'Sch 8, p 4'!A53</f>
        <v>Puget Energy</v>
      </c>
      <c r="C52" s="11">
        <f t="shared" si="2"/>
        <v>0.044</v>
      </c>
      <c r="E52" s="14">
        <f>+'Sch 13 WP'!D47</f>
        <v>0.9</v>
      </c>
      <c r="G52" s="11">
        <f t="shared" si="3"/>
        <v>0.059</v>
      </c>
      <c r="I52" s="9">
        <f t="shared" si="1"/>
        <v>0.09709999999999999</v>
      </c>
    </row>
    <row r="53" spans="1:9" ht="15">
      <c r="A53" s="23" t="str">
        <f>+'Sch 8, p 4'!A54</f>
        <v>Southern Company</v>
      </c>
      <c r="C53" s="11">
        <f t="shared" si="2"/>
        <v>0.044</v>
      </c>
      <c r="E53" s="14">
        <f>+'Sch 13 WP'!D48</f>
        <v>0.7</v>
      </c>
      <c r="G53" s="11">
        <f t="shared" si="3"/>
        <v>0.059</v>
      </c>
      <c r="I53" s="9">
        <f t="shared" si="1"/>
        <v>0.08529999999999999</v>
      </c>
    </row>
    <row r="54" spans="1:9" ht="15">
      <c r="A54" s="23" t="str">
        <f>+'Sch 8, p 4'!A55</f>
        <v>TECO Energy</v>
      </c>
      <c r="C54" s="11">
        <f t="shared" si="2"/>
        <v>0.044</v>
      </c>
      <c r="E54" s="14">
        <f>+'Sch 13 WP'!D49</f>
        <v>0.85</v>
      </c>
      <c r="G54" s="11">
        <f t="shared" si="3"/>
        <v>0.059</v>
      </c>
      <c r="I54" s="9">
        <f t="shared" si="1"/>
        <v>0.09414999999999998</v>
      </c>
    </row>
    <row r="55" spans="1:9" ht="15">
      <c r="A55" s="23" t="str">
        <f>+'Sch 8, p 4'!A56</f>
        <v>Wisconsin Energy</v>
      </c>
      <c r="C55" s="11">
        <f t="shared" si="2"/>
        <v>0.044</v>
      </c>
      <c r="E55" s="14">
        <f>+'Sch 13 WP'!D50</f>
        <v>0.8</v>
      </c>
      <c r="G55" s="11">
        <f t="shared" si="3"/>
        <v>0.059</v>
      </c>
      <c r="I55" s="9">
        <f t="shared" si="1"/>
        <v>0.0912</v>
      </c>
    </row>
    <row r="56" spans="1:9" ht="15">
      <c r="A56" s="23" t="str">
        <f>+'Sch 8, p 4'!A57</f>
        <v>Xcel Energy Inc.</v>
      </c>
      <c r="C56" s="11">
        <f t="shared" si="2"/>
        <v>0.044</v>
      </c>
      <c r="E56" s="14">
        <f>+'Sch 13 WP'!D51</f>
        <v>0.8</v>
      </c>
      <c r="G56" s="11">
        <f t="shared" si="3"/>
        <v>0.059</v>
      </c>
      <c r="I56" s="9">
        <f t="shared" si="1"/>
        <v>0.0912</v>
      </c>
    </row>
    <row r="57" spans="1:9" ht="15.75" thickBot="1">
      <c r="A57" s="52"/>
      <c r="B57" s="52"/>
      <c r="C57" s="66"/>
      <c r="D57" s="52"/>
      <c r="E57" s="67"/>
      <c r="F57" s="52"/>
      <c r="G57" s="66"/>
      <c r="H57" s="52"/>
      <c r="I57" s="70"/>
    </row>
    <row r="58" spans="1:9" ht="33" customHeight="1" thickTop="1">
      <c r="A58" s="142" t="str">
        <f>'Sch 8, p 4'!A59</f>
        <v>Mean</v>
      </c>
      <c r="B58" s="142"/>
      <c r="C58" s="143"/>
      <c r="D58" s="142"/>
      <c r="E58" s="144"/>
      <c r="F58" s="142"/>
      <c r="G58" s="143"/>
      <c r="H58" s="142"/>
      <c r="I58" s="145">
        <f>AVERAGE(I32:I56)</f>
        <v>0.09285199999999998</v>
      </c>
    </row>
    <row r="59" spans="1:9" ht="33" customHeight="1" thickBot="1">
      <c r="A59" s="146" t="s">
        <v>197</v>
      </c>
      <c r="B59" s="146"/>
      <c r="C59" s="147"/>
      <c r="D59" s="146"/>
      <c r="E59" s="148"/>
      <c r="F59" s="146"/>
      <c r="G59" s="147"/>
      <c r="H59" s="146"/>
      <c r="I59" s="149">
        <f>MEDIAN(I32:I56)</f>
        <v>0.0912</v>
      </c>
    </row>
    <row r="60" spans="1:9" ht="15" customHeight="1" thickTop="1">
      <c r="A60" s="204"/>
      <c r="B60" s="204"/>
      <c r="C60" s="205"/>
      <c r="D60" s="204"/>
      <c r="E60" s="206"/>
      <c r="F60" s="204"/>
      <c r="G60" s="205"/>
      <c r="H60" s="204"/>
      <c r="I60" s="207"/>
    </row>
    <row r="61" spans="1:9" ht="15.75">
      <c r="A61" s="33" t="str">
        <f>+'Sch 8, p 4'!A63</f>
        <v>Moody's Electric Utilities</v>
      </c>
      <c r="C61" s="11"/>
      <c r="E61" s="14"/>
      <c r="G61" s="11"/>
      <c r="I61" s="9"/>
    </row>
    <row r="62" spans="3:9" ht="15">
      <c r="C62" s="11"/>
      <c r="E62" s="14"/>
      <c r="G62" s="11"/>
      <c r="I62" s="9"/>
    </row>
    <row r="63" spans="1:9" ht="15">
      <c r="A63" s="23" t="str">
        <f>+'Sch 8, p 4'!A65</f>
        <v>American Electric Power</v>
      </c>
      <c r="C63" s="11">
        <f>+C51</f>
        <v>0.044</v>
      </c>
      <c r="E63" s="14">
        <f>+'Sch 13 WP'!D58</f>
        <v>0.85</v>
      </c>
      <c r="G63" s="11">
        <f>+G51</f>
        <v>0.059</v>
      </c>
      <c r="I63" s="9">
        <f aca="true" t="shared" si="4" ref="I63:I81">+C63+(E63*G63)</f>
        <v>0.09414999999999998</v>
      </c>
    </row>
    <row r="64" spans="1:9" ht="15">
      <c r="A64" s="23" t="str">
        <f>+'Sch 8, p 4'!A66</f>
        <v>CH Energy</v>
      </c>
      <c r="C64" s="11">
        <f>+C63</f>
        <v>0.044</v>
      </c>
      <c r="E64" s="14">
        <f>+'Sch 13 WP'!D59</f>
        <v>0.9</v>
      </c>
      <c r="G64" s="11">
        <f>+G63</f>
        <v>0.059</v>
      </c>
      <c r="I64" s="9">
        <f t="shared" si="4"/>
        <v>0.09709999999999999</v>
      </c>
    </row>
    <row r="65" spans="1:9" ht="15">
      <c r="A65" s="23" t="str">
        <f>+'Sch 8, p 4'!A67</f>
        <v>Consolidated Edison</v>
      </c>
      <c r="C65" s="11">
        <f aca="true" t="shared" si="5" ref="C65:C81">+C64</f>
        <v>0.044</v>
      </c>
      <c r="E65" s="14">
        <f>+'Sch 13 WP'!D60</f>
        <v>0.75</v>
      </c>
      <c r="G65" s="11">
        <f aca="true" t="shared" si="6" ref="G65:G77">+G64</f>
        <v>0.059</v>
      </c>
      <c r="I65" s="9">
        <f t="shared" si="4"/>
        <v>0.08825</v>
      </c>
    </row>
    <row r="66" spans="1:9" ht="15">
      <c r="A66" s="23" t="str">
        <f>+'Sch 8, p 4'!A68</f>
        <v>Constellation Energy</v>
      </c>
      <c r="C66" s="11">
        <f t="shared" si="5"/>
        <v>0.044</v>
      </c>
      <c r="E66" s="14">
        <f>+'Sch 13 WP'!D61</f>
        <v>0.9</v>
      </c>
      <c r="G66" s="11">
        <f t="shared" si="6"/>
        <v>0.059</v>
      </c>
      <c r="I66" s="9">
        <f t="shared" si="4"/>
        <v>0.09709999999999999</v>
      </c>
    </row>
    <row r="67" spans="1:9" ht="15">
      <c r="A67" s="23" t="str">
        <f>+'Sch 8, p 4'!A69</f>
        <v>Dominion Resources</v>
      </c>
      <c r="C67" s="11">
        <f t="shared" si="5"/>
        <v>0.044</v>
      </c>
      <c r="E67" s="14">
        <f>+'Sch 13 WP'!D62</f>
        <v>0.75</v>
      </c>
      <c r="G67" s="11">
        <f t="shared" si="6"/>
        <v>0.059</v>
      </c>
      <c r="I67" s="9">
        <f t="shared" si="4"/>
        <v>0.08825</v>
      </c>
    </row>
    <row r="68" spans="1:9" ht="15">
      <c r="A68" s="23" t="str">
        <f>+'Sch 8, p 4'!A70</f>
        <v>DPL Inc</v>
      </c>
      <c r="C68" s="11">
        <f t="shared" si="5"/>
        <v>0.044</v>
      </c>
      <c r="E68" s="14">
        <f>+'Sch 13 WP'!D63</f>
        <v>0.75</v>
      </c>
      <c r="G68" s="11">
        <f t="shared" si="6"/>
        <v>0.059</v>
      </c>
      <c r="I68" s="9">
        <f t="shared" si="4"/>
        <v>0.08825</v>
      </c>
    </row>
    <row r="69" spans="1:9" ht="15">
      <c r="A69" s="23" t="str">
        <f>+'Sch 8, p 4'!A71</f>
        <v>DTE Energy</v>
      </c>
      <c r="C69" s="11">
        <f t="shared" si="5"/>
        <v>0.044</v>
      </c>
      <c r="E69" s="14">
        <f>+'Sch 13 WP'!D64</f>
        <v>0.75</v>
      </c>
      <c r="G69" s="11">
        <f t="shared" si="6"/>
        <v>0.059</v>
      </c>
      <c r="I69" s="9">
        <f t="shared" si="4"/>
        <v>0.08825</v>
      </c>
    </row>
    <row r="70" spans="1:9" ht="15">
      <c r="A70" s="23" t="str">
        <f>+'Sch 8, p 4'!A72</f>
        <v>Energy East</v>
      </c>
      <c r="C70" s="11">
        <f t="shared" si="5"/>
        <v>0.044</v>
      </c>
      <c r="E70" s="14">
        <f>+'Sch 13 WP'!D65</f>
        <v>0.75</v>
      </c>
      <c r="G70" s="11">
        <f t="shared" si="6"/>
        <v>0.059</v>
      </c>
      <c r="I70" s="9">
        <f t="shared" si="4"/>
        <v>0.08825</v>
      </c>
    </row>
    <row r="71" spans="1:9" ht="15">
      <c r="A71" s="23" t="str">
        <f>+'Sch 8, p 4'!A73</f>
        <v>Exelon</v>
      </c>
      <c r="C71" s="11">
        <f>+C70</f>
        <v>0.044</v>
      </c>
      <c r="E71" s="14">
        <f>+'Sch 13 WP'!D66</f>
        <v>0.85</v>
      </c>
      <c r="G71" s="11">
        <f>+G70</f>
        <v>0.059</v>
      </c>
      <c r="I71" s="9">
        <f t="shared" si="4"/>
        <v>0.09414999999999998</v>
      </c>
    </row>
    <row r="72" spans="1:9" ht="15">
      <c r="A72" s="23" t="str">
        <f>+'Sch 8, p 4'!A74</f>
        <v>FirstEnergy Corp</v>
      </c>
      <c r="C72" s="11">
        <f>+C70</f>
        <v>0.044</v>
      </c>
      <c r="E72" s="14">
        <f>+'Sch 13 WP'!D67</f>
        <v>0.8</v>
      </c>
      <c r="G72" s="11">
        <f>+G70</f>
        <v>0.059</v>
      </c>
      <c r="I72" s="9">
        <f t="shared" si="4"/>
        <v>0.0912</v>
      </c>
    </row>
    <row r="73" spans="1:9" ht="15">
      <c r="A73" s="23" t="str">
        <f>+'Sch 8, p 4'!A75</f>
        <v>IDACORP</v>
      </c>
      <c r="C73" s="11">
        <f t="shared" si="5"/>
        <v>0.044</v>
      </c>
      <c r="E73" s="14">
        <f>+'Sch 13 WP'!D68</f>
        <v>0.9</v>
      </c>
      <c r="G73" s="11">
        <f t="shared" si="6"/>
        <v>0.059</v>
      </c>
      <c r="I73" s="9">
        <f t="shared" si="4"/>
        <v>0.09709999999999999</v>
      </c>
    </row>
    <row r="74" spans="1:9" ht="15">
      <c r="A74" s="23" t="str">
        <f>+'Sch 8, p 4'!A76</f>
        <v>NiSource</v>
      </c>
      <c r="C74" s="11">
        <f t="shared" si="5"/>
        <v>0.044</v>
      </c>
      <c r="E74" s="14">
        <f>+'Sch 13 WP'!D69</f>
        <v>0.9</v>
      </c>
      <c r="G74" s="11">
        <f t="shared" si="6"/>
        <v>0.059</v>
      </c>
      <c r="I74" s="9">
        <f t="shared" si="4"/>
        <v>0.09709999999999999</v>
      </c>
    </row>
    <row r="75" spans="1:9" ht="15">
      <c r="A75" s="23" t="str">
        <f>+'Sch 8, p 4'!A77</f>
        <v>OGE Energy</v>
      </c>
      <c r="C75" s="11">
        <f t="shared" si="5"/>
        <v>0.044</v>
      </c>
      <c r="E75" s="14">
        <f>+'Sch 13 WP'!D70</f>
        <v>0.8</v>
      </c>
      <c r="G75" s="11">
        <f t="shared" si="6"/>
        <v>0.059</v>
      </c>
      <c r="I75" s="9">
        <f t="shared" si="4"/>
        <v>0.0912</v>
      </c>
    </row>
    <row r="76" spans="1:9" ht="15">
      <c r="A76" s="23" t="str">
        <f>+'Sch 8, p 4'!A78</f>
        <v>PPL Corp</v>
      </c>
      <c r="C76" s="11">
        <f t="shared" si="5"/>
        <v>0.044</v>
      </c>
      <c r="E76" s="14">
        <f>+'Sch 13 WP'!D71</f>
        <v>0.9</v>
      </c>
      <c r="G76" s="11">
        <f t="shared" si="6"/>
        <v>0.059</v>
      </c>
      <c r="I76" s="9">
        <f t="shared" si="4"/>
        <v>0.09709999999999999</v>
      </c>
    </row>
    <row r="77" spans="1:9" ht="15">
      <c r="A77" s="23" t="str">
        <f>+'Sch 8, p 4'!A79</f>
        <v>Progress Energy</v>
      </c>
      <c r="C77" s="11">
        <f t="shared" si="5"/>
        <v>0.044</v>
      </c>
      <c r="E77" s="14">
        <f>+'Sch 13 WP'!D72</f>
        <v>0.8</v>
      </c>
      <c r="G77" s="11">
        <f t="shared" si="6"/>
        <v>0.059</v>
      </c>
      <c r="I77" s="9">
        <f t="shared" si="4"/>
        <v>0.0912</v>
      </c>
    </row>
    <row r="78" spans="1:9" ht="15">
      <c r="A78" s="23" t="str">
        <f>+'Sch 8, p 4'!A80</f>
        <v>Public Service Enterprise</v>
      </c>
      <c r="C78" s="11">
        <f t="shared" si="5"/>
        <v>0.044</v>
      </c>
      <c r="E78" s="14">
        <f>+'Sch 13 WP'!D73</f>
        <v>0.9</v>
      </c>
      <c r="G78" s="11">
        <f>+G77</f>
        <v>0.059</v>
      </c>
      <c r="I78" s="9">
        <f t="shared" si="4"/>
        <v>0.09709999999999999</v>
      </c>
    </row>
    <row r="79" spans="1:9" ht="15">
      <c r="A79" s="23" t="str">
        <f>+'Sch 8, p 4'!A81</f>
        <v>Southern Company</v>
      </c>
      <c r="C79" s="11">
        <f t="shared" si="5"/>
        <v>0.044</v>
      </c>
      <c r="E79" s="14">
        <f>+'Sch 13 WP'!D74</f>
        <v>0.7</v>
      </c>
      <c r="G79" s="11">
        <f>+G78</f>
        <v>0.059</v>
      </c>
      <c r="I79" s="9">
        <f t="shared" si="4"/>
        <v>0.08529999999999999</v>
      </c>
    </row>
    <row r="80" spans="1:9" ht="15">
      <c r="A80" s="23" t="str">
        <f>+'Sch 8, p 4'!A82</f>
        <v>TECO Energy</v>
      </c>
      <c r="C80" s="11">
        <f t="shared" si="5"/>
        <v>0.044</v>
      </c>
      <c r="E80" s="14">
        <f>+'Sch 13 WP'!D75</f>
        <v>0.85</v>
      </c>
      <c r="G80" s="11">
        <f>+G79</f>
        <v>0.059</v>
      </c>
      <c r="I80" s="9">
        <f t="shared" si="4"/>
        <v>0.09414999999999998</v>
      </c>
    </row>
    <row r="81" spans="1:9" ht="15">
      <c r="A81" s="23" t="str">
        <f>+'Sch 8, p 4'!A83</f>
        <v>Xcel Energy Inc.</v>
      </c>
      <c r="C81" s="11">
        <f t="shared" si="5"/>
        <v>0.044</v>
      </c>
      <c r="E81" s="14">
        <f>+'Sch 13 WP'!D76</f>
        <v>0.8</v>
      </c>
      <c r="G81" s="11">
        <f>+G80</f>
        <v>0.059</v>
      </c>
      <c r="I81" s="9">
        <f t="shared" si="4"/>
        <v>0.0912</v>
      </c>
    </row>
    <row r="82" spans="1:9" ht="15">
      <c r="A82" s="52"/>
      <c r="B82" s="52"/>
      <c r="C82" s="66"/>
      <c r="D82" s="52"/>
      <c r="E82" s="67"/>
      <c r="F82" s="52"/>
      <c r="G82" s="66"/>
      <c r="H82" s="52"/>
      <c r="I82" s="54"/>
    </row>
    <row r="83" spans="3:9" ht="15">
      <c r="C83" s="11"/>
      <c r="E83" s="14"/>
      <c r="G83" s="11"/>
      <c r="I83" s="9"/>
    </row>
    <row r="84" spans="1:9" ht="15.75">
      <c r="A84" s="23" t="s">
        <v>213</v>
      </c>
      <c r="C84" s="11"/>
      <c r="E84" s="14"/>
      <c r="G84" s="11"/>
      <c r="I84" s="32">
        <f>AVERAGE(I63:I81)</f>
        <v>0.09244210526315785</v>
      </c>
    </row>
    <row r="85" spans="1:9" ht="15">
      <c r="A85" s="52"/>
      <c r="B85" s="52"/>
      <c r="C85" s="66"/>
      <c r="D85" s="52"/>
      <c r="E85" s="67"/>
      <c r="F85" s="52"/>
      <c r="G85" s="66"/>
      <c r="H85" s="52"/>
      <c r="I85" s="54"/>
    </row>
    <row r="86" spans="1:9" ht="15">
      <c r="A86" s="40"/>
      <c r="B86" s="40"/>
      <c r="C86" s="137"/>
      <c r="D86" s="40"/>
      <c r="E86" s="138"/>
      <c r="F86" s="40"/>
      <c r="G86" s="137"/>
      <c r="H86" s="40"/>
      <c r="I86" s="50"/>
    </row>
    <row r="87" spans="1:9" ht="15.75">
      <c r="A87" s="40" t="s">
        <v>197</v>
      </c>
      <c r="B87" s="40"/>
      <c r="C87" s="137"/>
      <c r="D87" s="40"/>
      <c r="E87" s="138"/>
      <c r="F87" s="40"/>
      <c r="G87" s="137"/>
      <c r="H87" s="40"/>
      <c r="I87" s="71">
        <f>MEDIAN(I63:I81)</f>
        <v>0.0912</v>
      </c>
    </row>
    <row r="88" spans="1:9" ht="15.75" thickBot="1">
      <c r="A88" s="55"/>
      <c r="B88" s="55"/>
      <c r="C88" s="68"/>
      <c r="D88" s="55"/>
      <c r="E88" s="69"/>
      <c r="F88" s="55"/>
      <c r="G88" s="68"/>
      <c r="H88" s="55"/>
      <c r="I88" s="57"/>
    </row>
    <row r="89" ht="15.75" thickTop="1">
      <c r="G89" s="8"/>
    </row>
    <row r="90" spans="1:7" ht="15">
      <c r="A90" s="23" t="s">
        <v>110</v>
      </c>
      <c r="G90" s="8"/>
    </row>
    <row r="91" ht="15">
      <c r="G91" s="8"/>
    </row>
    <row r="92" ht="15">
      <c r="G92" s="8"/>
    </row>
    <row r="93" ht="15">
      <c r="G93" s="8"/>
    </row>
    <row r="94" ht="15">
      <c r="G94" s="8"/>
    </row>
    <row r="95" ht="15">
      <c r="G95" s="8"/>
    </row>
    <row r="96" ht="15">
      <c r="G96" s="8"/>
    </row>
    <row r="97" ht="15">
      <c r="G97" s="8"/>
    </row>
    <row r="98" ht="15">
      <c r="G98" s="8"/>
    </row>
    <row r="99" ht="15">
      <c r="G99" s="8"/>
    </row>
    <row r="100" ht="15">
      <c r="G100" s="8"/>
    </row>
    <row r="101" ht="15">
      <c r="G101" s="8"/>
    </row>
    <row r="102" ht="15">
      <c r="G102" s="8"/>
    </row>
    <row r="103" ht="15">
      <c r="G103" s="8"/>
    </row>
    <row r="104" ht="15">
      <c r="G104" s="8"/>
    </row>
    <row r="105" ht="15">
      <c r="G105" s="8"/>
    </row>
    <row r="106" ht="15">
      <c r="G106" s="8"/>
    </row>
    <row r="107" ht="15">
      <c r="G107" s="8"/>
    </row>
    <row r="108" ht="15">
      <c r="G108" s="8"/>
    </row>
    <row r="109" ht="15">
      <c r="G109" s="8"/>
    </row>
    <row r="110" ht="15">
      <c r="G110" s="8"/>
    </row>
    <row r="111" ht="15">
      <c r="G111" s="8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SheetLayoutView="100" zoomScalePageLayoutView="0" workbookViewId="0" topLeftCell="A34">
      <selection activeCell="H2" sqref="H2"/>
    </sheetView>
  </sheetViews>
  <sheetFormatPr defaultColWidth="8.88671875" defaultRowHeight="15"/>
  <cols>
    <col min="1" max="2" width="9.77734375" style="34" customWidth="1"/>
    <col min="3" max="3" width="2.77734375" style="34" customWidth="1"/>
    <col min="4" max="4" width="9.77734375" style="34" customWidth="1"/>
    <col min="5" max="5" width="2.77734375" style="34" customWidth="1"/>
    <col min="6" max="6" width="9.77734375" style="34" customWidth="1"/>
    <col min="7" max="7" width="2.77734375" style="34" customWidth="1"/>
    <col min="8" max="8" width="9.77734375" style="34" customWidth="1"/>
    <col min="9" max="9" width="2.77734375" style="34" customWidth="1"/>
    <col min="10" max="10" width="9.77734375" style="34" customWidth="1"/>
    <col min="11" max="11" width="7.3359375" style="167" customWidth="1"/>
    <col min="12" max="16384" width="8.88671875" style="34" customWidth="1"/>
  </cols>
  <sheetData>
    <row r="1" spans="8:9" ht="15.75">
      <c r="H1" s="33" t="str">
        <f>+'Sch 1'!G1</f>
        <v>Exhibit___(DCP-2)</v>
      </c>
      <c r="I1" s="33"/>
    </row>
    <row r="2" spans="8:9" ht="15.75">
      <c r="H2" s="33" t="s">
        <v>36</v>
      </c>
      <c r="I2" s="33"/>
    </row>
    <row r="3" spans="8:9" ht="15.75">
      <c r="H3" s="33" t="s">
        <v>288</v>
      </c>
      <c r="I3" s="33"/>
    </row>
    <row r="5" spans="1:11" ht="20.25">
      <c r="A5" s="245" t="s">
        <v>0</v>
      </c>
      <c r="B5" s="245"/>
      <c r="C5" s="245"/>
      <c r="D5" s="245"/>
      <c r="E5" s="245"/>
      <c r="F5" s="245"/>
      <c r="G5" s="245"/>
      <c r="H5" s="245"/>
      <c r="I5" s="245"/>
      <c r="J5" s="245"/>
      <c r="K5" s="168"/>
    </row>
    <row r="6" ht="8.25" customHeight="1" thickBot="1"/>
    <row r="7" spans="1:10" ht="16.5" customHeight="1" thickTop="1">
      <c r="A7" s="169"/>
      <c r="B7" s="169"/>
      <c r="C7" s="169"/>
      <c r="D7" s="169"/>
      <c r="E7" s="169"/>
      <c r="F7" s="169"/>
      <c r="G7" s="169"/>
      <c r="H7" s="169"/>
      <c r="I7" s="169"/>
      <c r="J7" s="169"/>
    </row>
    <row r="8" spans="1:10" ht="15.75">
      <c r="A8" s="167"/>
      <c r="B8" s="170" t="s">
        <v>289</v>
      </c>
      <c r="C8" s="167"/>
      <c r="D8" s="170" t="s">
        <v>290</v>
      </c>
      <c r="E8" s="167"/>
      <c r="F8" s="171" t="s">
        <v>291</v>
      </c>
      <c r="G8" s="167"/>
      <c r="H8" s="167"/>
      <c r="I8" s="167"/>
      <c r="J8" s="167"/>
    </row>
    <row r="9" spans="1:10" ht="15.75">
      <c r="A9" s="167"/>
      <c r="B9" s="170" t="s">
        <v>32</v>
      </c>
      <c r="C9" s="167"/>
      <c r="D9" s="170" t="s">
        <v>292</v>
      </c>
      <c r="E9" s="167"/>
      <c r="F9" s="170" t="s">
        <v>293</v>
      </c>
      <c r="G9" s="167"/>
      <c r="H9" s="171" t="s">
        <v>294</v>
      </c>
      <c r="I9" s="167"/>
      <c r="J9" s="170" t="s">
        <v>295</v>
      </c>
    </row>
    <row r="10" spans="1:10" ht="15.75">
      <c r="A10" s="170" t="s">
        <v>63</v>
      </c>
      <c r="B10" s="170" t="s">
        <v>296</v>
      </c>
      <c r="C10" s="167"/>
      <c r="D10" s="170" t="s">
        <v>297</v>
      </c>
      <c r="E10" s="167"/>
      <c r="F10" s="170" t="s">
        <v>298</v>
      </c>
      <c r="G10" s="167"/>
      <c r="H10" s="170" t="s">
        <v>299</v>
      </c>
      <c r="I10" s="167"/>
      <c r="J10" s="170" t="str">
        <f>+H10</f>
        <v>Price Index</v>
      </c>
    </row>
    <row r="11" spans="1:10" ht="16.5" thickBot="1">
      <c r="A11" s="172"/>
      <c r="B11" s="172"/>
      <c r="C11" s="173"/>
      <c r="D11" s="172"/>
      <c r="E11" s="173"/>
      <c r="F11" s="172"/>
      <c r="G11" s="173"/>
      <c r="H11" s="172"/>
      <c r="I11" s="173"/>
      <c r="J11" s="172"/>
    </row>
    <row r="12" spans="1:11" ht="9.75" customHeight="1" thickTop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5.75">
      <c r="A13" s="244" t="s">
        <v>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168"/>
    </row>
    <row r="14" ht="9" customHeight="1"/>
    <row r="15" spans="1:11" ht="15">
      <c r="A15" s="87" t="s">
        <v>3</v>
      </c>
      <c r="B15" s="72">
        <v>-0.011</v>
      </c>
      <c r="C15" s="72"/>
      <c r="D15" s="72">
        <v>-0.089</v>
      </c>
      <c r="E15" s="72"/>
      <c r="F15" s="72">
        <v>0.085</v>
      </c>
      <c r="G15" s="72"/>
      <c r="H15" s="72">
        <v>0.07</v>
      </c>
      <c r="I15" s="72"/>
      <c r="J15" s="72">
        <v>0.066</v>
      </c>
      <c r="K15" s="174"/>
    </row>
    <row r="16" spans="1:10" ht="15">
      <c r="A16" s="87" t="s">
        <v>4</v>
      </c>
      <c r="B16" s="72">
        <v>0.054</v>
      </c>
      <c r="C16" s="72"/>
      <c r="D16" s="72">
        <v>0.108</v>
      </c>
      <c r="E16" s="72"/>
      <c r="F16" s="72">
        <v>0.077</v>
      </c>
      <c r="G16" s="72"/>
      <c r="H16" s="72">
        <v>0.048</v>
      </c>
      <c r="I16" s="72"/>
      <c r="J16" s="72">
        <v>0.037</v>
      </c>
    </row>
    <row r="17" spans="1:11" ht="15">
      <c r="A17" s="87" t="s">
        <v>5</v>
      </c>
      <c r="B17" s="72">
        <v>0.055</v>
      </c>
      <c r="C17" s="72"/>
      <c r="D17" s="72">
        <v>0.059</v>
      </c>
      <c r="E17" s="72"/>
      <c r="F17" s="72">
        <v>0.07</v>
      </c>
      <c r="G17" s="72"/>
      <c r="H17" s="72">
        <v>0.068</v>
      </c>
      <c r="I17" s="72"/>
      <c r="J17" s="72">
        <v>0.069</v>
      </c>
      <c r="K17" s="175"/>
    </row>
    <row r="18" spans="1:11" ht="15">
      <c r="A18" s="87" t="s">
        <v>6</v>
      </c>
      <c r="B18" s="72">
        <v>0.05</v>
      </c>
      <c r="C18" s="72"/>
      <c r="D18" s="72">
        <v>0.057</v>
      </c>
      <c r="E18" s="72"/>
      <c r="F18" s="72">
        <v>0.06</v>
      </c>
      <c r="G18" s="72"/>
      <c r="H18" s="72">
        <v>0.09</v>
      </c>
      <c r="I18" s="72"/>
      <c r="J18" s="72">
        <v>0.092</v>
      </c>
      <c r="K18" s="175"/>
    </row>
    <row r="19" spans="1:10" ht="15">
      <c r="A19" s="87" t="s">
        <v>7</v>
      </c>
      <c r="B19" s="72">
        <v>0.028</v>
      </c>
      <c r="C19" s="72"/>
      <c r="D19" s="72">
        <v>0.044</v>
      </c>
      <c r="E19" s="72"/>
      <c r="F19" s="72">
        <v>0.058</v>
      </c>
      <c r="G19" s="72"/>
      <c r="H19" s="72">
        <v>0.133</v>
      </c>
      <c r="I19" s="72"/>
      <c r="J19" s="72">
        <v>0.128</v>
      </c>
    </row>
    <row r="20" spans="1:11" ht="15">
      <c r="A20" s="87" t="s">
        <v>8</v>
      </c>
      <c r="B20" s="72">
        <v>-0.002</v>
      </c>
      <c r="C20" s="72"/>
      <c r="D20" s="72">
        <v>-0.019</v>
      </c>
      <c r="E20" s="72"/>
      <c r="F20" s="72">
        <v>0.07</v>
      </c>
      <c r="G20" s="72"/>
      <c r="H20" s="72">
        <v>0.124</v>
      </c>
      <c r="I20" s="72"/>
      <c r="J20" s="72">
        <v>0.118</v>
      </c>
      <c r="K20" s="175"/>
    </row>
    <row r="21" spans="1:11" ht="15">
      <c r="A21" s="87" t="s">
        <v>9</v>
      </c>
      <c r="B21" s="72">
        <v>0.018</v>
      </c>
      <c r="C21" s="72"/>
      <c r="D21" s="72">
        <v>0.019</v>
      </c>
      <c r="E21" s="72"/>
      <c r="F21" s="72">
        <v>0.075</v>
      </c>
      <c r="G21" s="72"/>
      <c r="H21" s="72">
        <v>0.089</v>
      </c>
      <c r="I21" s="72"/>
      <c r="J21" s="72">
        <v>0.071</v>
      </c>
      <c r="K21" s="175"/>
    </row>
    <row r="22" spans="1:11" ht="15">
      <c r="A22" s="87" t="s">
        <v>10</v>
      </c>
      <c r="B22" s="72">
        <v>-0.021</v>
      </c>
      <c r="C22" s="72"/>
      <c r="D22" s="72">
        <v>-0.044</v>
      </c>
      <c r="E22" s="72"/>
      <c r="F22" s="72">
        <v>0.095</v>
      </c>
      <c r="G22" s="72"/>
      <c r="H22" s="72">
        <v>0.038</v>
      </c>
      <c r="I22" s="72"/>
      <c r="J22" s="72">
        <v>0.036</v>
      </c>
      <c r="K22" s="175"/>
    </row>
    <row r="23" spans="1:11" ht="9.75" customHeight="1">
      <c r="A23" s="87"/>
      <c r="B23" s="72"/>
      <c r="C23" s="72"/>
      <c r="D23" s="72"/>
      <c r="E23" s="72"/>
      <c r="F23" s="72"/>
      <c r="G23" s="72"/>
      <c r="H23" s="72"/>
      <c r="I23" s="72"/>
      <c r="J23" s="72"/>
      <c r="K23" s="175"/>
    </row>
    <row r="24" spans="1:11" ht="15.75">
      <c r="A24" s="246" t="s">
        <v>11</v>
      </c>
      <c r="B24" s="246"/>
      <c r="C24" s="246"/>
      <c r="D24" s="246"/>
      <c r="E24" s="246"/>
      <c r="F24" s="246"/>
      <c r="G24" s="246"/>
      <c r="H24" s="246"/>
      <c r="I24" s="246"/>
      <c r="J24" s="246"/>
      <c r="K24" s="176"/>
    </row>
    <row r="25" spans="1:11" ht="15">
      <c r="A25" s="87" t="s">
        <v>12</v>
      </c>
      <c r="B25" s="72">
        <v>0.04</v>
      </c>
      <c r="C25" s="72"/>
      <c r="D25" s="72">
        <v>0.037</v>
      </c>
      <c r="E25" s="72"/>
      <c r="F25" s="72">
        <v>0.095</v>
      </c>
      <c r="G25" s="72"/>
      <c r="H25" s="72">
        <v>0.038</v>
      </c>
      <c r="I25" s="72"/>
      <c r="J25" s="72">
        <v>0.006</v>
      </c>
      <c r="K25" s="175"/>
    </row>
    <row r="26" spans="1:11" ht="15">
      <c r="A26" s="87" t="s">
        <v>13</v>
      </c>
      <c r="B26" s="72">
        <v>0.068</v>
      </c>
      <c r="C26" s="72"/>
      <c r="D26" s="72">
        <v>0.093</v>
      </c>
      <c r="E26" s="72"/>
      <c r="F26" s="72">
        <v>0.075</v>
      </c>
      <c r="G26" s="72"/>
      <c r="H26" s="72">
        <v>0.039</v>
      </c>
      <c r="I26" s="72"/>
      <c r="J26" s="72">
        <v>0.017</v>
      </c>
      <c r="K26" s="175"/>
    </row>
    <row r="27" spans="1:11" ht="15">
      <c r="A27" s="87" t="s">
        <v>14</v>
      </c>
      <c r="B27" s="72">
        <v>0.037</v>
      </c>
      <c r="C27" s="72"/>
      <c r="D27" s="72">
        <v>0.017</v>
      </c>
      <c r="E27" s="72"/>
      <c r="F27" s="72">
        <v>0.072</v>
      </c>
      <c r="G27" s="72"/>
      <c r="H27" s="72">
        <v>0.038</v>
      </c>
      <c r="I27" s="72"/>
      <c r="J27" s="72">
        <v>0.018</v>
      </c>
      <c r="K27" s="175"/>
    </row>
    <row r="28" spans="1:11" ht="15">
      <c r="A28" s="87" t="s">
        <v>15</v>
      </c>
      <c r="B28" s="72">
        <v>0.031</v>
      </c>
      <c r="C28" s="72"/>
      <c r="D28" s="72">
        <v>0.009</v>
      </c>
      <c r="E28" s="72"/>
      <c r="F28" s="72">
        <v>0.07</v>
      </c>
      <c r="G28" s="72"/>
      <c r="H28" s="72">
        <v>0.011</v>
      </c>
      <c r="I28" s="72"/>
      <c r="J28" s="72">
        <v>-0.023</v>
      </c>
      <c r="K28" s="175"/>
    </row>
    <row r="29" spans="1:11" ht="15">
      <c r="A29" s="87" t="s">
        <v>16</v>
      </c>
      <c r="B29" s="72">
        <v>0.029</v>
      </c>
      <c r="C29" s="72"/>
      <c r="D29" s="72">
        <v>0.049</v>
      </c>
      <c r="E29" s="72"/>
      <c r="F29" s="72">
        <v>0.062</v>
      </c>
      <c r="G29" s="72"/>
      <c r="H29" s="72">
        <v>0.044</v>
      </c>
      <c r="I29" s="72"/>
      <c r="J29" s="72">
        <v>0.022</v>
      </c>
      <c r="K29" s="175"/>
    </row>
    <row r="30" spans="1:11" ht="15">
      <c r="A30" s="87" t="s">
        <v>17</v>
      </c>
      <c r="B30" s="72">
        <v>0.038</v>
      </c>
      <c r="C30" s="72"/>
      <c r="D30" s="72">
        <v>0.045</v>
      </c>
      <c r="E30" s="72"/>
      <c r="F30" s="72">
        <v>0.055</v>
      </c>
      <c r="G30" s="72"/>
      <c r="H30" s="72">
        <v>0.044</v>
      </c>
      <c r="I30" s="72"/>
      <c r="J30" s="72">
        <v>0.04</v>
      </c>
      <c r="K30" s="175"/>
    </row>
    <row r="31" spans="1:11" ht="15">
      <c r="A31" s="87" t="s">
        <v>18</v>
      </c>
      <c r="B31" s="72">
        <v>0.035</v>
      </c>
      <c r="C31" s="72"/>
      <c r="D31" s="72">
        <v>0.018</v>
      </c>
      <c r="E31" s="72"/>
      <c r="F31" s="72">
        <v>0.053</v>
      </c>
      <c r="G31" s="72"/>
      <c r="H31" s="72">
        <v>0.046</v>
      </c>
      <c r="I31" s="72"/>
      <c r="J31" s="72">
        <v>0.049</v>
      </c>
      <c r="K31" s="175"/>
    </row>
    <row r="32" spans="1:11" ht="15">
      <c r="A32" s="87" t="s">
        <v>19</v>
      </c>
      <c r="B32" s="72">
        <v>0.018</v>
      </c>
      <c r="C32" s="72"/>
      <c r="D32" s="72">
        <v>-0.002</v>
      </c>
      <c r="E32" s="72"/>
      <c r="F32" s="72">
        <v>0.056</v>
      </c>
      <c r="G32" s="72"/>
      <c r="H32" s="72">
        <v>0.061</v>
      </c>
      <c r="I32" s="72"/>
      <c r="J32" s="72">
        <v>0.057</v>
      </c>
      <c r="K32" s="175"/>
    </row>
    <row r="33" spans="1:11" ht="15">
      <c r="A33" s="87" t="s">
        <v>20</v>
      </c>
      <c r="B33" s="72">
        <v>-0.005</v>
      </c>
      <c r="C33" s="72"/>
      <c r="D33" s="72">
        <v>-0.02</v>
      </c>
      <c r="E33" s="72"/>
      <c r="F33" s="72">
        <v>0.068</v>
      </c>
      <c r="G33" s="72"/>
      <c r="H33" s="72">
        <v>0.031</v>
      </c>
      <c r="I33" s="72"/>
      <c r="J33" s="72">
        <v>-0.001</v>
      </c>
      <c r="K33" s="175"/>
    </row>
    <row r="34" spans="1:11" ht="9.75" customHeight="1">
      <c r="A34" s="87"/>
      <c r="B34" s="72"/>
      <c r="C34" s="72"/>
      <c r="D34" s="72"/>
      <c r="E34" s="72"/>
      <c r="F34" s="72"/>
      <c r="G34" s="72"/>
      <c r="H34" s="72"/>
      <c r="I34" s="72"/>
      <c r="J34" s="72"/>
      <c r="K34" s="175"/>
    </row>
    <row r="35" spans="1:11" ht="15.75">
      <c r="A35" s="244" t="s">
        <v>161</v>
      </c>
      <c r="B35" s="244"/>
      <c r="C35" s="244"/>
      <c r="D35" s="244"/>
      <c r="E35" s="244"/>
      <c r="F35" s="244"/>
      <c r="G35" s="244"/>
      <c r="H35" s="244"/>
      <c r="I35" s="244"/>
      <c r="J35" s="244"/>
      <c r="K35" s="168"/>
    </row>
    <row r="36" spans="1:10" ht="15">
      <c r="A36" s="87" t="s">
        <v>21</v>
      </c>
      <c r="B36" s="72">
        <v>0.03</v>
      </c>
      <c r="C36" s="72" t="s">
        <v>34</v>
      </c>
      <c r="D36" s="72">
        <v>0.031</v>
      </c>
      <c r="E36" s="72"/>
      <c r="F36" s="72">
        <v>0.075</v>
      </c>
      <c r="G36" s="72"/>
      <c r="H36" s="72">
        <v>0.029</v>
      </c>
      <c r="I36" s="72"/>
      <c r="J36" s="72">
        <v>0.016</v>
      </c>
    </row>
    <row r="37" spans="1:10" ht="15">
      <c r="A37" s="87" t="s">
        <v>22</v>
      </c>
      <c r="B37" s="72">
        <v>0.027</v>
      </c>
      <c r="C37" s="72"/>
      <c r="D37" s="72">
        <v>0.033</v>
      </c>
      <c r="E37" s="72"/>
      <c r="F37" s="72">
        <v>0.069</v>
      </c>
      <c r="G37" s="72"/>
      <c r="H37" s="72">
        <v>0.027</v>
      </c>
      <c r="I37" s="72"/>
      <c r="J37" s="72">
        <v>0.002</v>
      </c>
    </row>
    <row r="38" spans="1:10" ht="15">
      <c r="A38" s="87" t="s">
        <v>23</v>
      </c>
      <c r="B38" s="72">
        <v>0.04</v>
      </c>
      <c r="C38" s="72"/>
      <c r="D38" s="72">
        <v>0.054</v>
      </c>
      <c r="E38" s="72"/>
      <c r="F38" s="72">
        <v>0.061</v>
      </c>
      <c r="G38" s="72"/>
      <c r="H38" s="72">
        <v>0.027</v>
      </c>
      <c r="I38" s="72"/>
      <c r="J38" s="72">
        <v>0.017</v>
      </c>
    </row>
    <row r="39" spans="1:10" ht="15">
      <c r="A39" s="87" t="s">
        <v>24</v>
      </c>
      <c r="B39" s="72">
        <v>0.025</v>
      </c>
      <c r="C39" s="72"/>
      <c r="D39" s="72">
        <v>0.048</v>
      </c>
      <c r="E39" s="72"/>
      <c r="F39" s="72">
        <v>0.056</v>
      </c>
      <c r="G39" s="72"/>
      <c r="H39" s="72">
        <v>0.025</v>
      </c>
      <c r="I39" s="72"/>
      <c r="J39" s="72">
        <v>0.023</v>
      </c>
    </row>
    <row r="40" spans="1:10" ht="15">
      <c r="A40" s="87" t="s">
        <v>25</v>
      </c>
      <c r="B40" s="72">
        <v>0.037</v>
      </c>
      <c r="C40" s="72"/>
      <c r="D40" s="72">
        <v>0.043</v>
      </c>
      <c r="E40" s="72"/>
      <c r="F40" s="72">
        <v>0.054</v>
      </c>
      <c r="G40" s="72"/>
      <c r="H40" s="72">
        <v>0.033</v>
      </c>
      <c r="I40" s="72"/>
      <c r="J40" s="72">
        <v>0.028</v>
      </c>
    </row>
    <row r="41" spans="1:10" ht="15">
      <c r="A41" s="87" t="s">
        <v>26</v>
      </c>
      <c r="B41" s="72">
        <v>0.045</v>
      </c>
      <c r="C41" s="72"/>
      <c r="D41" s="72">
        <v>0.072</v>
      </c>
      <c r="E41" s="72"/>
      <c r="F41" s="72">
        <v>0.049</v>
      </c>
      <c r="G41" s="72"/>
      <c r="H41" s="72">
        <v>0.017</v>
      </c>
      <c r="I41" s="72"/>
      <c r="J41" s="72">
        <v>-0.012</v>
      </c>
    </row>
    <row r="42" spans="1:11" ht="15">
      <c r="A42" s="87">
        <v>1998</v>
      </c>
      <c r="B42" s="72">
        <v>0.042</v>
      </c>
      <c r="C42" s="72"/>
      <c r="D42" s="72">
        <v>0.061</v>
      </c>
      <c r="E42" s="72"/>
      <c r="F42" s="72">
        <v>0.045</v>
      </c>
      <c r="G42" s="72"/>
      <c r="H42" s="72">
        <v>0.016</v>
      </c>
      <c r="I42" s="72"/>
      <c r="J42" s="72">
        <v>0</v>
      </c>
      <c r="K42" s="175"/>
    </row>
    <row r="43" spans="1:10" ht="15">
      <c r="A43" s="87">
        <v>1999</v>
      </c>
      <c r="B43" s="72">
        <v>0.045</v>
      </c>
      <c r="C43" s="72"/>
      <c r="D43" s="72">
        <v>0.047</v>
      </c>
      <c r="E43" s="72"/>
      <c r="F43" s="72">
        <v>0.042</v>
      </c>
      <c r="G43" s="72"/>
      <c r="H43" s="72">
        <v>0.027</v>
      </c>
      <c r="I43" s="72"/>
      <c r="J43" s="72">
        <v>0.029</v>
      </c>
    </row>
    <row r="44" spans="1:10" ht="15">
      <c r="A44" s="87">
        <v>2000</v>
      </c>
      <c r="B44" s="72">
        <v>0.037</v>
      </c>
      <c r="C44" s="72"/>
      <c r="D44" s="72">
        <v>0.045</v>
      </c>
      <c r="E44" s="72"/>
      <c r="F44" s="72">
        <v>0.04</v>
      </c>
      <c r="G44" s="72"/>
      <c r="H44" s="72">
        <v>0.034</v>
      </c>
      <c r="I44" s="72"/>
      <c r="J44" s="72">
        <v>0.036</v>
      </c>
    </row>
    <row r="45" spans="1:10" ht="15">
      <c r="A45" s="87">
        <v>2001</v>
      </c>
      <c r="B45" s="72">
        <v>0.008</v>
      </c>
      <c r="C45" s="72"/>
      <c r="D45" s="72">
        <v>-0.035</v>
      </c>
      <c r="E45" s="72"/>
      <c r="F45" s="72">
        <v>0.047</v>
      </c>
      <c r="G45" s="72"/>
      <c r="H45" s="72">
        <v>0.016</v>
      </c>
      <c r="I45" s="72"/>
      <c r="J45" s="72">
        <v>-0.016</v>
      </c>
    </row>
    <row r="46" spans="1:10" ht="9.75" customHeight="1">
      <c r="A46" s="87"/>
      <c r="B46" s="72"/>
      <c r="C46" s="72"/>
      <c r="D46" s="72"/>
      <c r="E46" s="72"/>
      <c r="F46" s="72"/>
      <c r="G46" s="72"/>
      <c r="H46" s="72"/>
      <c r="I46" s="72"/>
      <c r="J46" s="72"/>
    </row>
    <row r="47" spans="1:11" ht="15.75">
      <c r="A47" s="244" t="s">
        <v>208</v>
      </c>
      <c r="B47" s="244"/>
      <c r="C47" s="244"/>
      <c r="D47" s="244"/>
      <c r="E47" s="244"/>
      <c r="F47" s="244"/>
      <c r="G47" s="244"/>
      <c r="H47" s="244"/>
      <c r="I47" s="244"/>
      <c r="J47" s="244"/>
      <c r="K47" s="33"/>
    </row>
    <row r="48" spans="1:10" ht="15">
      <c r="A48" s="87">
        <v>2002</v>
      </c>
      <c r="B48" s="72">
        <v>0.016</v>
      </c>
      <c r="C48" s="72"/>
      <c r="D48" s="72">
        <v>0</v>
      </c>
      <c r="E48" s="72"/>
      <c r="F48" s="72">
        <v>0.058</v>
      </c>
      <c r="G48" s="72"/>
      <c r="H48" s="72">
        <v>0.024</v>
      </c>
      <c r="I48" s="72"/>
      <c r="J48" s="72">
        <v>0.012</v>
      </c>
    </row>
    <row r="49" spans="1:10" ht="15">
      <c r="A49" s="87">
        <v>2003</v>
      </c>
      <c r="B49" s="72">
        <v>0.025</v>
      </c>
      <c r="C49" s="72"/>
      <c r="D49" s="72">
        <v>0.011</v>
      </c>
      <c r="E49" s="72"/>
      <c r="F49" s="72">
        <v>0.06</v>
      </c>
      <c r="G49" s="72"/>
      <c r="H49" s="72">
        <v>0.019</v>
      </c>
      <c r="I49" s="72"/>
      <c r="J49" s="72">
        <v>0.04</v>
      </c>
    </row>
    <row r="50" spans="1:10" ht="15">
      <c r="A50" s="87">
        <v>2004</v>
      </c>
      <c r="B50" s="72">
        <v>0.036</v>
      </c>
      <c r="C50" s="72"/>
      <c r="D50" s="72">
        <v>0.025</v>
      </c>
      <c r="E50" s="72"/>
      <c r="F50" s="72">
        <v>0.055</v>
      </c>
      <c r="G50" s="72"/>
      <c r="H50" s="72">
        <v>0.033</v>
      </c>
      <c r="I50" s="72"/>
      <c r="J50" s="72">
        <v>0.042</v>
      </c>
    </row>
    <row r="51" spans="1:10" ht="15">
      <c r="A51" s="87">
        <v>2005</v>
      </c>
      <c r="B51" s="72">
        <v>0.031</v>
      </c>
      <c r="C51" s="72"/>
      <c r="D51" s="72">
        <v>0.032</v>
      </c>
      <c r="E51" s="72"/>
      <c r="F51" s="72">
        <v>0.051</v>
      </c>
      <c r="G51" s="72"/>
      <c r="H51" s="72">
        <v>0.034</v>
      </c>
      <c r="I51" s="72"/>
      <c r="J51" s="72">
        <v>0.054</v>
      </c>
    </row>
    <row r="52" spans="1:10" ht="15">
      <c r="A52" s="87">
        <v>2006</v>
      </c>
      <c r="B52" s="72">
        <v>0.029</v>
      </c>
      <c r="C52" s="72"/>
      <c r="D52" s="72">
        <v>0.039</v>
      </c>
      <c r="E52" s="72"/>
      <c r="F52" s="72">
        <v>0.046</v>
      </c>
      <c r="G52" s="72"/>
      <c r="H52" s="72">
        <v>0.025</v>
      </c>
      <c r="I52" s="72"/>
      <c r="J52" s="72">
        <v>0.011</v>
      </c>
    </row>
    <row r="53" spans="1:10" ht="15">
      <c r="A53" s="87">
        <v>2007</v>
      </c>
      <c r="B53" s="72">
        <v>0.022</v>
      </c>
      <c r="C53" s="72"/>
      <c r="D53" s="72">
        <v>0.021</v>
      </c>
      <c r="E53" s="72"/>
      <c r="F53" s="72">
        <v>0.046</v>
      </c>
      <c r="G53" s="72"/>
      <c r="H53" s="72">
        <v>0.041</v>
      </c>
      <c r="I53" s="72"/>
      <c r="J53" s="72">
        <v>0.063</v>
      </c>
    </row>
    <row r="54" spans="2:10" ht="15">
      <c r="B54" s="72"/>
      <c r="C54" s="72"/>
      <c r="D54" s="72"/>
      <c r="E54" s="72"/>
      <c r="F54" s="72"/>
      <c r="G54" s="72"/>
      <c r="H54" s="72"/>
      <c r="I54" s="72"/>
      <c r="J54" s="72"/>
    </row>
    <row r="55" spans="1:11" ht="15">
      <c r="A55" s="88"/>
      <c r="B55" s="98"/>
      <c r="C55" s="98"/>
      <c r="D55" s="98"/>
      <c r="E55" s="98"/>
      <c r="F55" s="98"/>
      <c r="G55" s="98"/>
      <c r="H55" s="98"/>
      <c r="I55" s="98"/>
      <c r="J55" s="98"/>
      <c r="K55" s="91"/>
    </row>
    <row r="56" spans="1:11" ht="15">
      <c r="A56" s="34" t="s">
        <v>300</v>
      </c>
      <c r="K56" s="91"/>
    </row>
    <row r="57" ht="15">
      <c r="K57" s="91"/>
    </row>
    <row r="58" spans="1:10" ht="15">
      <c r="A58" s="34" t="s">
        <v>31</v>
      </c>
      <c r="B58" s="72"/>
      <c r="C58" s="72"/>
      <c r="D58" s="72"/>
      <c r="E58" s="72"/>
      <c r="F58" s="72"/>
      <c r="G58" s="72"/>
      <c r="H58" s="72"/>
      <c r="I58" s="72"/>
      <c r="J58" s="72"/>
    </row>
    <row r="59" spans="2:10" ht="15">
      <c r="B59" s="72"/>
      <c r="C59" s="72"/>
      <c r="D59" s="72"/>
      <c r="E59" s="72"/>
      <c r="F59" s="72"/>
      <c r="G59" s="72"/>
      <c r="H59" s="72"/>
      <c r="I59" s="72"/>
      <c r="J59" s="72"/>
    </row>
    <row r="60" spans="2:10" ht="15">
      <c r="B60" s="72"/>
      <c r="C60" s="72"/>
      <c r="D60" s="72"/>
      <c r="E60" s="72"/>
      <c r="F60" s="72"/>
      <c r="G60" s="72"/>
      <c r="H60" s="72"/>
      <c r="I60" s="72"/>
      <c r="J60" s="72"/>
    </row>
  </sheetData>
  <sheetProtection/>
  <mergeCells count="5">
    <mergeCell ref="A47:J47"/>
    <mergeCell ref="A5:J5"/>
    <mergeCell ref="A13:J13"/>
    <mergeCell ref="A24:J24"/>
    <mergeCell ref="A35:J35"/>
  </mergeCells>
  <printOptions horizontalCentered="1" verticalCentered="1"/>
  <pageMargins left="0.5" right="0.5" top="0.5" bottom="0.5" header="0.5" footer="0.5"/>
  <pageSetup fitToHeight="3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showOutlineSymbols="0" zoomScalePageLayoutView="0" workbookViewId="0" topLeftCell="H64">
      <selection activeCell="T27" sqref="T27"/>
    </sheetView>
  </sheetViews>
  <sheetFormatPr defaultColWidth="9.77734375" defaultRowHeight="15"/>
  <cols>
    <col min="1" max="1" width="24.5546875" style="5" customWidth="1"/>
    <col min="2" max="19" width="9.77734375" style="5" customWidth="1"/>
    <col min="20" max="20" width="9.5546875" style="5" customWidth="1"/>
    <col min="21" max="21" width="9.77734375" style="5" hidden="1" customWidth="1"/>
    <col min="22" max="16384" width="9.77734375" style="5" customWidth="1"/>
  </cols>
  <sheetData>
    <row r="1" spans="20:22" ht="15.75">
      <c r="T1" s="2" t="str">
        <f>+'Sch 10'!H1</f>
        <v>Exhibit___(DCP-2)</v>
      </c>
      <c r="U1" s="2"/>
      <c r="V1" s="2"/>
    </row>
    <row r="2" spans="20:22" ht="15.75">
      <c r="T2" s="2" t="s">
        <v>374</v>
      </c>
      <c r="U2" s="2"/>
      <c r="V2" s="2"/>
    </row>
    <row r="3" spans="20:22" ht="15.75">
      <c r="T3" s="2" t="s">
        <v>117</v>
      </c>
      <c r="U3" s="2"/>
      <c r="V3" s="2"/>
    </row>
    <row r="4" ht="15.75">
      <c r="W4" s="2"/>
    </row>
    <row r="5" spans="1:23" ht="20.25">
      <c r="A5" s="3" t="str">
        <f>'[22]Sch 10'!A6</f>
        <v>COMPARISON COMPANIES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0.25">
      <c r="A6" s="3" t="s">
        <v>375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9" ht="15.75" thickBot="1"/>
    <row r="10" spans="1:23" ht="15.75" thickTop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181</v>
      </c>
      <c r="S11" s="8" t="s">
        <v>376</v>
      </c>
      <c r="T11" s="8"/>
      <c r="U11" s="8"/>
      <c r="V11" s="8"/>
      <c r="W11" s="8"/>
    </row>
    <row r="12" spans="1:23" ht="15">
      <c r="A12" s="8" t="str">
        <f>'[22]Sch 10'!A13</f>
        <v>COMPANY</v>
      </c>
      <c r="B12" s="8">
        <v>1992</v>
      </c>
      <c r="C12" s="8">
        <f aca="true" t="shared" si="0" ref="C12:I12">B12+1</f>
        <v>1993</v>
      </c>
      <c r="D12" s="8">
        <f t="shared" si="0"/>
        <v>1994</v>
      </c>
      <c r="E12" s="8">
        <f t="shared" si="0"/>
        <v>1995</v>
      </c>
      <c r="F12" s="8">
        <f t="shared" si="0"/>
        <v>1996</v>
      </c>
      <c r="G12" s="8">
        <f t="shared" si="0"/>
        <v>1997</v>
      </c>
      <c r="H12" s="8">
        <f t="shared" si="0"/>
        <v>1998</v>
      </c>
      <c r="I12" s="8">
        <f t="shared" si="0"/>
        <v>1999</v>
      </c>
      <c r="J12" s="8">
        <v>2000</v>
      </c>
      <c r="K12" s="8">
        <v>2001</v>
      </c>
      <c r="L12" s="8">
        <v>2002</v>
      </c>
      <c r="M12" s="8">
        <v>2003</v>
      </c>
      <c r="N12" s="8">
        <v>2004</v>
      </c>
      <c r="O12" s="8">
        <v>2005</v>
      </c>
      <c r="P12" s="8">
        <v>2006</v>
      </c>
      <c r="Q12" s="8">
        <v>2007</v>
      </c>
      <c r="R12" s="8" t="s">
        <v>95</v>
      </c>
      <c r="S12" s="8" t="s">
        <v>95</v>
      </c>
      <c r="T12" s="8">
        <v>2008</v>
      </c>
      <c r="U12" s="8">
        <v>2009</v>
      </c>
      <c r="V12" s="8">
        <v>2009</v>
      </c>
      <c r="W12" s="8" t="s">
        <v>377</v>
      </c>
    </row>
    <row r="13" spans="2:3" ht="15.75" thickBot="1">
      <c r="B13" s="212"/>
      <c r="C13" s="212"/>
    </row>
    <row r="14" spans="1:23" ht="15.75" thickTop="1">
      <c r="A14" s="24"/>
      <c r="B14" s="21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</row>
    <row r="16" ht="15.75">
      <c r="A16" s="33" t="str">
        <f>'[22]Sch 10'!A16</f>
        <v>Comparison Group</v>
      </c>
    </row>
    <row r="18" spans="1:30" ht="15">
      <c r="A18" s="5" t="str">
        <f>+'Sch 10'!A18</f>
        <v>Avista Corp</v>
      </c>
      <c r="B18" s="9">
        <v>0.1166</v>
      </c>
      <c r="C18" s="9">
        <v>0.1222</v>
      </c>
      <c r="D18" s="9">
        <v>0.1046</v>
      </c>
      <c r="E18" s="9">
        <v>0.1116</v>
      </c>
      <c r="F18" s="9">
        <v>0.1058</v>
      </c>
      <c r="G18" s="9">
        <v>0.1503</v>
      </c>
      <c r="H18" s="9">
        <v>0.1018</v>
      </c>
      <c r="I18" s="9">
        <v>0.0107</v>
      </c>
      <c r="J18" s="9">
        <v>0.1337</v>
      </c>
      <c r="K18" s="9">
        <v>0.0788</v>
      </c>
      <c r="L18" s="9">
        <v>0.0447</v>
      </c>
      <c r="M18" s="9">
        <v>0.0671</v>
      </c>
      <c r="N18" s="9">
        <v>0.046</v>
      </c>
      <c r="O18" s="9">
        <v>0.058</v>
      </c>
      <c r="P18" s="9">
        <v>0.088</v>
      </c>
      <c r="Q18" s="9">
        <v>0.0454</v>
      </c>
      <c r="R18" s="9">
        <f>AVERAGE(B18:K18)</f>
        <v>0.10361000000000002</v>
      </c>
      <c r="S18" s="9">
        <f>AVERAGE(M18:Q18)</f>
        <v>0.060899999999999996</v>
      </c>
      <c r="T18" s="9">
        <v>0.075</v>
      </c>
      <c r="U18" s="9"/>
      <c r="V18" s="9"/>
      <c r="W18" s="9">
        <v>0.085</v>
      </c>
      <c r="X18" s="214"/>
      <c r="Y18" s="215"/>
      <c r="Z18" s="215"/>
      <c r="AA18" s="215"/>
      <c r="AC18" s="5" t="s">
        <v>378</v>
      </c>
      <c r="AD18" s="5" t="s">
        <v>379</v>
      </c>
    </row>
    <row r="19" spans="1:30" ht="15">
      <c r="A19" s="5" t="str">
        <f>+'Sch 10'!A19</f>
        <v>Empire District Electric</v>
      </c>
      <c r="B19" s="9">
        <v>0.1034</v>
      </c>
      <c r="C19" s="9">
        <v>0.0941</v>
      </c>
      <c r="D19" s="9">
        <v>0.1063</v>
      </c>
      <c r="E19" s="9">
        <v>0.0938</v>
      </c>
      <c r="F19" s="9">
        <v>0.0943</v>
      </c>
      <c r="G19" s="9">
        <v>0.0992</v>
      </c>
      <c r="H19" s="9">
        <v>0.1155</v>
      </c>
      <c r="I19" s="9">
        <v>0.084</v>
      </c>
      <c r="J19" s="9">
        <v>0.0995</v>
      </c>
      <c r="K19" s="9">
        <v>0.0433</v>
      </c>
      <c r="L19" s="9">
        <v>0.084</v>
      </c>
      <c r="M19" s="9">
        <v>0.0867</v>
      </c>
      <c r="N19" s="9">
        <v>0.057</v>
      </c>
      <c r="O19" s="9">
        <v>0.0617</v>
      </c>
      <c r="P19" s="9">
        <v>0.0922</v>
      </c>
      <c r="Q19" s="9">
        <v>0.069</v>
      </c>
      <c r="R19" s="9">
        <f aca="true" t="shared" si="1" ref="R19:R24">AVERAGE(B19:K19)</f>
        <v>0.09334</v>
      </c>
      <c r="S19" s="9">
        <f aca="true" t="shared" si="2" ref="S19:S24">AVERAGE(M19:Q19)</f>
        <v>0.07332</v>
      </c>
      <c r="T19" s="9">
        <v>0.085</v>
      </c>
      <c r="U19" s="9"/>
      <c r="V19" s="9">
        <v>0.095</v>
      </c>
      <c r="W19" s="9">
        <v>0.11</v>
      </c>
      <c r="Y19" s="215"/>
      <c r="Z19" s="215"/>
      <c r="AA19" s="215"/>
      <c r="AC19" s="5" t="s">
        <v>380</v>
      </c>
      <c r="AD19" s="5" t="s">
        <v>381</v>
      </c>
    </row>
    <row r="20" spans="1:30" ht="15">
      <c r="A20" s="5" t="str">
        <f>+'Sch 10'!A20</f>
        <v>Hawaiian Electric Industries</v>
      </c>
      <c r="B20" s="9">
        <v>0.1093</v>
      </c>
      <c r="C20" s="9">
        <v>0.1049</v>
      </c>
      <c r="D20" s="9">
        <v>0.1105</v>
      </c>
      <c r="E20" s="9">
        <v>0.1101</v>
      </c>
      <c r="F20" s="9">
        <v>0.105</v>
      </c>
      <c r="G20" s="9">
        <v>0.1091</v>
      </c>
      <c r="H20" s="9">
        <v>0.1154</v>
      </c>
      <c r="I20" s="9">
        <v>0.1114</v>
      </c>
      <c r="J20" s="9">
        <v>0.0981</v>
      </c>
      <c r="K20" s="9">
        <v>0.1241</v>
      </c>
      <c r="L20" s="9">
        <v>0.1188</v>
      </c>
      <c r="M20" s="9">
        <v>0.1106</v>
      </c>
      <c r="N20" s="9">
        <v>0.0926</v>
      </c>
      <c r="O20" s="9">
        <v>0.0972</v>
      </c>
      <c r="P20" s="9">
        <v>0.093</v>
      </c>
      <c r="Q20" s="9">
        <v>0.0666</v>
      </c>
      <c r="R20" s="9">
        <f t="shared" si="1"/>
        <v>0.10978999999999998</v>
      </c>
      <c r="S20" s="9">
        <f t="shared" si="2"/>
        <v>0.092</v>
      </c>
      <c r="T20" s="9">
        <v>0.09</v>
      </c>
      <c r="U20" s="9"/>
      <c r="V20" s="9"/>
      <c r="W20" s="9">
        <v>0.11</v>
      </c>
      <c r="Y20" s="215"/>
      <c r="Z20" s="215"/>
      <c r="AA20" s="215"/>
      <c r="AC20" s="5" t="s">
        <v>382</v>
      </c>
      <c r="AD20" s="5" t="s">
        <v>383</v>
      </c>
    </row>
    <row r="21" spans="1:27" ht="15">
      <c r="A21" s="5" t="str">
        <f>+'Sch 10'!A21</f>
        <v>PEPCO Holdings</v>
      </c>
      <c r="B21" s="9">
        <v>0.106</v>
      </c>
      <c r="C21" s="9">
        <v>0.12</v>
      </c>
      <c r="D21" s="9">
        <v>0.108</v>
      </c>
      <c r="E21" s="9">
        <v>0.105</v>
      </c>
      <c r="F21" s="9">
        <v>0.117</v>
      </c>
      <c r="G21" s="9">
        <v>0.105</v>
      </c>
      <c r="H21" s="9">
        <v>0.113</v>
      </c>
      <c r="I21" s="9">
        <v>0.117</v>
      </c>
      <c r="J21" s="9">
        <v>0.089</v>
      </c>
      <c r="K21" s="9">
        <v>0.119</v>
      </c>
      <c r="L21" s="9">
        <v>0.098</v>
      </c>
      <c r="M21" s="9">
        <v>0.076</v>
      </c>
      <c r="N21" s="9">
        <v>0.083</v>
      </c>
      <c r="O21" s="9">
        <v>0.081</v>
      </c>
      <c r="P21" s="9">
        <v>0.071</v>
      </c>
      <c r="Q21" s="9">
        <v>0.084</v>
      </c>
      <c r="R21" s="9">
        <f t="shared" si="1"/>
        <v>0.10989999999999997</v>
      </c>
      <c r="S21" s="9">
        <f t="shared" si="2"/>
        <v>0.079</v>
      </c>
      <c r="T21" s="9">
        <v>0.095</v>
      </c>
      <c r="U21" s="9"/>
      <c r="V21" s="9">
        <v>0.1</v>
      </c>
      <c r="W21" s="9">
        <v>0.11</v>
      </c>
      <c r="Y21" s="215"/>
      <c r="Z21" s="215"/>
      <c r="AA21" s="215"/>
    </row>
    <row r="22" spans="1:30" ht="15">
      <c r="A22" s="5" t="str">
        <f>+'Sch 10'!A22</f>
        <v>Pinnacle West</v>
      </c>
      <c r="B22" s="9">
        <v>0.1074</v>
      </c>
      <c r="C22" s="9">
        <v>0.1087</v>
      </c>
      <c r="D22" s="9">
        <v>0.1016</v>
      </c>
      <c r="E22" s="9">
        <v>0.1062</v>
      </c>
      <c r="F22" s="9">
        <v>0.1123</v>
      </c>
      <c r="G22" s="9">
        <v>0.1189</v>
      </c>
      <c r="H22" s="9">
        <v>0.1154</v>
      </c>
      <c r="I22" s="9">
        <v>0.123</v>
      </c>
      <c r="J22" s="9">
        <v>0.1239</v>
      </c>
      <c r="K22" s="9">
        <v>0.1279</v>
      </c>
      <c r="L22" s="9">
        <v>0.0859</v>
      </c>
      <c r="M22" s="9">
        <v>0.0834</v>
      </c>
      <c r="N22" s="9">
        <v>0.0817</v>
      </c>
      <c r="O22" s="9">
        <v>0.0672</v>
      </c>
      <c r="P22" s="9">
        <v>0.0918</v>
      </c>
      <c r="Q22" s="9">
        <v>0.0843</v>
      </c>
      <c r="R22" s="9">
        <f t="shared" si="1"/>
        <v>0.11452999999999998</v>
      </c>
      <c r="S22" s="9">
        <f t="shared" si="2"/>
        <v>0.08168</v>
      </c>
      <c r="T22" s="9">
        <v>0.07</v>
      </c>
      <c r="U22" s="9"/>
      <c r="V22" s="9"/>
      <c r="W22" s="9">
        <v>0.08</v>
      </c>
      <c r="Y22" s="215"/>
      <c r="Z22" s="215"/>
      <c r="AA22" s="215"/>
      <c r="AC22" s="5" t="s">
        <v>384</v>
      </c>
      <c r="AD22" s="5" t="s">
        <v>385</v>
      </c>
    </row>
    <row r="23" spans="1:30" ht="15">
      <c r="A23" s="5" t="str">
        <f>+'Sch 10'!A23</f>
        <v>PNM Resources</v>
      </c>
      <c r="B23" s="9">
        <v>0.0459</v>
      </c>
      <c r="C23" s="9">
        <v>0.0859</v>
      </c>
      <c r="D23" s="9">
        <v>0.1172</v>
      </c>
      <c r="E23" s="9">
        <v>0.0854</v>
      </c>
      <c r="F23" s="9">
        <v>0.0989</v>
      </c>
      <c r="G23" s="9">
        <v>0.1</v>
      </c>
      <c r="H23" s="9">
        <v>0.1128</v>
      </c>
      <c r="I23" s="9">
        <v>0.0906</v>
      </c>
      <c r="J23" s="9">
        <v>0.1016</v>
      </c>
      <c r="K23" s="9">
        <v>0.1581</v>
      </c>
      <c r="L23" s="9">
        <v>0.0632</v>
      </c>
      <c r="M23" s="9">
        <v>0.0668</v>
      </c>
      <c r="N23" s="9">
        <v>0.0794</v>
      </c>
      <c r="O23" s="9">
        <v>0.0862</v>
      </c>
      <c r="P23" s="9">
        <v>0.0843</v>
      </c>
      <c r="Q23" s="9">
        <v>0.0606</v>
      </c>
      <c r="R23" s="9">
        <f t="shared" si="1"/>
        <v>0.09964</v>
      </c>
      <c r="S23" s="9">
        <f t="shared" si="2"/>
        <v>0.07546</v>
      </c>
      <c r="T23" s="9">
        <v>0.07</v>
      </c>
      <c r="U23" s="9"/>
      <c r="V23" s="9"/>
      <c r="W23" s="9">
        <v>0.07</v>
      </c>
      <c r="Y23" s="215"/>
      <c r="Z23" s="215"/>
      <c r="AA23" s="215"/>
      <c r="AC23" s="5" t="s">
        <v>386</v>
      </c>
      <c r="AD23" s="5" t="s">
        <v>387</v>
      </c>
    </row>
    <row r="24" spans="1:30" ht="15">
      <c r="A24" s="5" t="str">
        <f>+'Sch 10'!A24</f>
        <v>Westar Energy</v>
      </c>
      <c r="B24" s="9">
        <v>0.1097</v>
      </c>
      <c r="C24" s="9">
        <v>0.1238</v>
      </c>
      <c r="D24" s="9">
        <v>0.1068</v>
      </c>
      <c r="E24" s="9">
        <v>0.1114</v>
      </c>
      <c r="F24" s="9">
        <v>0.1043</v>
      </c>
      <c r="G24" s="9">
        <v>-0.0164</v>
      </c>
      <c r="H24" s="9">
        <v>0.0708</v>
      </c>
      <c r="I24" s="9">
        <v>0.0517</v>
      </c>
      <c r="J24" s="9">
        <v>0.0323</v>
      </c>
      <c r="K24" s="9">
        <v>-0.0218</v>
      </c>
      <c r="L24" s="9">
        <v>0.0504</v>
      </c>
      <c r="M24" s="9">
        <v>0.1061</v>
      </c>
      <c r="N24" s="9">
        <v>0.0771</v>
      </c>
      <c r="O24" s="9">
        <v>0.096</v>
      </c>
      <c r="P24" s="9">
        <v>0.111</v>
      </c>
      <c r="Q24" s="9">
        <v>0.1</v>
      </c>
      <c r="R24" s="9">
        <f t="shared" si="1"/>
        <v>0.06726</v>
      </c>
      <c r="S24" s="9">
        <f t="shared" si="2"/>
        <v>0.09803999999999999</v>
      </c>
      <c r="T24" s="9">
        <v>0.08</v>
      </c>
      <c r="U24" s="9"/>
      <c r="V24" s="9">
        <v>0.085</v>
      </c>
      <c r="W24" s="9">
        <v>0.09</v>
      </c>
      <c r="Y24" s="215"/>
      <c r="Z24" s="215"/>
      <c r="AA24" s="215"/>
      <c r="AC24" s="5" t="s">
        <v>391</v>
      </c>
      <c r="AD24" s="5" t="s">
        <v>392</v>
      </c>
    </row>
    <row r="25" spans="1:27" ht="15.75" thickBot="1">
      <c r="A25" s="21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Y25" s="215"/>
      <c r="Z25" s="215"/>
      <c r="AA25" s="215"/>
    </row>
    <row r="26" spans="1:27" ht="29.25" customHeight="1" thickTop="1">
      <c r="A26" s="217" t="s">
        <v>213</v>
      </c>
      <c r="B26" s="151">
        <f>AVERAGE(B18:B24)</f>
        <v>0.09975714285714286</v>
      </c>
      <c r="C26" s="151">
        <f aca="true" t="shared" si="3" ref="C26:W26">AVERAGE(C18:C24)</f>
        <v>0.1085142857142857</v>
      </c>
      <c r="D26" s="151">
        <f t="shared" si="3"/>
        <v>0.10785714285714286</v>
      </c>
      <c r="E26" s="151">
        <f t="shared" si="3"/>
        <v>0.10335714285714286</v>
      </c>
      <c r="F26" s="151">
        <f t="shared" si="3"/>
        <v>0.10537142857142857</v>
      </c>
      <c r="G26" s="151">
        <f t="shared" si="3"/>
        <v>0.09515714285714286</v>
      </c>
      <c r="H26" s="151">
        <f t="shared" si="3"/>
        <v>0.10638571428571428</v>
      </c>
      <c r="I26" s="151">
        <f t="shared" si="3"/>
        <v>0.08405714285714284</v>
      </c>
      <c r="J26" s="151">
        <f t="shared" si="3"/>
        <v>0.09687142857142858</v>
      </c>
      <c r="K26" s="151">
        <f t="shared" si="3"/>
        <v>0.08991428571428571</v>
      </c>
      <c r="L26" s="151">
        <f t="shared" si="3"/>
        <v>0.07785714285714286</v>
      </c>
      <c r="M26" s="151">
        <f t="shared" si="3"/>
        <v>0.08524285714285713</v>
      </c>
      <c r="N26" s="151">
        <f t="shared" si="3"/>
        <v>0.07382857142857142</v>
      </c>
      <c r="O26" s="151">
        <f t="shared" si="3"/>
        <v>0.07818571428571429</v>
      </c>
      <c r="P26" s="151">
        <f t="shared" si="3"/>
        <v>0.09018571428571429</v>
      </c>
      <c r="Q26" s="151">
        <f t="shared" si="3"/>
        <v>0.07284285714285714</v>
      </c>
      <c r="R26" s="152">
        <f t="shared" si="3"/>
        <v>0.09972428571428572</v>
      </c>
      <c r="S26" s="152">
        <f t="shared" si="3"/>
        <v>0.08005714285714285</v>
      </c>
      <c r="T26" s="152">
        <f t="shared" si="3"/>
        <v>0.08071428571428571</v>
      </c>
      <c r="U26" s="152" t="e">
        <f t="shared" si="3"/>
        <v>#DIV/0!</v>
      </c>
      <c r="V26" s="152">
        <f t="shared" si="3"/>
        <v>0.09333333333333334</v>
      </c>
      <c r="W26" s="152">
        <f t="shared" si="3"/>
        <v>0.09357142857142856</v>
      </c>
      <c r="Y26" s="215"/>
      <c r="Z26" s="215"/>
      <c r="AA26" s="215"/>
    </row>
    <row r="27" spans="1:27" ht="29.25" customHeight="1" thickBot="1">
      <c r="A27" s="218" t="s">
        <v>197</v>
      </c>
      <c r="B27" s="154">
        <f>MEDIAN(B18:B24)</f>
        <v>0.1074</v>
      </c>
      <c r="C27" s="154">
        <f aca="true" t="shared" si="4" ref="C27:Q27">MEDIAN(C18:C24)</f>
        <v>0.1087</v>
      </c>
      <c r="D27" s="154">
        <f t="shared" si="4"/>
        <v>0.1068</v>
      </c>
      <c r="E27" s="154">
        <f t="shared" si="4"/>
        <v>0.1062</v>
      </c>
      <c r="F27" s="154">
        <f t="shared" si="4"/>
        <v>0.105</v>
      </c>
      <c r="G27" s="154">
        <f t="shared" si="4"/>
        <v>0.105</v>
      </c>
      <c r="H27" s="154">
        <f t="shared" si="4"/>
        <v>0.113</v>
      </c>
      <c r="I27" s="154">
        <f t="shared" si="4"/>
        <v>0.0906</v>
      </c>
      <c r="J27" s="154">
        <f t="shared" si="4"/>
        <v>0.0995</v>
      </c>
      <c r="K27" s="154">
        <f t="shared" si="4"/>
        <v>0.119</v>
      </c>
      <c r="L27" s="154">
        <f t="shared" si="4"/>
        <v>0.084</v>
      </c>
      <c r="M27" s="154">
        <f t="shared" si="4"/>
        <v>0.0834</v>
      </c>
      <c r="N27" s="154">
        <f t="shared" si="4"/>
        <v>0.0794</v>
      </c>
      <c r="O27" s="154">
        <f t="shared" si="4"/>
        <v>0.081</v>
      </c>
      <c r="P27" s="154">
        <f t="shared" si="4"/>
        <v>0.0918</v>
      </c>
      <c r="Q27" s="154">
        <f t="shared" si="4"/>
        <v>0.069</v>
      </c>
      <c r="R27" s="155">
        <f>AVERAGE(B27:K27)</f>
        <v>0.10611999999999999</v>
      </c>
      <c r="S27" s="155">
        <f>AVERAGE(M27:Q27)</f>
        <v>0.08092</v>
      </c>
      <c r="T27" s="155">
        <f>MEDIAN(T18:T24)</f>
        <v>0.08</v>
      </c>
      <c r="U27" s="155" t="e">
        <f>MEDIAN(U18:U24)</f>
        <v>#NUM!</v>
      </c>
      <c r="V27" s="155">
        <f>MEDIAN(V18:V24)</f>
        <v>0.095</v>
      </c>
      <c r="W27" s="155">
        <f>MEDIAN(W18:W24)</f>
        <v>0.09</v>
      </c>
      <c r="Y27" s="215"/>
      <c r="Z27" s="215"/>
      <c r="AA27" s="215"/>
    </row>
    <row r="28" spans="2:27" ht="5.25" customHeight="1" thickTop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Y28" s="215"/>
      <c r="Z28" s="215"/>
      <c r="AA28" s="215"/>
    </row>
    <row r="29" spans="2:27" ht="5.2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Y29" s="215"/>
      <c r="Z29" s="215"/>
      <c r="AA29" s="215"/>
    </row>
    <row r="30" spans="1:27" ht="15.75">
      <c r="A30" s="33" t="str">
        <f>+'Sch 10'!A29</f>
        <v>S&amp;P Integrated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Y30" s="215"/>
      <c r="Z30" s="215"/>
      <c r="AA30" s="215"/>
    </row>
    <row r="31" spans="1:27" ht="15.75">
      <c r="A31" s="33" t="str">
        <f>'[22]Sch 10'!A31</f>
        <v>Electric Utilities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215"/>
      <c r="Z31" s="215"/>
      <c r="AA31" s="215"/>
    </row>
    <row r="32" spans="1:27" ht="15.75">
      <c r="A32" s="3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Y32" s="215"/>
      <c r="Z32" s="215"/>
      <c r="AA32" s="215"/>
    </row>
    <row r="33" spans="1:30" ht="15">
      <c r="A33" s="34" t="str">
        <f>+'Sch 10'!A32</f>
        <v>ALLETE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0.1202</v>
      </c>
      <c r="P33" s="9">
        <v>0.1321</v>
      </c>
      <c r="Q33" s="9">
        <v>0.134</v>
      </c>
      <c r="R33" s="9"/>
      <c r="S33" s="9">
        <f aca="true" t="shared" si="5" ref="S33:S57">AVERAGE(M33:Q33)</f>
        <v>0.12876666666666667</v>
      </c>
      <c r="T33" s="9">
        <v>0.095</v>
      </c>
      <c r="U33" s="9">
        <v>0.045</v>
      </c>
      <c r="V33" s="9">
        <v>0.095</v>
      </c>
      <c r="W33" s="9">
        <v>0.09</v>
      </c>
      <c r="X33" s="214"/>
      <c r="Y33" s="215"/>
      <c r="Z33" s="215"/>
      <c r="AA33" s="215"/>
      <c r="AC33" s="5" t="s">
        <v>241</v>
      </c>
      <c r="AD33" s="5" t="s">
        <v>241</v>
      </c>
    </row>
    <row r="34" spans="1:30" ht="15">
      <c r="A34" s="34" t="str">
        <f>+'Sch 10'!A33</f>
        <v>Alliant Energy</v>
      </c>
      <c r="B34" s="9">
        <v>0.1216</v>
      </c>
      <c r="C34" s="9">
        <v>0.1148</v>
      </c>
      <c r="D34" s="9">
        <v>0.1161</v>
      </c>
      <c r="E34" s="9">
        <v>0.1199</v>
      </c>
      <c r="F34" s="9">
        <v>0.1159</v>
      </c>
      <c r="G34" s="9">
        <v>0.0963</v>
      </c>
      <c r="H34" s="9">
        <v>0.0623</v>
      </c>
      <c r="I34" s="9">
        <v>0.0913</v>
      </c>
      <c r="J34" s="9">
        <v>0.0931</v>
      </c>
      <c r="K34" s="9">
        <v>0.1026</v>
      </c>
      <c r="L34" s="9">
        <v>0.0572</v>
      </c>
      <c r="M34" s="9">
        <v>0.0761</v>
      </c>
      <c r="N34" s="9">
        <v>0.0851</v>
      </c>
      <c r="O34" s="9">
        <v>0.1028</v>
      </c>
      <c r="P34" s="9">
        <v>0.0943</v>
      </c>
      <c r="Q34" s="9">
        <v>0.114</v>
      </c>
      <c r="R34" s="9">
        <f aca="true" t="shared" si="6" ref="R34:R57">AVERAGE(B34:K34)</f>
        <v>0.10339000000000001</v>
      </c>
      <c r="S34" s="9">
        <f t="shared" si="5"/>
        <v>0.09446</v>
      </c>
      <c r="T34" s="9">
        <v>0.115</v>
      </c>
      <c r="U34" s="9"/>
      <c r="V34" s="9">
        <v>0.105</v>
      </c>
      <c r="W34" s="9">
        <v>0.1</v>
      </c>
      <c r="Y34" s="215"/>
      <c r="Z34" s="215"/>
      <c r="AA34" s="215"/>
      <c r="AC34" s="5" t="s">
        <v>393</v>
      </c>
      <c r="AD34" s="5" t="s">
        <v>394</v>
      </c>
    </row>
    <row r="35" spans="1:30" ht="15">
      <c r="A35" s="34" t="str">
        <f>+'Sch 10'!A34</f>
        <v>American Electric Power</v>
      </c>
      <c r="B35" s="9">
        <v>0.1107</v>
      </c>
      <c r="C35" s="9">
        <v>0.1187</v>
      </c>
      <c r="D35" s="9">
        <v>0.1196</v>
      </c>
      <c r="E35" s="9">
        <v>0.1237</v>
      </c>
      <c r="F35" s="9">
        <v>0.132</v>
      </c>
      <c r="G35" s="9">
        <v>0.1345</v>
      </c>
      <c r="H35" s="9">
        <v>0.1127</v>
      </c>
      <c r="I35" s="9">
        <v>0.1054</v>
      </c>
      <c r="J35" s="9">
        <v>0.0409</v>
      </c>
      <c r="K35" s="9">
        <v>0.1294</v>
      </c>
      <c r="L35" s="9">
        <v>0.1233</v>
      </c>
      <c r="M35" s="9">
        <v>0.1241</v>
      </c>
      <c r="N35" s="9">
        <v>0.1265</v>
      </c>
      <c r="O35" s="9">
        <v>0.1189</v>
      </c>
      <c r="P35" s="9">
        <v>0.1222</v>
      </c>
      <c r="Q35" s="9">
        <v>0.117</v>
      </c>
      <c r="R35" s="9">
        <f t="shared" si="6"/>
        <v>0.11276000000000001</v>
      </c>
      <c r="S35" s="9">
        <f t="shared" si="5"/>
        <v>0.12174</v>
      </c>
      <c r="T35" s="9">
        <v>0.115</v>
      </c>
      <c r="U35" s="9"/>
      <c r="V35" s="9">
        <v>0.115</v>
      </c>
      <c r="W35" s="9">
        <v>0.12</v>
      </c>
      <c r="Y35" s="215"/>
      <c r="Z35" s="45"/>
      <c r="AA35" s="215"/>
      <c r="AC35" s="5" t="s">
        <v>395</v>
      </c>
      <c r="AD35" s="5" t="s">
        <v>396</v>
      </c>
    </row>
    <row r="36" spans="1:30" ht="15">
      <c r="A36" s="34" t="str">
        <f>+'Sch 10'!A35</f>
        <v>Ameren Corp.</v>
      </c>
      <c r="B36" s="9">
        <v>0.127</v>
      </c>
      <c r="C36" s="9">
        <v>0.129</v>
      </c>
      <c r="D36" s="9">
        <v>0.137</v>
      </c>
      <c r="E36" s="9">
        <v>0.131</v>
      </c>
      <c r="F36" s="9">
        <v>0.125</v>
      </c>
      <c r="G36" s="9">
        <v>0.108</v>
      </c>
      <c r="H36" s="9">
        <v>0.127</v>
      </c>
      <c r="I36" s="9">
        <v>0.125</v>
      </c>
      <c r="J36" s="9">
        <v>0.145</v>
      </c>
      <c r="K36" s="9">
        <v>0.143</v>
      </c>
      <c r="L36" s="9">
        <v>0.108</v>
      </c>
      <c r="M36" s="9">
        <v>0.122</v>
      </c>
      <c r="N36" s="9">
        <v>0.1</v>
      </c>
      <c r="O36" s="9">
        <v>0.103</v>
      </c>
      <c r="P36" s="9">
        <v>0.085</v>
      </c>
      <c r="Q36" s="9">
        <v>0.093</v>
      </c>
      <c r="R36" s="9">
        <f t="shared" si="6"/>
        <v>0.12969999999999998</v>
      </c>
      <c r="S36" s="9">
        <f t="shared" si="5"/>
        <v>0.1006</v>
      </c>
      <c r="T36" s="9">
        <v>0.095</v>
      </c>
      <c r="U36" s="9"/>
      <c r="V36" s="9">
        <v>0.095</v>
      </c>
      <c r="W36" s="9">
        <v>0.095</v>
      </c>
      <c r="Y36" s="215"/>
      <c r="Z36" s="215"/>
      <c r="AA36" s="215"/>
      <c r="AC36" s="5" t="s">
        <v>397</v>
      </c>
      <c r="AD36" s="5" t="s">
        <v>398</v>
      </c>
    </row>
    <row r="37" spans="1:30" ht="15">
      <c r="A37" s="34" t="str">
        <f>+'Sch 10'!A36</f>
        <v>Cleco</v>
      </c>
      <c r="B37" s="9">
        <v>0.1404</v>
      </c>
      <c r="C37" s="9">
        <v>0.124</v>
      </c>
      <c r="D37" s="9">
        <v>0.1293</v>
      </c>
      <c r="E37" s="9">
        <v>0.134</v>
      </c>
      <c r="F37" s="9">
        <v>0.1382</v>
      </c>
      <c r="G37" s="9">
        <v>0.1284</v>
      </c>
      <c r="H37" s="9">
        <v>0.1262</v>
      </c>
      <c r="I37" s="9">
        <v>0.1286</v>
      </c>
      <c r="J37" s="9">
        <v>0.1499</v>
      </c>
      <c r="K37" s="9">
        <v>0.1457</v>
      </c>
      <c r="L37" s="9">
        <v>0.1354</v>
      </c>
      <c r="M37" s="9">
        <v>0.1153</v>
      </c>
      <c r="N37" s="9">
        <v>0.1262</v>
      </c>
      <c r="O37" s="9">
        <v>0.1158</v>
      </c>
      <c r="P37" s="9">
        <v>0.0941</v>
      </c>
      <c r="Q37" s="9">
        <v>0.082</v>
      </c>
      <c r="R37" s="9">
        <f t="shared" si="6"/>
        <v>0.13446999999999998</v>
      </c>
      <c r="S37" s="9">
        <f t="shared" si="5"/>
        <v>0.10668</v>
      </c>
      <c r="T37" s="9">
        <v>0.09</v>
      </c>
      <c r="U37" s="9"/>
      <c r="V37" s="9">
        <v>0.095</v>
      </c>
      <c r="W37" s="9">
        <v>0.11</v>
      </c>
      <c r="Y37" s="215"/>
      <c r="Z37" s="215"/>
      <c r="AA37" s="215"/>
      <c r="AC37" s="5" t="s">
        <v>175</v>
      </c>
      <c r="AD37" s="5" t="s">
        <v>399</v>
      </c>
    </row>
    <row r="38" spans="1:30" ht="15">
      <c r="A38" s="34" t="str">
        <f>+'Sch 10'!A37</f>
        <v>DTE Energy</v>
      </c>
      <c r="B38" s="9">
        <v>0.1869</v>
      </c>
      <c r="C38" s="9">
        <v>0.1532</v>
      </c>
      <c r="D38" s="9">
        <v>0.1177</v>
      </c>
      <c r="E38" s="9">
        <v>0.1295</v>
      </c>
      <c r="F38" s="9">
        <v>0.1181</v>
      </c>
      <c r="G38" s="9">
        <v>0.1193</v>
      </c>
      <c r="H38" s="9">
        <v>0.1219</v>
      </c>
      <c r="I38" s="9">
        <v>0.127</v>
      </c>
      <c r="J38" s="9">
        <v>0.1187</v>
      </c>
      <c r="K38" s="9">
        <v>0.0759</v>
      </c>
      <c r="L38" s="9">
        <v>0.1374</v>
      </c>
      <c r="M38" s="9">
        <v>0.0972</v>
      </c>
      <c r="N38" s="9">
        <v>0.0807</v>
      </c>
      <c r="O38" s="9">
        <v>0.1017</v>
      </c>
      <c r="P38" s="9">
        <v>0.0749</v>
      </c>
      <c r="Q38" s="9">
        <v>0.077</v>
      </c>
      <c r="R38" s="9">
        <f t="shared" si="6"/>
        <v>0.12682</v>
      </c>
      <c r="S38" s="9">
        <f t="shared" si="5"/>
        <v>0.08630000000000002</v>
      </c>
      <c r="T38" s="50">
        <v>0.08</v>
      </c>
      <c r="U38" s="50"/>
      <c r="V38" s="50">
        <v>0.085</v>
      </c>
      <c r="W38" s="50">
        <v>0.09</v>
      </c>
      <c r="Y38" s="215"/>
      <c r="Z38" s="215"/>
      <c r="AA38" s="215"/>
      <c r="AC38" s="5" t="s">
        <v>401</v>
      </c>
      <c r="AD38" s="5" t="s">
        <v>402</v>
      </c>
    </row>
    <row r="39" spans="1:30" ht="15">
      <c r="A39" s="34" t="str">
        <f>+'Sch 10'!A38</f>
        <v>Edison International</v>
      </c>
      <c r="B39" s="9">
        <v>0.1335</v>
      </c>
      <c r="C39" s="9">
        <v>0.118</v>
      </c>
      <c r="D39" s="9">
        <v>0.1154</v>
      </c>
      <c r="E39" s="9">
        <v>0.1183</v>
      </c>
      <c r="F39" s="9">
        <v>0.1115</v>
      </c>
      <c r="G39" s="9">
        <v>0.1175</v>
      </c>
      <c r="H39" s="9">
        <v>0.1271</v>
      </c>
      <c r="I39" s="9">
        <v>0.1373</v>
      </c>
      <c r="J39" s="9" t="s">
        <v>403</v>
      </c>
      <c r="K39" s="9">
        <v>0.1488</v>
      </c>
      <c r="L39" s="9">
        <v>0.1538</v>
      </c>
      <c r="M39" s="9">
        <v>0.1579</v>
      </c>
      <c r="N39" s="9">
        <v>0.0393</v>
      </c>
      <c r="O39" s="9">
        <v>0.1739</v>
      </c>
      <c r="P39" s="9">
        <v>0.1492</v>
      </c>
      <c r="Q39" s="9">
        <v>0.1298</v>
      </c>
      <c r="R39" s="9">
        <f t="shared" si="6"/>
        <v>0.12526666666666667</v>
      </c>
      <c r="S39" s="9">
        <f t="shared" si="5"/>
        <v>0.13002</v>
      </c>
      <c r="T39" s="9">
        <v>0.125</v>
      </c>
      <c r="U39" s="9"/>
      <c r="V39" s="9">
        <v>0.12</v>
      </c>
      <c r="W39" s="9">
        <v>0.105</v>
      </c>
      <c r="Y39" s="215"/>
      <c r="Z39" s="215"/>
      <c r="AA39" s="215"/>
      <c r="AC39" s="5" t="s">
        <v>404</v>
      </c>
      <c r="AD39" s="5" t="s">
        <v>405</v>
      </c>
    </row>
    <row r="40" spans="1:30" ht="15">
      <c r="A40" s="34" t="str">
        <f>+'Sch 10'!A39</f>
        <v>Empire District Electric</v>
      </c>
      <c r="B40" s="9">
        <f>+B19</f>
        <v>0.1034</v>
      </c>
      <c r="C40" s="9">
        <f aca="true" t="shared" si="7" ref="C40:Q40">+C19</f>
        <v>0.0941</v>
      </c>
      <c r="D40" s="9">
        <f t="shared" si="7"/>
        <v>0.1063</v>
      </c>
      <c r="E40" s="9">
        <f t="shared" si="7"/>
        <v>0.0938</v>
      </c>
      <c r="F40" s="9">
        <f t="shared" si="7"/>
        <v>0.0943</v>
      </c>
      <c r="G40" s="9">
        <f t="shared" si="7"/>
        <v>0.0992</v>
      </c>
      <c r="H40" s="9">
        <f t="shared" si="7"/>
        <v>0.1155</v>
      </c>
      <c r="I40" s="9">
        <f t="shared" si="7"/>
        <v>0.084</v>
      </c>
      <c r="J40" s="9">
        <f t="shared" si="7"/>
        <v>0.0995</v>
      </c>
      <c r="K40" s="9">
        <f t="shared" si="7"/>
        <v>0.0433</v>
      </c>
      <c r="L40" s="9">
        <f t="shared" si="7"/>
        <v>0.084</v>
      </c>
      <c r="M40" s="9">
        <f t="shared" si="7"/>
        <v>0.0867</v>
      </c>
      <c r="N40" s="9">
        <f t="shared" si="7"/>
        <v>0.057</v>
      </c>
      <c r="O40" s="9">
        <f t="shared" si="7"/>
        <v>0.0617</v>
      </c>
      <c r="P40" s="9">
        <f t="shared" si="7"/>
        <v>0.0922</v>
      </c>
      <c r="Q40" s="9">
        <f t="shared" si="7"/>
        <v>0.069</v>
      </c>
      <c r="R40" s="9">
        <f t="shared" si="6"/>
        <v>0.09334</v>
      </c>
      <c r="S40" s="9">
        <f t="shared" si="5"/>
        <v>0.07332</v>
      </c>
      <c r="T40" s="9">
        <f>+T19</f>
        <v>0.085</v>
      </c>
      <c r="U40" s="9">
        <f>+U19</f>
        <v>0</v>
      </c>
      <c r="V40" s="9">
        <f>+V19</f>
        <v>0.095</v>
      </c>
      <c r="W40" s="9">
        <f>+W19</f>
        <v>0.11</v>
      </c>
      <c r="Y40" s="215"/>
      <c r="Z40" s="215"/>
      <c r="AA40" s="215"/>
      <c r="AC40" s="5" t="s">
        <v>380</v>
      </c>
      <c r="AD40" s="5" t="s">
        <v>381</v>
      </c>
    </row>
    <row r="41" spans="1:30" ht="15">
      <c r="A41" s="34" t="str">
        <f>+'Sch 10'!A40</f>
        <v>Energy East</v>
      </c>
      <c r="B41" s="9">
        <v>0.1067</v>
      </c>
      <c r="C41" s="9">
        <v>0.091</v>
      </c>
      <c r="D41" s="9">
        <v>0.1031</v>
      </c>
      <c r="E41" s="9">
        <v>0.1049</v>
      </c>
      <c r="F41" s="9">
        <v>0.1012</v>
      </c>
      <c r="G41" s="9">
        <v>0.099</v>
      </c>
      <c r="H41" s="9">
        <v>0.112</v>
      </c>
      <c r="I41" s="9">
        <v>0.1444</v>
      </c>
      <c r="J41" s="9">
        <v>0.1509</v>
      </c>
      <c r="K41" s="9">
        <v>0.134</v>
      </c>
      <c r="L41" s="9">
        <v>0.0931</v>
      </c>
      <c r="M41" s="9">
        <v>0.0828</v>
      </c>
      <c r="N41" s="9">
        <v>0.0913</v>
      </c>
      <c r="O41" s="9">
        <v>0.0932</v>
      </c>
      <c r="P41" s="9">
        <v>0.0907</v>
      </c>
      <c r="Q41" s="9">
        <v>0.0812</v>
      </c>
      <c r="R41" s="9">
        <f t="shared" si="6"/>
        <v>0.11471999999999997</v>
      </c>
      <c r="S41" s="9">
        <f t="shared" si="5"/>
        <v>0.08784</v>
      </c>
      <c r="T41" s="9">
        <v>0.08</v>
      </c>
      <c r="U41" s="9"/>
      <c r="V41" s="9">
        <v>0.08</v>
      </c>
      <c r="W41" s="9">
        <v>0.08</v>
      </c>
      <c r="Y41" s="215"/>
      <c r="Z41" s="215"/>
      <c r="AA41" s="215"/>
      <c r="AC41" s="5" t="s">
        <v>406</v>
      </c>
      <c r="AD41" s="5" t="s">
        <v>407</v>
      </c>
    </row>
    <row r="42" spans="1:30" ht="15">
      <c r="A42" s="34" t="str">
        <f>+'Sch 10'!A41</f>
        <v>Entergy</v>
      </c>
      <c r="B42" s="9">
        <v>0.0988</v>
      </c>
      <c r="C42" s="9">
        <v>0.0994</v>
      </c>
      <c r="D42" s="9">
        <v>0.0562</v>
      </c>
      <c r="E42" s="9">
        <v>0.0756</v>
      </c>
      <c r="F42" s="9">
        <v>0.0871</v>
      </c>
      <c r="G42" s="9">
        <v>0.0807</v>
      </c>
      <c r="H42" s="9">
        <v>0.0793</v>
      </c>
      <c r="I42" s="9">
        <v>0.0781</v>
      </c>
      <c r="J42" s="9">
        <v>0.0979</v>
      </c>
      <c r="K42" s="9">
        <v>0.0938</v>
      </c>
      <c r="L42" s="9">
        <v>0.1066</v>
      </c>
      <c r="M42" s="9">
        <v>0.1007</v>
      </c>
      <c r="N42" s="9">
        <v>0.103</v>
      </c>
      <c r="O42" s="9">
        <v>0.119</v>
      </c>
      <c r="P42" s="9">
        <v>0.1408</v>
      </c>
      <c r="Q42" s="9">
        <v>0.138</v>
      </c>
      <c r="R42" s="9">
        <f t="shared" si="6"/>
        <v>0.08469</v>
      </c>
      <c r="S42" s="9">
        <f t="shared" si="5"/>
        <v>0.1203</v>
      </c>
      <c r="T42" s="9">
        <v>0.165</v>
      </c>
      <c r="U42" s="9"/>
      <c r="V42" s="9">
        <v>0.15</v>
      </c>
      <c r="W42" s="9">
        <v>0.14</v>
      </c>
      <c r="Y42" s="215"/>
      <c r="Z42" s="215"/>
      <c r="AA42" s="215"/>
      <c r="AC42" s="5" t="s">
        <v>247</v>
      </c>
      <c r="AD42" s="5" t="s">
        <v>408</v>
      </c>
    </row>
    <row r="43" spans="1:27" ht="15">
      <c r="A43" s="34" t="str">
        <f>+'Sch 10'!A42</f>
        <v>FirstEnergy Corp</v>
      </c>
      <c r="B43" s="9">
        <v>0.109</v>
      </c>
      <c r="C43" s="9">
        <v>0.1194</v>
      </c>
      <c r="D43" s="9">
        <v>0.1318</v>
      </c>
      <c r="E43" s="9">
        <v>0.1324</v>
      </c>
      <c r="F43" s="9">
        <v>0.13</v>
      </c>
      <c r="G43" s="9">
        <v>0.1125</v>
      </c>
      <c r="H43" s="9">
        <v>0.1059</v>
      </c>
      <c r="I43" s="9">
        <v>0.1302</v>
      </c>
      <c r="J43" s="9">
        <v>0.1333</v>
      </c>
      <c r="K43" s="9">
        <v>0.1246</v>
      </c>
      <c r="L43" s="9">
        <v>0.1041</v>
      </c>
      <c r="M43" s="9">
        <v>0.0599</v>
      </c>
      <c r="N43" s="9">
        <v>0.1083</v>
      </c>
      <c r="O43" s="9">
        <v>0.1054</v>
      </c>
      <c r="P43" s="9">
        <v>0.136</v>
      </c>
      <c r="Q43" s="9">
        <v>0.1485</v>
      </c>
      <c r="R43" s="9">
        <f t="shared" si="6"/>
        <v>0.12291</v>
      </c>
      <c r="S43" s="9">
        <f t="shared" si="5"/>
        <v>0.11161999999999998</v>
      </c>
      <c r="T43" s="50">
        <v>0.14</v>
      </c>
      <c r="U43" s="50"/>
      <c r="V43" s="50">
        <v>0.14</v>
      </c>
      <c r="W43" s="50">
        <v>0.14</v>
      </c>
      <c r="Y43" s="215"/>
      <c r="Z43" s="215"/>
      <c r="AA43" s="215"/>
    </row>
    <row r="44" spans="1:30" ht="15">
      <c r="A44" s="34" t="str">
        <f>+'Sch 10'!A43</f>
        <v>FPL Group</v>
      </c>
      <c r="B44" s="9">
        <v>0.131</v>
      </c>
      <c r="C44" s="9">
        <v>0.1297</v>
      </c>
      <c r="D44" s="9">
        <v>0.132</v>
      </c>
      <c r="E44" s="9">
        <v>0.1366</v>
      </c>
      <c r="F44" s="9">
        <v>0.1366</v>
      </c>
      <c r="G44" s="9">
        <v>0.1383</v>
      </c>
      <c r="H44" s="9">
        <v>0.1404</v>
      </c>
      <c r="I44" s="9">
        <v>0.1396</v>
      </c>
      <c r="J44" s="9">
        <v>0.1338</v>
      </c>
      <c r="K44" s="9">
        <v>0.14</v>
      </c>
      <c r="L44" s="9">
        <v>0.1163</v>
      </c>
      <c r="M44" s="9">
        <v>0.1347</v>
      </c>
      <c r="N44" s="9">
        <v>0.1256</v>
      </c>
      <c r="O44" s="9">
        <v>0.1111</v>
      </c>
      <c r="P44" s="9">
        <v>0.1404</v>
      </c>
      <c r="Q44" s="9">
        <v>0.14</v>
      </c>
      <c r="R44" s="9">
        <f t="shared" si="6"/>
        <v>0.1358</v>
      </c>
      <c r="S44" s="9">
        <f t="shared" si="5"/>
        <v>0.13035999999999998</v>
      </c>
      <c r="T44" s="9">
        <v>0.13</v>
      </c>
      <c r="U44" s="9"/>
      <c r="V44" s="9">
        <v>0.135</v>
      </c>
      <c r="W44" s="9">
        <v>0.13</v>
      </c>
      <c r="Y44" s="215"/>
      <c r="Z44" s="215"/>
      <c r="AA44" s="215"/>
      <c r="AC44" s="5" t="s">
        <v>409</v>
      </c>
      <c r="AD44" s="5" t="s">
        <v>410</v>
      </c>
    </row>
    <row r="45" spans="1:30" ht="15">
      <c r="A45" s="34" t="str">
        <f>+'Sch 10'!A44</f>
        <v>Hawaiian Electric Industries</v>
      </c>
      <c r="B45" s="9">
        <f>+B20</f>
        <v>0.1093</v>
      </c>
      <c r="C45" s="9">
        <f aca="true" t="shared" si="8" ref="C45:Q45">+C20</f>
        <v>0.1049</v>
      </c>
      <c r="D45" s="9">
        <f t="shared" si="8"/>
        <v>0.1105</v>
      </c>
      <c r="E45" s="9">
        <f t="shared" si="8"/>
        <v>0.1101</v>
      </c>
      <c r="F45" s="9">
        <f t="shared" si="8"/>
        <v>0.105</v>
      </c>
      <c r="G45" s="9">
        <f t="shared" si="8"/>
        <v>0.1091</v>
      </c>
      <c r="H45" s="9">
        <f t="shared" si="8"/>
        <v>0.1154</v>
      </c>
      <c r="I45" s="9">
        <f t="shared" si="8"/>
        <v>0.1114</v>
      </c>
      <c r="J45" s="9">
        <f t="shared" si="8"/>
        <v>0.0981</v>
      </c>
      <c r="K45" s="9">
        <f t="shared" si="8"/>
        <v>0.1241</v>
      </c>
      <c r="L45" s="9">
        <f t="shared" si="8"/>
        <v>0.1188</v>
      </c>
      <c r="M45" s="9">
        <f t="shared" si="8"/>
        <v>0.1106</v>
      </c>
      <c r="N45" s="9">
        <f t="shared" si="8"/>
        <v>0.0926</v>
      </c>
      <c r="O45" s="9">
        <f t="shared" si="8"/>
        <v>0.0972</v>
      </c>
      <c r="P45" s="9">
        <f t="shared" si="8"/>
        <v>0.093</v>
      </c>
      <c r="Q45" s="9">
        <f t="shared" si="8"/>
        <v>0.0666</v>
      </c>
      <c r="R45" s="9">
        <f t="shared" si="6"/>
        <v>0.10978999999999998</v>
      </c>
      <c r="S45" s="9">
        <f t="shared" si="5"/>
        <v>0.092</v>
      </c>
      <c r="T45" s="9">
        <f>+T20</f>
        <v>0.09</v>
      </c>
      <c r="U45" s="9">
        <f>+U20</f>
        <v>0</v>
      </c>
      <c r="V45" s="9"/>
      <c r="W45" s="9">
        <f>+W20</f>
        <v>0.11</v>
      </c>
      <c r="Y45" s="215"/>
      <c r="Z45" s="215"/>
      <c r="AA45" s="215"/>
      <c r="AC45" s="5" t="s">
        <v>382</v>
      </c>
      <c r="AD45" s="5" t="s">
        <v>383</v>
      </c>
    </row>
    <row r="46" spans="1:30" ht="15">
      <c r="A46" s="34" t="str">
        <f>+'Sch 10'!A45</f>
        <v>IDACORP</v>
      </c>
      <c r="B46" s="9">
        <v>0.0903</v>
      </c>
      <c r="C46" s="9">
        <v>0.1121</v>
      </c>
      <c r="D46" s="9">
        <v>0.1006</v>
      </c>
      <c r="E46" s="9">
        <v>0.116</v>
      </c>
      <c r="F46" s="9">
        <v>0.1207</v>
      </c>
      <c r="G46" s="9">
        <v>0.1241</v>
      </c>
      <c r="H46" s="9">
        <v>0.1236</v>
      </c>
      <c r="I46" s="9">
        <v>0.1232</v>
      </c>
      <c r="J46" s="9">
        <v>0.1673</v>
      </c>
      <c r="K46" s="9">
        <v>0.149</v>
      </c>
      <c r="L46" s="9">
        <v>0.0706</v>
      </c>
      <c r="M46" s="9">
        <v>0.0422</v>
      </c>
      <c r="N46" s="9">
        <v>0.0819</v>
      </c>
      <c r="O46" s="9">
        <v>0.073</v>
      </c>
      <c r="P46" s="9">
        <v>0.0944</v>
      </c>
      <c r="Q46" s="9">
        <v>0.0772</v>
      </c>
      <c r="R46" s="9">
        <f t="shared" si="6"/>
        <v>0.12269000000000001</v>
      </c>
      <c r="S46" s="9">
        <f t="shared" si="5"/>
        <v>0.07374</v>
      </c>
      <c r="T46" s="9">
        <v>0.075</v>
      </c>
      <c r="U46" s="9"/>
      <c r="V46" s="9"/>
      <c r="W46" s="9">
        <v>0.07</v>
      </c>
      <c r="Y46" s="215"/>
      <c r="Z46" s="215"/>
      <c r="AA46" s="215"/>
      <c r="AC46" s="5" t="s">
        <v>191</v>
      </c>
      <c r="AD46" s="5" t="s">
        <v>191</v>
      </c>
    </row>
    <row r="47" spans="1:27" ht="15">
      <c r="A47" s="34" t="str">
        <f>+'Sch 10'!A46</f>
        <v>MGE Corp</v>
      </c>
      <c r="B47" s="9">
        <v>0.131</v>
      </c>
      <c r="C47" s="9">
        <v>0.133</v>
      </c>
      <c r="D47" s="9">
        <v>0.131</v>
      </c>
      <c r="E47" s="9">
        <v>0.125</v>
      </c>
      <c r="F47" s="9">
        <v>0.071</v>
      </c>
      <c r="G47" s="9">
        <v>0.125</v>
      </c>
      <c r="H47" s="9">
        <v>0.122</v>
      </c>
      <c r="I47" s="9">
        <v>0.13</v>
      </c>
      <c r="J47" s="9">
        <v>0.142</v>
      </c>
      <c r="K47" s="9">
        <v>0.131</v>
      </c>
      <c r="L47" s="9">
        <v>0.132</v>
      </c>
      <c r="M47" s="9">
        <v>0.125</v>
      </c>
      <c r="N47" s="9">
        <v>0.114</v>
      </c>
      <c r="O47" s="9">
        <v>0.094</v>
      </c>
      <c r="P47" s="9">
        <v>0.119</v>
      </c>
      <c r="Q47" s="9">
        <v>0.121</v>
      </c>
      <c r="R47" s="9">
        <f>AVERAGE(B47:Q47)</f>
        <v>0.121625</v>
      </c>
      <c r="S47" s="9">
        <f t="shared" si="5"/>
        <v>0.1146</v>
      </c>
      <c r="T47" s="9">
        <v>0.115</v>
      </c>
      <c r="U47" s="9"/>
      <c r="V47" s="9">
        <v>0.115</v>
      </c>
      <c r="W47" s="9">
        <v>0.12</v>
      </c>
      <c r="Y47" s="215"/>
      <c r="Z47" s="215"/>
      <c r="AA47" s="215"/>
    </row>
    <row r="48" spans="1:30" ht="15">
      <c r="A48" s="34" t="str">
        <f>+'Sch 10'!A47</f>
        <v>Northeast Utilities</v>
      </c>
      <c r="B48" s="9">
        <v>0.126</v>
      </c>
      <c r="C48" s="9">
        <v>0.094</v>
      </c>
      <c r="D48" s="9">
        <v>0.126</v>
      </c>
      <c r="E48" s="9">
        <v>0.119</v>
      </c>
      <c r="F48" s="9">
        <v>0.001</v>
      </c>
      <c r="G48" s="9">
        <v>-0.062</v>
      </c>
      <c r="H48" s="9">
        <v>-0.023</v>
      </c>
      <c r="I48" s="9">
        <v>-0.073</v>
      </c>
      <c r="J48" s="9">
        <v>-0.013</v>
      </c>
      <c r="K48" s="9">
        <v>0.086</v>
      </c>
      <c r="L48" s="9">
        <v>0.064</v>
      </c>
      <c r="M48" s="9">
        <v>0.071</v>
      </c>
      <c r="N48" s="9">
        <v>0.051</v>
      </c>
      <c r="O48" s="9">
        <v>0.054</v>
      </c>
      <c r="P48" s="9">
        <v>0.045</v>
      </c>
      <c r="Q48" s="9">
        <v>0.085</v>
      </c>
      <c r="R48" s="9">
        <f t="shared" si="6"/>
        <v>0.03809999999999999</v>
      </c>
      <c r="S48" s="9">
        <f t="shared" si="5"/>
        <v>0.0612</v>
      </c>
      <c r="T48" s="9">
        <v>0.09</v>
      </c>
      <c r="U48" s="9"/>
      <c r="V48" s="9">
        <v>0.085</v>
      </c>
      <c r="W48" s="9">
        <v>0.085</v>
      </c>
      <c r="Y48" s="215"/>
      <c r="Z48" s="215"/>
      <c r="AA48" s="215"/>
      <c r="AC48" s="5" t="s">
        <v>411</v>
      </c>
      <c r="AD48" s="5" t="s">
        <v>412</v>
      </c>
    </row>
    <row r="49" spans="1:30" ht="15">
      <c r="A49" s="34" t="str">
        <f>+'Sch 10'!A48</f>
        <v>PG&amp;E</v>
      </c>
      <c r="B49" s="9">
        <v>0.136</v>
      </c>
      <c r="C49" s="9">
        <v>0.119</v>
      </c>
      <c r="D49" s="9">
        <v>0.139</v>
      </c>
      <c r="E49" s="9">
        <v>0.144</v>
      </c>
      <c r="F49" s="9">
        <v>0.104</v>
      </c>
      <c r="G49" s="9">
        <v>0.075</v>
      </c>
      <c r="H49" s="9">
        <v>0.089</v>
      </c>
      <c r="I49" s="9">
        <v>0.112</v>
      </c>
      <c r="J49" s="9"/>
      <c r="K49" s="9">
        <v>0.301</v>
      </c>
      <c r="L49" s="9">
        <v>-0.221</v>
      </c>
      <c r="M49" s="9">
        <v>0.209</v>
      </c>
      <c r="N49" s="9">
        <v>0.138</v>
      </c>
      <c r="O49" s="9">
        <v>0.117</v>
      </c>
      <c r="P49" s="9">
        <v>0.137</v>
      </c>
      <c r="Q49" s="9">
        <v>0.128</v>
      </c>
      <c r="R49" s="9">
        <f t="shared" si="6"/>
        <v>0.13544444444444442</v>
      </c>
      <c r="S49" s="9">
        <f t="shared" si="5"/>
        <v>0.14579999999999999</v>
      </c>
      <c r="T49" s="9">
        <v>0.12</v>
      </c>
      <c r="U49" s="9"/>
      <c r="V49" s="9"/>
      <c r="W49" s="9">
        <v>0.11</v>
      </c>
      <c r="Y49" s="215"/>
      <c r="Z49" s="215"/>
      <c r="AA49" s="215"/>
      <c r="AC49" s="5" t="s">
        <v>384</v>
      </c>
      <c r="AD49" s="5" t="s">
        <v>385</v>
      </c>
    </row>
    <row r="50" spans="1:30" ht="15">
      <c r="A50" s="34" t="str">
        <f>+'Sch 10'!A49</f>
        <v>Pinnacle West</v>
      </c>
      <c r="B50" s="9">
        <f>+B22</f>
        <v>0.1074</v>
      </c>
      <c r="C50" s="9">
        <f aca="true" t="shared" si="9" ref="C50:Q50">+C22</f>
        <v>0.1087</v>
      </c>
      <c r="D50" s="9">
        <f t="shared" si="9"/>
        <v>0.1016</v>
      </c>
      <c r="E50" s="9">
        <f t="shared" si="9"/>
        <v>0.1062</v>
      </c>
      <c r="F50" s="9">
        <f t="shared" si="9"/>
        <v>0.1123</v>
      </c>
      <c r="G50" s="9">
        <f t="shared" si="9"/>
        <v>0.1189</v>
      </c>
      <c r="H50" s="9">
        <f t="shared" si="9"/>
        <v>0.1154</v>
      </c>
      <c r="I50" s="9">
        <f t="shared" si="9"/>
        <v>0.123</v>
      </c>
      <c r="J50" s="9">
        <f t="shared" si="9"/>
        <v>0.1239</v>
      </c>
      <c r="K50" s="9">
        <f t="shared" si="9"/>
        <v>0.1279</v>
      </c>
      <c r="L50" s="9">
        <f t="shared" si="9"/>
        <v>0.0859</v>
      </c>
      <c r="M50" s="9">
        <f t="shared" si="9"/>
        <v>0.0834</v>
      </c>
      <c r="N50" s="9">
        <f t="shared" si="9"/>
        <v>0.0817</v>
      </c>
      <c r="O50" s="9">
        <f t="shared" si="9"/>
        <v>0.0672</v>
      </c>
      <c r="P50" s="9">
        <f t="shared" si="9"/>
        <v>0.0918</v>
      </c>
      <c r="Q50" s="9">
        <f t="shared" si="9"/>
        <v>0.0843</v>
      </c>
      <c r="R50" s="9">
        <f t="shared" si="6"/>
        <v>0.11452999999999998</v>
      </c>
      <c r="S50" s="9">
        <f t="shared" si="5"/>
        <v>0.08168</v>
      </c>
      <c r="T50" s="9">
        <f>+T22</f>
        <v>0.07</v>
      </c>
      <c r="U50" s="9">
        <f>+U22</f>
        <v>0</v>
      </c>
      <c r="V50" s="9"/>
      <c r="W50" s="9">
        <f>+W22</f>
        <v>0.08</v>
      </c>
      <c r="Y50" s="215"/>
      <c r="Z50" s="215"/>
      <c r="AA50" s="215"/>
      <c r="AC50" s="5" t="s">
        <v>234</v>
      </c>
      <c r="AD50" s="5" t="s">
        <v>234</v>
      </c>
    </row>
    <row r="51" spans="1:30" ht="15">
      <c r="A51" s="34" t="str">
        <f>+'Sch 10'!A50</f>
        <v>PNM Resources</v>
      </c>
      <c r="B51" s="9">
        <f>+B23</f>
        <v>0.0459</v>
      </c>
      <c r="C51" s="9">
        <f aca="true" t="shared" si="10" ref="C51:Q51">+C23</f>
        <v>0.0859</v>
      </c>
      <c r="D51" s="9">
        <f t="shared" si="10"/>
        <v>0.1172</v>
      </c>
      <c r="E51" s="9">
        <f t="shared" si="10"/>
        <v>0.0854</v>
      </c>
      <c r="F51" s="9">
        <f t="shared" si="10"/>
        <v>0.0989</v>
      </c>
      <c r="G51" s="9">
        <f t="shared" si="10"/>
        <v>0.1</v>
      </c>
      <c r="H51" s="9">
        <f t="shared" si="10"/>
        <v>0.1128</v>
      </c>
      <c r="I51" s="9">
        <f t="shared" si="10"/>
        <v>0.0906</v>
      </c>
      <c r="J51" s="9">
        <f t="shared" si="10"/>
        <v>0.1016</v>
      </c>
      <c r="K51" s="9">
        <f t="shared" si="10"/>
        <v>0.1581</v>
      </c>
      <c r="L51" s="9">
        <f t="shared" si="10"/>
        <v>0.0632</v>
      </c>
      <c r="M51" s="9">
        <f t="shared" si="10"/>
        <v>0.0668</v>
      </c>
      <c r="N51" s="9">
        <f t="shared" si="10"/>
        <v>0.0794</v>
      </c>
      <c r="O51" s="9">
        <f t="shared" si="10"/>
        <v>0.0862</v>
      </c>
      <c r="P51" s="9">
        <f t="shared" si="10"/>
        <v>0.0843</v>
      </c>
      <c r="Q51" s="9">
        <f t="shared" si="10"/>
        <v>0.0606</v>
      </c>
      <c r="R51" s="9">
        <f t="shared" si="6"/>
        <v>0.09964</v>
      </c>
      <c r="S51" s="9">
        <f t="shared" si="5"/>
        <v>0.07546</v>
      </c>
      <c r="T51" s="9">
        <f>+T23</f>
        <v>0.07</v>
      </c>
      <c r="U51" s="9">
        <f>+U23</f>
        <v>0</v>
      </c>
      <c r="V51" s="9"/>
      <c r="W51" s="9">
        <f>+W23</f>
        <v>0.07</v>
      </c>
      <c r="Y51" s="215"/>
      <c r="Z51" s="215"/>
      <c r="AA51" s="215"/>
      <c r="AC51" s="5" t="s">
        <v>413</v>
      </c>
      <c r="AD51" s="5" t="s">
        <v>414</v>
      </c>
    </row>
    <row r="52" spans="1:30" ht="15">
      <c r="A52" s="34" t="str">
        <f>+'Sch 10'!A51</f>
        <v>Progress Energy</v>
      </c>
      <c r="B52" s="9">
        <v>0.154</v>
      </c>
      <c r="C52" s="9">
        <v>0.1387</v>
      </c>
      <c r="D52" s="9">
        <v>0.1233</v>
      </c>
      <c r="E52" s="9">
        <v>0.1482</v>
      </c>
      <c r="F52" s="9">
        <v>0.1533</v>
      </c>
      <c r="G52" s="9">
        <v>0.1462</v>
      </c>
      <c r="H52" s="9">
        <v>0.1443</v>
      </c>
      <c r="I52" s="9">
        <v>0.1248</v>
      </c>
      <c r="J52" s="9">
        <v>0.0981</v>
      </c>
      <c r="K52" s="9">
        <v>0.1276</v>
      </c>
      <c r="L52" s="9">
        <v>0.1367</v>
      </c>
      <c r="M52" s="9">
        <v>0.1156</v>
      </c>
      <c r="N52" s="9">
        <v>0.1014</v>
      </c>
      <c r="O52" s="9">
        <v>0.0936</v>
      </c>
      <c r="P52" s="9">
        <v>0.0638</v>
      </c>
      <c r="Q52" s="9">
        <v>0.084</v>
      </c>
      <c r="R52" s="9">
        <f t="shared" si="6"/>
        <v>0.13585</v>
      </c>
      <c r="S52" s="9">
        <f t="shared" si="5"/>
        <v>0.09168</v>
      </c>
      <c r="T52" s="9">
        <v>0.09</v>
      </c>
      <c r="U52" s="9"/>
      <c r="V52" s="9">
        <v>0.09</v>
      </c>
      <c r="W52" s="9">
        <v>0.095</v>
      </c>
      <c r="Y52" s="215"/>
      <c r="Z52" s="215"/>
      <c r="AA52" s="215"/>
      <c r="AC52" s="5" t="s">
        <v>386</v>
      </c>
      <c r="AD52" s="5" t="s">
        <v>387</v>
      </c>
    </row>
    <row r="53" spans="1:30" ht="15">
      <c r="A53" s="34" t="str">
        <f>+'Sch 10'!A52</f>
        <v>Puget Energy</v>
      </c>
      <c r="B53" s="9">
        <v>0.1244</v>
      </c>
      <c r="C53" s="9">
        <v>0.1099</v>
      </c>
      <c r="D53" s="9">
        <v>0.088</v>
      </c>
      <c r="E53" s="9">
        <v>0.1024</v>
      </c>
      <c r="F53" s="9">
        <v>0.1021</v>
      </c>
      <c r="G53" s="9">
        <v>0.074</v>
      </c>
      <c r="H53" s="9">
        <v>0.1154</v>
      </c>
      <c r="I53" s="9">
        <v>0.118</v>
      </c>
      <c r="J53" s="9">
        <v>0.1315</v>
      </c>
      <c r="K53" s="9">
        <v>0.0756</v>
      </c>
      <c r="L53" s="9">
        <v>0.0777</v>
      </c>
      <c r="M53" s="9">
        <v>0.074</v>
      </c>
      <c r="N53" s="9">
        <v>0.0801</v>
      </c>
      <c r="O53" s="9">
        <v>0.0841</v>
      </c>
      <c r="P53" s="9">
        <v>0.0807</v>
      </c>
      <c r="Q53" s="9">
        <v>0.0858</v>
      </c>
      <c r="R53" s="9">
        <f t="shared" si="6"/>
        <v>0.10413000000000001</v>
      </c>
      <c r="S53" s="9">
        <f t="shared" si="5"/>
        <v>0.08094</v>
      </c>
      <c r="T53" s="9">
        <v>0.08</v>
      </c>
      <c r="U53" s="9"/>
      <c r="V53" s="9"/>
      <c r="W53" s="9">
        <v>0.09</v>
      </c>
      <c r="Y53" s="215"/>
      <c r="Z53" s="45"/>
      <c r="AA53" s="215"/>
      <c r="AC53" s="5" t="s">
        <v>415</v>
      </c>
      <c r="AD53" s="5" t="s">
        <v>416</v>
      </c>
    </row>
    <row r="54" spans="1:30" ht="15">
      <c r="A54" s="34" t="str">
        <f>+'Sch 10'!A53</f>
        <v>Southern Company</v>
      </c>
      <c r="B54" s="9">
        <v>0.1343</v>
      </c>
      <c r="C54" s="9">
        <v>0.1342</v>
      </c>
      <c r="D54" s="9">
        <v>0.124</v>
      </c>
      <c r="E54" s="9">
        <v>0.1299</v>
      </c>
      <c r="F54" s="9">
        <v>0.1258</v>
      </c>
      <c r="G54" s="9">
        <v>0.1141</v>
      </c>
      <c r="H54" s="9">
        <v>0.1231</v>
      </c>
      <c r="I54" s="9">
        <v>0.131</v>
      </c>
      <c r="J54" s="9">
        <v>0.1363</v>
      </c>
      <c r="K54" s="9">
        <v>0.1189</v>
      </c>
      <c r="L54" s="9">
        <v>0.157</v>
      </c>
      <c r="M54" s="9">
        <v>0.1559</v>
      </c>
      <c r="N54" s="9">
        <v>0.1521</v>
      </c>
      <c r="O54" s="9">
        <v>0.1502</v>
      </c>
      <c r="P54" s="9">
        <v>0.1417</v>
      </c>
      <c r="Q54" s="9">
        <v>0.145</v>
      </c>
      <c r="R54" s="9">
        <f t="shared" si="6"/>
        <v>0.12716</v>
      </c>
      <c r="S54" s="9">
        <f t="shared" si="5"/>
        <v>0.14898000000000003</v>
      </c>
      <c r="T54" s="9">
        <v>0.13</v>
      </c>
      <c r="U54" s="9"/>
      <c r="V54" s="9">
        <v>0.13</v>
      </c>
      <c r="W54" s="9">
        <v>0.14</v>
      </c>
      <c r="Y54" s="215"/>
      <c r="Z54" s="45"/>
      <c r="AA54" s="215"/>
      <c r="AC54" s="5" t="s">
        <v>388</v>
      </c>
      <c r="AD54" s="5" t="s">
        <v>286</v>
      </c>
    </row>
    <row r="55" spans="1:30" ht="15">
      <c r="A55" s="34" t="str">
        <f>+'Sch 10'!A54</f>
        <v>TECO Energy</v>
      </c>
      <c r="B55" s="9">
        <v>0.1614</v>
      </c>
      <c r="C55" s="9">
        <v>0.1512</v>
      </c>
      <c r="D55" s="9">
        <v>0.1454</v>
      </c>
      <c r="E55" s="9">
        <v>0.1662</v>
      </c>
      <c r="F55" s="9">
        <v>0.1651</v>
      </c>
      <c r="G55" s="9">
        <v>0.1479</v>
      </c>
      <c r="H55" s="9">
        <v>0.1354</v>
      </c>
      <c r="I55" s="9">
        <v>0.1381</v>
      </c>
      <c r="J55" s="9">
        <v>0.1739</v>
      </c>
      <c r="K55" s="9">
        <v>0.172</v>
      </c>
      <c r="L55" s="9">
        <v>0.1346</v>
      </c>
      <c r="M55" s="9">
        <v>-0.0067</v>
      </c>
      <c r="N55" s="9">
        <v>0.092</v>
      </c>
      <c r="O55" s="9">
        <v>0.142</v>
      </c>
      <c r="P55" s="9">
        <v>0.1472</v>
      </c>
      <c r="Q55" s="9">
        <v>0.143</v>
      </c>
      <c r="R55" s="9">
        <f t="shared" si="6"/>
        <v>0.15566</v>
      </c>
      <c r="S55" s="9">
        <f t="shared" si="5"/>
        <v>0.1035</v>
      </c>
      <c r="T55" s="9">
        <v>0.11</v>
      </c>
      <c r="U55" s="9"/>
      <c r="V55" s="9">
        <v>0.115</v>
      </c>
      <c r="W55" s="9">
        <v>0.11</v>
      </c>
      <c r="Y55" s="215"/>
      <c r="Z55" s="45"/>
      <c r="AA55" s="215"/>
      <c r="AC55" s="5" t="s">
        <v>417</v>
      </c>
      <c r="AD55" s="5" t="s">
        <v>418</v>
      </c>
    </row>
    <row r="56" spans="1:30" ht="15">
      <c r="A56" s="34" t="str">
        <f>+'Sch 10'!A55</f>
        <v>Wisconsin Energy</v>
      </c>
      <c r="B56" s="9">
        <v>0.1139</v>
      </c>
      <c r="C56" s="9">
        <v>0.1181</v>
      </c>
      <c r="D56" s="9">
        <v>0.1054</v>
      </c>
      <c r="E56" s="9">
        <v>0.129</v>
      </c>
      <c r="F56" s="9">
        <v>0.1148</v>
      </c>
      <c r="G56" s="9">
        <v>0.0318</v>
      </c>
      <c r="H56" s="9">
        <v>0.1001</v>
      </c>
      <c r="I56" s="9">
        <v>0.1127</v>
      </c>
      <c r="J56" s="9">
        <v>0.0637</v>
      </c>
      <c r="K56" s="9">
        <v>0.1057</v>
      </c>
      <c r="L56" s="9">
        <v>0.128</v>
      </c>
      <c r="M56" s="9">
        <v>0.1178</v>
      </c>
      <c r="N56" s="9">
        <v>0.0897</v>
      </c>
      <c r="O56" s="9">
        <v>0.1158</v>
      </c>
      <c r="P56" s="9">
        <v>0.1109</v>
      </c>
      <c r="Q56" s="9">
        <v>0.1061</v>
      </c>
      <c r="R56" s="9">
        <f t="shared" si="6"/>
        <v>0.09952</v>
      </c>
      <c r="S56" s="9">
        <f t="shared" si="5"/>
        <v>0.10806</v>
      </c>
      <c r="T56" s="9">
        <v>0.1</v>
      </c>
      <c r="U56" s="9"/>
      <c r="V56" s="9">
        <v>0.11</v>
      </c>
      <c r="W56" s="9">
        <v>0.12</v>
      </c>
      <c r="Y56" s="215"/>
      <c r="Z56" s="215"/>
      <c r="AA56" s="215"/>
      <c r="AC56" s="5" t="s">
        <v>389</v>
      </c>
      <c r="AD56" s="5" t="s">
        <v>390</v>
      </c>
    </row>
    <row r="57" spans="1:30" ht="15">
      <c r="A57" s="34" t="str">
        <f>+'Sch 10'!A56</f>
        <v>Xcel Energy Inc.</v>
      </c>
      <c r="B57" s="9">
        <v>0.091</v>
      </c>
      <c r="C57" s="9">
        <v>0.113</v>
      </c>
      <c r="D57" s="9">
        <v>0.124</v>
      </c>
      <c r="E57" s="9">
        <v>0.135</v>
      </c>
      <c r="F57" s="9">
        <v>0.126</v>
      </c>
      <c r="G57" s="9">
        <v>0.103</v>
      </c>
      <c r="H57" s="9">
        <v>0.114</v>
      </c>
      <c r="I57" s="9">
        <v>0.088</v>
      </c>
      <c r="J57" s="9">
        <v>0.098</v>
      </c>
      <c r="K57" s="9">
        <v>0.132</v>
      </c>
      <c r="L57" s="9">
        <v>0.028</v>
      </c>
      <c r="M57" s="9">
        <v>0.1</v>
      </c>
      <c r="N57" s="9">
        <v>0.098</v>
      </c>
      <c r="O57" s="9">
        <v>0.091</v>
      </c>
      <c r="P57" s="9">
        <v>0.098</v>
      </c>
      <c r="Q57" s="9">
        <v>0.093</v>
      </c>
      <c r="R57" s="9">
        <f t="shared" si="6"/>
        <v>0.11239999999999999</v>
      </c>
      <c r="S57" s="9">
        <f t="shared" si="5"/>
        <v>0.096</v>
      </c>
      <c r="T57" s="9">
        <v>0.1</v>
      </c>
      <c r="U57" s="9"/>
      <c r="V57" s="9"/>
      <c r="W57" s="9">
        <v>0.1</v>
      </c>
      <c r="Y57" s="215"/>
      <c r="Z57" s="45"/>
      <c r="AA57" s="215"/>
      <c r="AC57" s="5" t="s">
        <v>419</v>
      </c>
      <c r="AD57" s="5" t="s">
        <v>420</v>
      </c>
    </row>
    <row r="58" spans="1:27" ht="15.75" thickBot="1">
      <c r="A58" s="18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215"/>
      <c r="Y58" s="215"/>
      <c r="Z58" s="215"/>
      <c r="AA58" s="215"/>
    </row>
    <row r="59" spans="1:27" ht="29.25" customHeight="1" thickTop="1">
      <c r="A59" s="217" t="str">
        <f>'[22]Sch 10'!A63</f>
        <v>Mean</v>
      </c>
      <c r="B59" s="151">
        <f aca="true" t="shared" si="11" ref="B59:V59">AVERAGE(B33:B57)</f>
        <v>0.1205791666666667</v>
      </c>
      <c r="C59" s="151">
        <f t="shared" si="11"/>
        <v>0.11724999999999998</v>
      </c>
      <c r="D59" s="151">
        <f t="shared" si="11"/>
        <v>0.11668750000000001</v>
      </c>
      <c r="E59" s="151">
        <f t="shared" si="11"/>
        <v>0.12150416666666668</v>
      </c>
      <c r="F59" s="151">
        <f t="shared" si="11"/>
        <v>0.11207916666666663</v>
      </c>
      <c r="G59" s="151">
        <f t="shared" si="11"/>
        <v>0.10170000000000001</v>
      </c>
      <c r="H59" s="151">
        <f t="shared" si="11"/>
        <v>0.10907499999999999</v>
      </c>
      <c r="I59" s="151">
        <f t="shared" si="11"/>
        <v>0.10919583333333334</v>
      </c>
      <c r="J59" s="151">
        <f t="shared" si="11"/>
        <v>0.11292727272727272</v>
      </c>
      <c r="K59" s="151">
        <f t="shared" si="11"/>
        <v>0.12875000000000003</v>
      </c>
      <c r="L59" s="151">
        <f t="shared" si="11"/>
        <v>0.09144583333333334</v>
      </c>
      <c r="M59" s="151">
        <f t="shared" si="11"/>
        <v>0.10091666666666665</v>
      </c>
      <c r="N59" s="151">
        <f t="shared" si="11"/>
        <v>0.09562083333333334</v>
      </c>
      <c r="O59" s="151">
        <f t="shared" si="11"/>
        <v>0.10368000000000001</v>
      </c>
      <c r="P59" s="151">
        <f t="shared" si="11"/>
        <v>0.10634799999999998</v>
      </c>
      <c r="Q59" s="151">
        <f t="shared" si="11"/>
        <v>0.10412399999999997</v>
      </c>
      <c r="R59" s="152">
        <f t="shared" si="11"/>
        <v>0.11501692129629632</v>
      </c>
      <c r="S59" s="152">
        <f t="shared" si="11"/>
        <v>0.10262586666666668</v>
      </c>
      <c r="T59" s="152">
        <f t="shared" si="11"/>
        <v>0.10220000000000001</v>
      </c>
      <c r="U59" s="152">
        <f t="shared" si="11"/>
        <v>0.009</v>
      </c>
      <c r="V59" s="152">
        <f t="shared" si="11"/>
        <v>0.10861111111111112</v>
      </c>
      <c r="W59" s="152">
        <f>AVERAGE(W33:W57)</f>
        <v>0.10440000000000003</v>
      </c>
      <c r="Y59" s="215"/>
      <c r="Z59" s="215"/>
      <c r="AA59" s="215"/>
    </row>
    <row r="60" spans="1:27" ht="29.25" customHeight="1" thickBot="1">
      <c r="A60" s="218" t="s">
        <v>197</v>
      </c>
      <c r="B60" s="154">
        <f aca="true" t="shared" si="12" ref="B60:Q60">MEDIAN(B33:B57)</f>
        <v>0.123</v>
      </c>
      <c r="C60" s="154">
        <f t="shared" si="12"/>
        <v>0.11804999999999999</v>
      </c>
      <c r="D60" s="154">
        <f t="shared" si="12"/>
        <v>0.11865</v>
      </c>
      <c r="E60" s="154">
        <f t="shared" si="12"/>
        <v>0.12435</v>
      </c>
      <c r="F60" s="154">
        <f t="shared" si="12"/>
        <v>0.11535000000000001</v>
      </c>
      <c r="G60" s="154">
        <f t="shared" si="12"/>
        <v>0.11080000000000001</v>
      </c>
      <c r="H60" s="154">
        <f t="shared" si="12"/>
        <v>0.1154</v>
      </c>
      <c r="I60" s="154">
        <f t="shared" si="12"/>
        <v>0.1231</v>
      </c>
      <c r="J60" s="154">
        <f t="shared" si="12"/>
        <v>0.12129999999999999</v>
      </c>
      <c r="K60" s="154">
        <f t="shared" si="12"/>
        <v>0.12865</v>
      </c>
      <c r="L60" s="154">
        <f t="shared" si="12"/>
        <v>0.1073</v>
      </c>
      <c r="M60" s="154">
        <f t="shared" si="12"/>
        <v>0.10035</v>
      </c>
      <c r="N60" s="154">
        <f t="shared" si="12"/>
        <v>0.0923</v>
      </c>
      <c r="O60" s="154">
        <f t="shared" si="12"/>
        <v>0.1028</v>
      </c>
      <c r="P60" s="154">
        <f t="shared" si="12"/>
        <v>0.0944</v>
      </c>
      <c r="Q60" s="154">
        <f t="shared" si="12"/>
        <v>0.093</v>
      </c>
      <c r="R60" s="155">
        <f>AVERAGE(B60:K60)</f>
        <v>0.119865</v>
      </c>
      <c r="S60" s="155">
        <f>AVERAGE(M60:Q60)</f>
        <v>0.09657</v>
      </c>
      <c r="T60" s="155">
        <f>MEDIAN(T33:T57)</f>
        <v>0.095</v>
      </c>
      <c r="U60" s="155">
        <f>MEDIAN(U33:U57)</f>
        <v>0</v>
      </c>
      <c r="V60" s="155">
        <f>MEDIAN(V33:V57)</f>
        <v>0.1075</v>
      </c>
      <c r="W60" s="155">
        <f>MEDIAN(W33:W57)</f>
        <v>0.105</v>
      </c>
      <c r="Y60" s="215"/>
      <c r="Z60" s="215"/>
      <c r="AA60" s="215"/>
    </row>
    <row r="61" spans="2:27" ht="8.25" customHeight="1" thickTop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215"/>
      <c r="Y61" s="215"/>
      <c r="Z61" s="215"/>
      <c r="AA61" s="215"/>
    </row>
    <row r="62" spans="2:27" ht="8.25" customHeight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215"/>
      <c r="Y62" s="215"/>
      <c r="Z62" s="215"/>
      <c r="AA62" s="215"/>
    </row>
    <row r="63" spans="1:27" ht="15.75">
      <c r="A63" s="33" t="str">
        <f>+'[22]Sch 10'!A66</f>
        <v>Moody's Electric Utilities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215"/>
      <c r="Y63" s="215"/>
      <c r="Z63" s="215"/>
      <c r="AA63" s="215"/>
    </row>
    <row r="64" spans="2:27" ht="1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215"/>
      <c r="Y64" s="215"/>
      <c r="Z64" s="215"/>
      <c r="AA64" s="215"/>
    </row>
    <row r="65" spans="1:30" ht="15">
      <c r="A65" s="5" t="str">
        <f>+'Sch 10'!A63</f>
        <v>American Electric Power</v>
      </c>
      <c r="B65" s="50">
        <f>+B35</f>
        <v>0.1107</v>
      </c>
      <c r="C65" s="50">
        <f aca="true" t="shared" si="13" ref="C65:Q65">+C36</f>
        <v>0.129</v>
      </c>
      <c r="D65" s="50">
        <f t="shared" si="13"/>
        <v>0.137</v>
      </c>
      <c r="E65" s="50">
        <f t="shared" si="13"/>
        <v>0.131</v>
      </c>
      <c r="F65" s="50">
        <f t="shared" si="13"/>
        <v>0.125</v>
      </c>
      <c r="G65" s="50">
        <f t="shared" si="13"/>
        <v>0.108</v>
      </c>
      <c r="H65" s="50">
        <f t="shared" si="13"/>
        <v>0.127</v>
      </c>
      <c r="I65" s="50">
        <f t="shared" si="13"/>
        <v>0.125</v>
      </c>
      <c r="J65" s="50">
        <f t="shared" si="13"/>
        <v>0.145</v>
      </c>
      <c r="K65" s="50">
        <f t="shared" si="13"/>
        <v>0.143</v>
      </c>
      <c r="L65" s="50">
        <f t="shared" si="13"/>
        <v>0.108</v>
      </c>
      <c r="M65" s="50">
        <f t="shared" si="13"/>
        <v>0.122</v>
      </c>
      <c r="N65" s="50">
        <f t="shared" si="13"/>
        <v>0.1</v>
      </c>
      <c r="O65" s="50">
        <f t="shared" si="13"/>
        <v>0.103</v>
      </c>
      <c r="P65" s="50">
        <f t="shared" si="13"/>
        <v>0.085</v>
      </c>
      <c r="Q65" s="50">
        <f t="shared" si="13"/>
        <v>0.093</v>
      </c>
      <c r="R65" s="9">
        <f aca="true" t="shared" si="14" ref="R65:R80">AVERAGE(B65:K65)</f>
        <v>0.12807</v>
      </c>
      <c r="S65" s="9">
        <f aca="true" t="shared" si="15" ref="S65:S80">AVERAGE(M65:Q65)</f>
        <v>0.1006</v>
      </c>
      <c r="T65" s="50">
        <f>+T36</f>
        <v>0.095</v>
      </c>
      <c r="U65" s="50">
        <f>+U36</f>
        <v>0</v>
      </c>
      <c r="V65" s="50">
        <f>+V36</f>
        <v>0.095</v>
      </c>
      <c r="W65" s="50">
        <f>+W36</f>
        <v>0.095</v>
      </c>
      <c r="X65" s="215"/>
      <c r="Y65" s="215"/>
      <c r="Z65" s="215"/>
      <c r="AA65" s="215"/>
      <c r="AC65" s="5" t="s">
        <v>397</v>
      </c>
      <c r="AD65" s="5" t="s">
        <v>398</v>
      </c>
    </row>
    <row r="66" spans="1:30" ht="15">
      <c r="A66" s="5" t="str">
        <f>+'Sch 10'!A64</f>
        <v>CH Energy</v>
      </c>
      <c r="B66" s="9">
        <v>0.1098</v>
      </c>
      <c r="C66" s="9">
        <v>0.1111</v>
      </c>
      <c r="D66" s="9">
        <v>0.1072</v>
      </c>
      <c r="E66" s="9">
        <v>0.1068</v>
      </c>
      <c r="F66" s="9">
        <v>0.1132</v>
      </c>
      <c r="G66" s="9">
        <v>0.109</v>
      </c>
      <c r="H66" s="9">
        <v>0.1043</v>
      </c>
      <c r="I66" s="9">
        <v>0.1015</v>
      </c>
      <c r="J66" s="9">
        <v>0.105</v>
      </c>
      <c r="K66" s="9">
        <v>0.1042</v>
      </c>
      <c r="L66" s="9">
        <v>0.0699</v>
      </c>
      <c r="M66" s="9">
        <v>0.091</v>
      </c>
      <c r="N66" s="9">
        <v>0.0866</v>
      </c>
      <c r="O66" s="9">
        <v>0.0888</v>
      </c>
      <c r="P66" s="9">
        <v>0.0794</v>
      </c>
      <c r="Q66" s="9">
        <v>0.082</v>
      </c>
      <c r="R66" s="9">
        <f t="shared" si="14"/>
        <v>0.10721</v>
      </c>
      <c r="S66" s="9">
        <f t="shared" si="15"/>
        <v>0.08556</v>
      </c>
      <c r="T66" s="50">
        <v>0.075</v>
      </c>
      <c r="U66" s="50"/>
      <c r="V66" s="50">
        <v>0.08</v>
      </c>
      <c r="W66" s="50">
        <v>0.085</v>
      </c>
      <c r="X66" s="215"/>
      <c r="Y66" s="215"/>
      <c r="Z66" s="215"/>
      <c r="AA66" s="215"/>
      <c r="AC66" s="5" t="s">
        <v>422</v>
      </c>
      <c r="AD66" s="5" t="s">
        <v>423</v>
      </c>
    </row>
    <row r="67" spans="1:30" ht="15">
      <c r="A67" s="5" t="str">
        <f>+'Sch 10'!A65</f>
        <v>Consolidated Edison</v>
      </c>
      <c r="B67" s="9">
        <v>0.1198</v>
      </c>
      <c r="C67" s="9">
        <v>0.1251</v>
      </c>
      <c r="D67" s="9">
        <v>0.1347</v>
      </c>
      <c r="E67" s="9">
        <v>0.127</v>
      </c>
      <c r="F67" s="9">
        <v>0.1224</v>
      </c>
      <c r="G67" s="9">
        <v>0.1191</v>
      </c>
      <c r="H67" s="9">
        <v>0.1191</v>
      </c>
      <c r="I67" s="9">
        <v>0.1223</v>
      </c>
      <c r="J67" s="9">
        <v>0.1072</v>
      </c>
      <c r="K67" s="9">
        <v>0.1222</v>
      </c>
      <c r="L67" s="9">
        <v>0.1151</v>
      </c>
      <c r="M67" s="9">
        <v>0.1001</v>
      </c>
      <c r="N67" s="9">
        <v>0.0801</v>
      </c>
      <c r="O67" s="9">
        <v>0.1015</v>
      </c>
      <c r="P67" s="9">
        <v>0.0969</v>
      </c>
      <c r="Q67" s="9">
        <v>0.105</v>
      </c>
      <c r="R67" s="9">
        <f t="shared" si="14"/>
        <v>0.12188999999999998</v>
      </c>
      <c r="S67" s="9">
        <f t="shared" si="15"/>
        <v>0.09672</v>
      </c>
      <c r="T67" s="50">
        <v>0.095</v>
      </c>
      <c r="U67" s="50"/>
      <c r="V67" s="50">
        <v>0.095</v>
      </c>
      <c r="W67" s="50">
        <v>0.085</v>
      </c>
      <c r="X67" s="215"/>
      <c r="Y67" s="215"/>
      <c r="Z67" s="215"/>
      <c r="AA67" s="215"/>
      <c r="AC67" s="5" t="s">
        <v>424</v>
      </c>
      <c r="AD67" s="5" t="s">
        <v>425</v>
      </c>
    </row>
    <row r="68" spans="1:30" ht="15">
      <c r="A68" s="5" t="str">
        <f>+'Sch 10'!A66</f>
        <v>Constellation Energy</v>
      </c>
      <c r="B68" s="9">
        <v>0.0941</v>
      </c>
      <c r="C68" s="9">
        <v>0.104</v>
      </c>
      <c r="D68" s="9">
        <v>0.1062</v>
      </c>
      <c r="E68" s="9">
        <v>0.1078</v>
      </c>
      <c r="F68" s="9">
        <v>0.0963</v>
      </c>
      <c r="G68" s="9">
        <v>0.1016</v>
      </c>
      <c r="H68" s="9">
        <v>0.1045</v>
      </c>
      <c r="I68" s="9">
        <v>0.109</v>
      </c>
      <c r="J68" s="9">
        <v>0.1123</v>
      </c>
      <c r="K68" s="9">
        <v>0.099</v>
      </c>
      <c r="L68" s="9">
        <v>0.0976</v>
      </c>
      <c r="M68" s="9">
        <v>0.1143</v>
      </c>
      <c r="N68" s="9">
        <v>0.1239</v>
      </c>
      <c r="O68" s="9">
        <v>0.1243</v>
      </c>
      <c r="P68" s="9">
        <v>0.1416</v>
      </c>
      <c r="Q68" s="9">
        <v>0.162</v>
      </c>
      <c r="R68" s="9">
        <f t="shared" si="14"/>
        <v>0.10347999999999999</v>
      </c>
      <c r="S68" s="9">
        <f t="shared" si="15"/>
        <v>0.13322</v>
      </c>
      <c r="T68" s="50">
        <v>0.18</v>
      </c>
      <c r="U68" s="50"/>
      <c r="V68" s="50">
        <v>0.19</v>
      </c>
      <c r="W68" s="50">
        <v>0.16</v>
      </c>
      <c r="X68" s="215"/>
      <c r="Y68" s="215"/>
      <c r="Z68" s="215"/>
      <c r="AA68" s="215"/>
      <c r="AC68" s="5" t="s">
        <v>426</v>
      </c>
      <c r="AD68" s="5" t="s">
        <v>427</v>
      </c>
    </row>
    <row r="69" spans="1:30" ht="15">
      <c r="A69" s="5" t="str">
        <f>+'Sch 10'!A67</f>
        <v>Dominion Resources</v>
      </c>
      <c r="B69" s="9">
        <v>0.107</v>
      </c>
      <c r="C69" s="9">
        <v>0.1209</v>
      </c>
      <c r="D69" s="9">
        <v>0.106</v>
      </c>
      <c r="E69" s="9">
        <v>0.092</v>
      </c>
      <c r="F69" s="9">
        <v>0.0984</v>
      </c>
      <c r="G69" s="9">
        <v>0.1111</v>
      </c>
      <c r="H69" s="9">
        <v>0.063</v>
      </c>
      <c r="I69" s="9">
        <v>0.1136</v>
      </c>
      <c r="J69" s="9">
        <v>0.0927</v>
      </c>
      <c r="K69" s="9">
        <v>0.0992</v>
      </c>
      <c r="L69" s="9">
        <v>0.1489</v>
      </c>
      <c r="M69" s="9">
        <v>0.1196</v>
      </c>
      <c r="N69" s="9">
        <v>0.1291</v>
      </c>
      <c r="O69" s="9">
        <v>0.0944</v>
      </c>
      <c r="P69" s="9">
        <v>0.1434</v>
      </c>
      <c r="Q69" s="9">
        <v>0.123</v>
      </c>
      <c r="R69" s="9">
        <f t="shared" si="14"/>
        <v>0.10039000000000001</v>
      </c>
      <c r="S69" s="9">
        <f t="shared" si="15"/>
        <v>0.12189999999999998</v>
      </c>
      <c r="T69" s="50">
        <v>0.17</v>
      </c>
      <c r="U69" s="50"/>
      <c r="V69" s="50">
        <v>0.155</v>
      </c>
      <c r="W69" s="50">
        <v>0.145</v>
      </c>
      <c r="X69" s="215"/>
      <c r="Y69" s="215"/>
      <c r="Z69" s="215"/>
      <c r="AA69" s="215"/>
      <c r="AC69" s="5" t="s">
        <v>428</v>
      </c>
      <c r="AD69" s="5" t="s">
        <v>429</v>
      </c>
    </row>
    <row r="70" spans="1:30" ht="15">
      <c r="A70" s="5" t="str">
        <f>+'Sch 10'!A68</f>
        <v>DPL Inc</v>
      </c>
      <c r="B70" s="9">
        <v>0.133</v>
      </c>
      <c r="C70" s="9">
        <v>0.145</v>
      </c>
      <c r="D70" s="9">
        <v>0.151</v>
      </c>
      <c r="E70" s="9">
        <v>0.152</v>
      </c>
      <c r="F70" s="9">
        <v>0.155</v>
      </c>
      <c r="G70" s="9">
        <v>0.154</v>
      </c>
      <c r="H70" s="9">
        <v>0.149</v>
      </c>
      <c r="I70" s="9">
        <v>0.152</v>
      </c>
      <c r="J70" s="9">
        <v>0.186</v>
      </c>
      <c r="K70" s="9">
        <v>0.265</v>
      </c>
      <c r="L70" s="9">
        <v>0.113</v>
      </c>
      <c r="M70" s="9">
        <v>0.161</v>
      </c>
      <c r="N70" s="9">
        <v>0.235</v>
      </c>
      <c r="O70" s="9">
        <v>0.118</v>
      </c>
      <c r="P70" s="9">
        <v>0.141</v>
      </c>
      <c r="Q70" s="9">
        <v>0.259</v>
      </c>
      <c r="R70" s="9">
        <f>AVERAGE(B70:Q70)</f>
        <v>0.16681249999999997</v>
      </c>
      <c r="S70" s="9">
        <f t="shared" si="15"/>
        <v>0.18280000000000002</v>
      </c>
      <c r="T70" s="50">
        <v>0.24</v>
      </c>
      <c r="U70" s="50"/>
      <c r="V70" s="50">
        <v>0.235</v>
      </c>
      <c r="W70" s="50">
        <v>0.19</v>
      </c>
      <c r="X70" s="215"/>
      <c r="Y70" s="215"/>
      <c r="Z70" s="215"/>
      <c r="AA70" s="215"/>
      <c r="AC70" s="5" t="s">
        <v>237</v>
      </c>
      <c r="AD70" s="5" t="s">
        <v>400</v>
      </c>
    </row>
    <row r="71" spans="1:30" ht="15">
      <c r="A71" s="5" t="str">
        <f>+'Sch 10'!A69</f>
        <v>DTE Energy</v>
      </c>
      <c r="B71" s="50">
        <f>+B38</f>
        <v>0.1869</v>
      </c>
      <c r="C71" s="50">
        <f aca="true" t="shared" si="16" ref="C71:Q71">+C38</f>
        <v>0.1532</v>
      </c>
      <c r="D71" s="50">
        <f t="shared" si="16"/>
        <v>0.1177</v>
      </c>
      <c r="E71" s="50">
        <f t="shared" si="16"/>
        <v>0.1295</v>
      </c>
      <c r="F71" s="50">
        <f t="shared" si="16"/>
        <v>0.1181</v>
      </c>
      <c r="G71" s="50">
        <f t="shared" si="16"/>
        <v>0.1193</v>
      </c>
      <c r="H71" s="50">
        <f t="shared" si="16"/>
        <v>0.1219</v>
      </c>
      <c r="I71" s="50">
        <f t="shared" si="16"/>
        <v>0.127</v>
      </c>
      <c r="J71" s="50">
        <f t="shared" si="16"/>
        <v>0.1187</v>
      </c>
      <c r="K71" s="50">
        <f t="shared" si="16"/>
        <v>0.0759</v>
      </c>
      <c r="L71" s="50">
        <f t="shared" si="16"/>
        <v>0.1374</v>
      </c>
      <c r="M71" s="50">
        <f t="shared" si="16"/>
        <v>0.0972</v>
      </c>
      <c r="N71" s="50">
        <f t="shared" si="16"/>
        <v>0.0807</v>
      </c>
      <c r="O71" s="50">
        <f t="shared" si="16"/>
        <v>0.1017</v>
      </c>
      <c r="P71" s="50">
        <f t="shared" si="16"/>
        <v>0.0749</v>
      </c>
      <c r="Q71" s="50">
        <f t="shared" si="16"/>
        <v>0.077</v>
      </c>
      <c r="R71" s="9">
        <f t="shared" si="14"/>
        <v>0.12682</v>
      </c>
      <c r="S71" s="9">
        <f t="shared" si="15"/>
        <v>0.08630000000000002</v>
      </c>
      <c r="T71" s="50">
        <f>+T38</f>
        <v>0.08</v>
      </c>
      <c r="U71" s="50"/>
      <c r="V71" s="50"/>
      <c r="W71" s="50">
        <f>+W38</f>
        <v>0.09</v>
      </c>
      <c r="X71" s="215"/>
      <c r="Y71" s="215"/>
      <c r="Z71" s="215"/>
      <c r="AA71" s="215"/>
      <c r="AC71" s="5" t="s">
        <v>401</v>
      </c>
      <c r="AD71" s="5" t="s">
        <v>402</v>
      </c>
    </row>
    <row r="72" spans="1:30" ht="15">
      <c r="A72" s="5" t="str">
        <f>+'Sch 10'!A70</f>
        <v>Energy East</v>
      </c>
      <c r="B72" s="50">
        <f>+B41</f>
        <v>0.1067</v>
      </c>
      <c r="C72" s="50">
        <f aca="true" t="shared" si="17" ref="C72:Q72">+C41</f>
        <v>0.091</v>
      </c>
      <c r="D72" s="50">
        <f t="shared" si="17"/>
        <v>0.1031</v>
      </c>
      <c r="E72" s="50">
        <f t="shared" si="17"/>
        <v>0.1049</v>
      </c>
      <c r="F72" s="50">
        <f t="shared" si="17"/>
        <v>0.1012</v>
      </c>
      <c r="G72" s="50">
        <f t="shared" si="17"/>
        <v>0.099</v>
      </c>
      <c r="H72" s="50">
        <f t="shared" si="17"/>
        <v>0.112</v>
      </c>
      <c r="I72" s="50">
        <f t="shared" si="17"/>
        <v>0.1444</v>
      </c>
      <c r="J72" s="50">
        <f t="shared" si="17"/>
        <v>0.1509</v>
      </c>
      <c r="K72" s="50">
        <f t="shared" si="17"/>
        <v>0.134</v>
      </c>
      <c r="L72" s="50">
        <f t="shared" si="17"/>
        <v>0.0931</v>
      </c>
      <c r="M72" s="50">
        <f t="shared" si="17"/>
        <v>0.0828</v>
      </c>
      <c r="N72" s="50">
        <f t="shared" si="17"/>
        <v>0.0913</v>
      </c>
      <c r="O72" s="50">
        <f t="shared" si="17"/>
        <v>0.0932</v>
      </c>
      <c r="P72" s="50">
        <f t="shared" si="17"/>
        <v>0.0907</v>
      </c>
      <c r="Q72" s="50">
        <f t="shared" si="17"/>
        <v>0.0812</v>
      </c>
      <c r="R72" s="9">
        <f t="shared" si="14"/>
        <v>0.11471999999999997</v>
      </c>
      <c r="S72" s="9">
        <f t="shared" si="15"/>
        <v>0.08784</v>
      </c>
      <c r="T72" s="50">
        <f>+T41</f>
        <v>0.08</v>
      </c>
      <c r="U72" s="50"/>
      <c r="V72" s="50"/>
      <c r="W72" s="50">
        <f>+W41</f>
        <v>0.08</v>
      </c>
      <c r="X72" s="215"/>
      <c r="Y72" s="215"/>
      <c r="Z72" s="215"/>
      <c r="AA72" s="215"/>
      <c r="AC72" s="5" t="s">
        <v>406</v>
      </c>
      <c r="AD72" s="5" t="s">
        <v>407</v>
      </c>
    </row>
    <row r="73" spans="1:30" ht="15">
      <c r="A73" s="5" t="str">
        <f>+'Sch 10'!A71</f>
        <v>Exelon</v>
      </c>
      <c r="B73" s="9"/>
      <c r="C73" s="9"/>
      <c r="D73" s="9"/>
      <c r="E73" s="9"/>
      <c r="F73" s="9"/>
      <c r="G73" s="9"/>
      <c r="H73" s="9"/>
      <c r="I73" s="9"/>
      <c r="J73" s="9">
        <v>0.123</v>
      </c>
      <c r="K73" s="9">
        <v>0.1823</v>
      </c>
      <c r="L73" s="9">
        <v>0.1936</v>
      </c>
      <c r="M73" s="9">
        <v>0.1967</v>
      </c>
      <c r="N73" s="9">
        <v>0.203</v>
      </c>
      <c r="O73" s="9">
        <v>0.23</v>
      </c>
      <c r="P73" s="9">
        <v>0.245</v>
      </c>
      <c r="Q73" s="9">
        <v>0.267</v>
      </c>
      <c r="R73" s="9">
        <f t="shared" si="14"/>
        <v>0.15265</v>
      </c>
      <c r="S73" s="9">
        <f t="shared" si="15"/>
        <v>0.22834000000000004</v>
      </c>
      <c r="T73" s="50">
        <v>0.255</v>
      </c>
      <c r="U73" s="50"/>
      <c r="V73" s="50">
        <v>0.255</v>
      </c>
      <c r="W73" s="50">
        <v>0.25</v>
      </c>
      <c r="X73" s="215"/>
      <c r="Y73" s="215"/>
      <c r="Z73" s="215"/>
      <c r="AA73" s="215"/>
      <c r="AC73" s="5" t="s">
        <v>430</v>
      </c>
      <c r="AD73" s="5" t="s">
        <v>431</v>
      </c>
    </row>
    <row r="74" spans="1:27" ht="15">
      <c r="A74" s="5" t="str">
        <f>+'Sch 10'!A72</f>
        <v>FirstEnergy Corp</v>
      </c>
      <c r="B74" s="9">
        <f>+B43</f>
        <v>0.109</v>
      </c>
      <c r="C74" s="9">
        <f aca="true" t="shared" si="18" ref="C74:W74">+C43</f>
        <v>0.1194</v>
      </c>
      <c r="D74" s="9">
        <f t="shared" si="18"/>
        <v>0.1318</v>
      </c>
      <c r="E74" s="9">
        <f t="shared" si="18"/>
        <v>0.1324</v>
      </c>
      <c r="F74" s="9">
        <f t="shared" si="18"/>
        <v>0.13</v>
      </c>
      <c r="G74" s="9">
        <f t="shared" si="18"/>
        <v>0.1125</v>
      </c>
      <c r="H74" s="9">
        <f t="shared" si="18"/>
        <v>0.1059</v>
      </c>
      <c r="I74" s="9">
        <f t="shared" si="18"/>
        <v>0.1302</v>
      </c>
      <c r="J74" s="9">
        <f t="shared" si="18"/>
        <v>0.1333</v>
      </c>
      <c r="K74" s="9">
        <f t="shared" si="18"/>
        <v>0.1246</v>
      </c>
      <c r="L74" s="9">
        <f t="shared" si="18"/>
        <v>0.1041</v>
      </c>
      <c r="M74" s="9">
        <f t="shared" si="18"/>
        <v>0.0599</v>
      </c>
      <c r="N74" s="9">
        <f t="shared" si="18"/>
        <v>0.1083</v>
      </c>
      <c r="O74" s="9">
        <f t="shared" si="18"/>
        <v>0.1054</v>
      </c>
      <c r="P74" s="9">
        <f t="shared" si="18"/>
        <v>0.136</v>
      </c>
      <c r="Q74" s="9">
        <f t="shared" si="18"/>
        <v>0.1485</v>
      </c>
      <c r="R74" s="9">
        <f>AVERAGE(B74:K74)</f>
        <v>0.12291</v>
      </c>
      <c r="S74" s="9">
        <f>AVERAGE(M74:Q74)</f>
        <v>0.11161999999999998</v>
      </c>
      <c r="T74" s="9">
        <f t="shared" si="18"/>
        <v>0.14</v>
      </c>
      <c r="U74" s="9">
        <f t="shared" si="18"/>
        <v>0</v>
      </c>
      <c r="V74" s="9">
        <f t="shared" si="18"/>
        <v>0.14</v>
      </c>
      <c r="W74" s="9">
        <f t="shared" si="18"/>
        <v>0.14</v>
      </c>
      <c r="X74" s="215"/>
      <c r="Y74" s="215"/>
      <c r="Z74" s="215"/>
      <c r="AA74" s="215"/>
    </row>
    <row r="75" spans="1:27" ht="15">
      <c r="A75" s="5" t="str">
        <f>+'Sch 10'!A73</f>
        <v>IDACORP</v>
      </c>
      <c r="B75" s="50">
        <f>+B46</f>
        <v>0.0903</v>
      </c>
      <c r="C75" s="50">
        <f aca="true" t="shared" si="19" ref="C75:W75">+C46</f>
        <v>0.1121</v>
      </c>
      <c r="D75" s="50">
        <f t="shared" si="19"/>
        <v>0.1006</v>
      </c>
      <c r="E75" s="50">
        <f t="shared" si="19"/>
        <v>0.116</v>
      </c>
      <c r="F75" s="50">
        <f t="shared" si="19"/>
        <v>0.1207</v>
      </c>
      <c r="G75" s="50">
        <f t="shared" si="19"/>
        <v>0.1241</v>
      </c>
      <c r="H75" s="50">
        <f t="shared" si="19"/>
        <v>0.1236</v>
      </c>
      <c r="I75" s="50">
        <f t="shared" si="19"/>
        <v>0.1232</v>
      </c>
      <c r="J75" s="50">
        <f t="shared" si="19"/>
        <v>0.1673</v>
      </c>
      <c r="K75" s="50">
        <f t="shared" si="19"/>
        <v>0.149</v>
      </c>
      <c r="L75" s="50">
        <f t="shared" si="19"/>
        <v>0.0706</v>
      </c>
      <c r="M75" s="50">
        <f t="shared" si="19"/>
        <v>0.0422</v>
      </c>
      <c r="N75" s="50">
        <f t="shared" si="19"/>
        <v>0.0819</v>
      </c>
      <c r="O75" s="50">
        <f t="shared" si="19"/>
        <v>0.073</v>
      </c>
      <c r="P75" s="50">
        <f t="shared" si="19"/>
        <v>0.0944</v>
      </c>
      <c r="Q75" s="50">
        <f t="shared" si="19"/>
        <v>0.0772</v>
      </c>
      <c r="R75" s="9">
        <f>AVERAGE(B75:K75)</f>
        <v>0.12269000000000001</v>
      </c>
      <c r="S75" s="9">
        <f>AVERAGE(M75:Q75)</f>
        <v>0.07374</v>
      </c>
      <c r="T75" s="50">
        <f t="shared" si="19"/>
        <v>0.075</v>
      </c>
      <c r="U75" s="50">
        <f t="shared" si="19"/>
        <v>0</v>
      </c>
      <c r="V75" s="50"/>
      <c r="W75" s="50">
        <f t="shared" si="19"/>
        <v>0.07</v>
      </c>
      <c r="X75" s="215"/>
      <c r="Y75" s="215"/>
      <c r="Z75" s="215"/>
      <c r="AA75" s="215"/>
    </row>
    <row r="76" spans="1:30" ht="15">
      <c r="A76" s="5" t="str">
        <f>+'Sch 10'!A74</f>
        <v>NiSource</v>
      </c>
      <c r="B76" s="9">
        <v>0.1294</v>
      </c>
      <c r="C76" s="9">
        <v>0.1434</v>
      </c>
      <c r="D76" s="9">
        <v>0.1461</v>
      </c>
      <c r="E76" s="9">
        <v>0.1539</v>
      </c>
      <c r="F76" s="9">
        <v>0.1582</v>
      </c>
      <c r="G76" s="9">
        <v>0.159</v>
      </c>
      <c r="H76" s="9">
        <v>0.1594</v>
      </c>
      <c r="I76" s="9">
        <v>0.1228</v>
      </c>
      <c r="J76" s="9">
        <v>0.1011</v>
      </c>
      <c r="K76" s="9">
        <v>0.0678</v>
      </c>
      <c r="L76" s="9">
        <v>0.114</v>
      </c>
      <c r="M76" s="9">
        <v>0.0947</v>
      </c>
      <c r="N76" s="9">
        <v>0.0939</v>
      </c>
      <c r="O76" s="9">
        <v>0.0604</v>
      </c>
      <c r="P76" s="9">
        <v>0.0626</v>
      </c>
      <c r="Q76" s="9">
        <v>0.068</v>
      </c>
      <c r="R76" s="9">
        <f t="shared" si="14"/>
        <v>0.13411</v>
      </c>
      <c r="S76" s="9">
        <f t="shared" si="15"/>
        <v>0.07592</v>
      </c>
      <c r="T76" s="50">
        <v>0.065</v>
      </c>
      <c r="U76" s="50"/>
      <c r="V76" s="50">
        <v>0.065</v>
      </c>
      <c r="W76" s="50">
        <v>0.075</v>
      </c>
      <c r="X76" s="215"/>
      <c r="Y76" s="215"/>
      <c r="Z76" s="45"/>
      <c r="AA76" s="39"/>
      <c r="AC76" s="5" t="s">
        <v>432</v>
      </c>
      <c r="AD76" s="5" t="s">
        <v>433</v>
      </c>
    </row>
    <row r="77" spans="1:30" ht="15">
      <c r="A77" s="5" t="str">
        <f>+'Sch 10'!A75</f>
        <v>OGE Energy</v>
      </c>
      <c r="B77" s="9">
        <v>0.1077</v>
      </c>
      <c r="C77" s="9">
        <v>0.124</v>
      </c>
      <c r="D77" s="9">
        <v>0.1333</v>
      </c>
      <c r="E77" s="9">
        <v>0.1321</v>
      </c>
      <c r="F77" s="9">
        <v>0.1378</v>
      </c>
      <c r="G77" s="9">
        <v>0.1336</v>
      </c>
      <c r="H77" s="9">
        <v>0.1625</v>
      </c>
      <c r="I77" s="9">
        <v>0.1492</v>
      </c>
      <c r="J77" s="9">
        <v>0.1413</v>
      </c>
      <c r="K77" s="9">
        <v>0.0956</v>
      </c>
      <c r="L77" s="9">
        <v>0.1106</v>
      </c>
      <c r="M77" s="9">
        <v>0.1317</v>
      </c>
      <c r="N77" s="9">
        <v>0.127</v>
      </c>
      <c r="O77" s="9">
        <v>0.1242</v>
      </c>
      <c r="P77" s="9">
        <v>0.149</v>
      </c>
      <c r="Q77" s="9">
        <v>0.147</v>
      </c>
      <c r="R77" s="9">
        <f t="shared" si="14"/>
        <v>0.13171</v>
      </c>
      <c r="S77" s="9">
        <f t="shared" si="15"/>
        <v>0.13578</v>
      </c>
      <c r="T77" s="50">
        <v>0.13</v>
      </c>
      <c r="U77" s="50"/>
      <c r="V77" s="50">
        <v>0.125</v>
      </c>
      <c r="W77" s="50">
        <v>0.12</v>
      </c>
      <c r="X77" s="215"/>
      <c r="Y77" s="215"/>
      <c r="Z77" s="215"/>
      <c r="AA77" s="215"/>
      <c r="AC77" s="5" t="s">
        <v>191</v>
      </c>
      <c r="AD77" s="5" t="s">
        <v>191</v>
      </c>
    </row>
    <row r="78" spans="1:30" ht="15">
      <c r="A78" s="5" t="str">
        <f>+'Sch 10'!A76</f>
        <v>PPL Corp</v>
      </c>
      <c r="B78" s="9">
        <v>0.1314</v>
      </c>
      <c r="C78" s="9">
        <v>0.132</v>
      </c>
      <c r="D78" s="9">
        <v>0.1059</v>
      </c>
      <c r="E78" s="9">
        <v>0.1209</v>
      </c>
      <c r="F78" s="9">
        <v>0.1242</v>
      </c>
      <c r="G78" s="9">
        <v>0.1172</v>
      </c>
      <c r="H78" s="9">
        <v>0.1584</v>
      </c>
      <c r="I78" s="9">
        <v>0.1788</v>
      </c>
      <c r="J78" s="9">
        <v>0.2614</v>
      </c>
      <c r="K78" s="9">
        <v>0.2698</v>
      </c>
      <c r="L78" s="9">
        <v>0.2362</v>
      </c>
      <c r="M78" s="9">
        <v>0.2314</v>
      </c>
      <c r="N78" s="9">
        <v>0.1833</v>
      </c>
      <c r="O78" s="9">
        <v>0.1682</v>
      </c>
      <c r="P78" s="9">
        <v>0.1838</v>
      </c>
      <c r="Q78" s="9">
        <v>0.187</v>
      </c>
      <c r="R78" s="9">
        <f t="shared" si="14"/>
        <v>0.16</v>
      </c>
      <c r="S78" s="9">
        <f t="shared" si="15"/>
        <v>0.19074</v>
      </c>
      <c r="T78" s="50">
        <v>0.155</v>
      </c>
      <c r="U78" s="50"/>
      <c r="V78" s="50">
        <v>0.16</v>
      </c>
      <c r="W78" s="50">
        <v>0.215</v>
      </c>
      <c r="X78" s="215"/>
      <c r="Y78" s="215"/>
      <c r="Z78" s="215"/>
      <c r="AA78" s="215"/>
      <c r="AC78" s="5" t="s">
        <v>434</v>
      </c>
      <c r="AD78" s="5" t="s">
        <v>435</v>
      </c>
    </row>
    <row r="79" spans="1:30" ht="15">
      <c r="A79" s="5" t="str">
        <f>+'Sch 10'!A77</f>
        <v>Progress Energy</v>
      </c>
      <c r="B79" s="50">
        <f>+B52</f>
        <v>0.154</v>
      </c>
      <c r="C79" s="50">
        <f aca="true" t="shared" si="20" ref="C79:W79">+C52</f>
        <v>0.1387</v>
      </c>
      <c r="D79" s="50">
        <f t="shared" si="20"/>
        <v>0.1233</v>
      </c>
      <c r="E79" s="50">
        <f t="shared" si="20"/>
        <v>0.1482</v>
      </c>
      <c r="F79" s="50">
        <f t="shared" si="20"/>
        <v>0.1533</v>
      </c>
      <c r="G79" s="50">
        <f t="shared" si="20"/>
        <v>0.1462</v>
      </c>
      <c r="H79" s="50">
        <f t="shared" si="20"/>
        <v>0.1443</v>
      </c>
      <c r="I79" s="50">
        <f t="shared" si="20"/>
        <v>0.1248</v>
      </c>
      <c r="J79" s="50">
        <f t="shared" si="20"/>
        <v>0.0981</v>
      </c>
      <c r="K79" s="50">
        <f t="shared" si="20"/>
        <v>0.1276</v>
      </c>
      <c r="L79" s="50">
        <f t="shared" si="20"/>
        <v>0.1367</v>
      </c>
      <c r="M79" s="50">
        <f t="shared" si="20"/>
        <v>0.1156</v>
      </c>
      <c r="N79" s="50">
        <f t="shared" si="20"/>
        <v>0.1014</v>
      </c>
      <c r="O79" s="50">
        <f t="shared" si="20"/>
        <v>0.0936</v>
      </c>
      <c r="P79" s="50">
        <f t="shared" si="20"/>
        <v>0.0638</v>
      </c>
      <c r="Q79" s="50">
        <f t="shared" si="20"/>
        <v>0.084</v>
      </c>
      <c r="R79" s="9">
        <f>AVERAGE(B79:K79)</f>
        <v>0.13585</v>
      </c>
      <c r="S79" s="9">
        <f>AVERAGE(M79:Q79)</f>
        <v>0.09168</v>
      </c>
      <c r="T79" s="50">
        <f t="shared" si="20"/>
        <v>0.09</v>
      </c>
      <c r="U79" s="50">
        <f t="shared" si="20"/>
        <v>0</v>
      </c>
      <c r="V79" s="50">
        <f t="shared" si="20"/>
        <v>0.09</v>
      </c>
      <c r="W79" s="50">
        <f t="shared" si="20"/>
        <v>0.095</v>
      </c>
      <c r="X79" s="215"/>
      <c r="Y79" s="215"/>
      <c r="Z79" s="215"/>
      <c r="AA79" s="215"/>
      <c r="AC79" s="5" t="s">
        <v>436</v>
      </c>
      <c r="AD79" s="5" t="s">
        <v>437</v>
      </c>
    </row>
    <row r="80" spans="1:30" ht="15">
      <c r="A80" s="5" t="str">
        <f>+'Sch 10'!A78</f>
        <v>Public Service Enterprise</v>
      </c>
      <c r="B80" s="9">
        <v>0.096</v>
      </c>
      <c r="C80" s="9">
        <v>0.1309</v>
      </c>
      <c r="D80" s="9">
        <v>0.13</v>
      </c>
      <c r="E80" s="9">
        <v>0.124</v>
      </c>
      <c r="F80" s="9">
        <v>0.1104</v>
      </c>
      <c r="G80" s="9">
        <v>0.1076</v>
      </c>
      <c r="H80" s="9">
        <v>0.1255</v>
      </c>
      <c r="I80" s="9">
        <v>0.1543</v>
      </c>
      <c r="J80" s="9">
        <v>0.1885</v>
      </c>
      <c r="K80" s="9">
        <v>0.1882</v>
      </c>
      <c r="L80" s="9">
        <v>0.1989</v>
      </c>
      <c r="M80" s="9">
        <v>0.183</v>
      </c>
      <c r="N80" s="9">
        <v>0.128</v>
      </c>
      <c r="O80" s="9">
        <v>0.1489</v>
      </c>
      <c r="P80" s="9">
        <v>0.122</v>
      </c>
      <c r="Q80" s="9">
        <v>0.199</v>
      </c>
      <c r="R80" s="9">
        <f t="shared" si="14"/>
        <v>0.13554</v>
      </c>
      <c r="S80" s="9">
        <f t="shared" si="15"/>
        <v>0.15617999999999999</v>
      </c>
      <c r="T80" s="50">
        <v>0.18</v>
      </c>
      <c r="U80" s="50"/>
      <c r="V80" s="50">
        <v>0.17</v>
      </c>
      <c r="W80" s="50">
        <v>0.14</v>
      </c>
      <c r="X80" s="215"/>
      <c r="Y80" s="215"/>
      <c r="Z80" s="45"/>
      <c r="AA80" s="215"/>
      <c r="AC80" s="5" t="s">
        <v>438</v>
      </c>
      <c r="AD80" s="5" t="s">
        <v>284</v>
      </c>
    </row>
    <row r="81" spans="1:30" ht="15">
      <c r="A81" s="5" t="str">
        <f>+'Sch 10'!A79</f>
        <v>Southern Company</v>
      </c>
      <c r="B81" s="50">
        <f>+B54</f>
        <v>0.1343</v>
      </c>
      <c r="C81" s="50">
        <f aca="true" t="shared" si="21" ref="C81:W81">+C54</f>
        <v>0.1342</v>
      </c>
      <c r="D81" s="50">
        <f t="shared" si="21"/>
        <v>0.124</v>
      </c>
      <c r="E81" s="50">
        <f t="shared" si="21"/>
        <v>0.1299</v>
      </c>
      <c r="F81" s="50">
        <f t="shared" si="21"/>
        <v>0.1258</v>
      </c>
      <c r="G81" s="50">
        <f t="shared" si="21"/>
        <v>0.1141</v>
      </c>
      <c r="H81" s="50">
        <f t="shared" si="21"/>
        <v>0.1231</v>
      </c>
      <c r="I81" s="50">
        <f t="shared" si="21"/>
        <v>0.131</v>
      </c>
      <c r="J81" s="50">
        <f t="shared" si="21"/>
        <v>0.1363</v>
      </c>
      <c r="K81" s="50">
        <f t="shared" si="21"/>
        <v>0.1189</v>
      </c>
      <c r="L81" s="50">
        <f t="shared" si="21"/>
        <v>0.157</v>
      </c>
      <c r="M81" s="50">
        <f t="shared" si="21"/>
        <v>0.1559</v>
      </c>
      <c r="N81" s="50">
        <f t="shared" si="21"/>
        <v>0.1521</v>
      </c>
      <c r="O81" s="50">
        <f t="shared" si="21"/>
        <v>0.1502</v>
      </c>
      <c r="P81" s="50">
        <f t="shared" si="21"/>
        <v>0.1417</v>
      </c>
      <c r="Q81" s="50">
        <f t="shared" si="21"/>
        <v>0.145</v>
      </c>
      <c r="R81" s="9">
        <f>AVERAGE(B81:K81)</f>
        <v>0.12716</v>
      </c>
      <c r="S81" s="9">
        <f>AVERAGE(M81:Q81)</f>
        <v>0.14898000000000003</v>
      </c>
      <c r="T81" s="50">
        <f t="shared" si="21"/>
        <v>0.13</v>
      </c>
      <c r="U81" s="50">
        <f t="shared" si="21"/>
        <v>0</v>
      </c>
      <c r="V81" s="50">
        <f t="shared" si="21"/>
        <v>0.13</v>
      </c>
      <c r="W81" s="50">
        <f t="shared" si="21"/>
        <v>0.14</v>
      </c>
      <c r="X81" s="215"/>
      <c r="Y81" s="215"/>
      <c r="Z81" s="215"/>
      <c r="AA81" s="215"/>
      <c r="AC81" s="5" t="s">
        <v>415</v>
      </c>
      <c r="AD81" s="5" t="s">
        <v>416</v>
      </c>
    </row>
    <row r="82" spans="1:30" ht="15">
      <c r="A82" s="5" t="str">
        <f>+'Sch 10'!A80</f>
        <v>TECO Energy</v>
      </c>
      <c r="B82" s="50">
        <f>+B55</f>
        <v>0.1614</v>
      </c>
      <c r="C82" s="50">
        <f aca="true" t="shared" si="22" ref="C82:W82">+C55</f>
        <v>0.1512</v>
      </c>
      <c r="D82" s="50">
        <f t="shared" si="22"/>
        <v>0.1454</v>
      </c>
      <c r="E82" s="50">
        <f t="shared" si="22"/>
        <v>0.1662</v>
      </c>
      <c r="F82" s="50">
        <f t="shared" si="22"/>
        <v>0.1651</v>
      </c>
      <c r="G82" s="50">
        <f t="shared" si="22"/>
        <v>0.1479</v>
      </c>
      <c r="H82" s="50">
        <f t="shared" si="22"/>
        <v>0.1354</v>
      </c>
      <c r="I82" s="50">
        <f t="shared" si="22"/>
        <v>0.1381</v>
      </c>
      <c r="J82" s="50">
        <f t="shared" si="22"/>
        <v>0.1739</v>
      </c>
      <c r="K82" s="50">
        <f t="shared" si="22"/>
        <v>0.172</v>
      </c>
      <c r="L82" s="50">
        <f t="shared" si="22"/>
        <v>0.1346</v>
      </c>
      <c r="M82" s="50">
        <f t="shared" si="22"/>
        <v>-0.0067</v>
      </c>
      <c r="N82" s="50">
        <f t="shared" si="22"/>
        <v>0.092</v>
      </c>
      <c r="O82" s="50">
        <f t="shared" si="22"/>
        <v>0.142</v>
      </c>
      <c r="P82" s="50">
        <f t="shared" si="22"/>
        <v>0.1472</v>
      </c>
      <c r="Q82" s="50">
        <f t="shared" si="22"/>
        <v>0.143</v>
      </c>
      <c r="R82" s="9">
        <f>AVERAGE(B82:K82)</f>
        <v>0.15566</v>
      </c>
      <c r="S82" s="9">
        <f>AVERAGE(M82:Q82)</f>
        <v>0.1035</v>
      </c>
      <c r="T82" s="50">
        <f t="shared" si="22"/>
        <v>0.11</v>
      </c>
      <c r="U82" s="50">
        <f t="shared" si="22"/>
        <v>0</v>
      </c>
      <c r="V82" s="50">
        <f t="shared" si="22"/>
        <v>0.115</v>
      </c>
      <c r="W82" s="50">
        <f t="shared" si="22"/>
        <v>0.11</v>
      </c>
      <c r="X82" s="215"/>
      <c r="Y82" s="215"/>
      <c r="Z82" s="215"/>
      <c r="AA82" s="215"/>
      <c r="AC82" s="5" t="s">
        <v>439</v>
      </c>
      <c r="AD82" s="5" t="s">
        <v>440</v>
      </c>
    </row>
    <row r="83" spans="1:30" ht="15">
      <c r="A83" s="5" t="str">
        <f>+'Sch 10'!A81</f>
        <v>Xcel Energy Inc.</v>
      </c>
      <c r="B83" s="50">
        <f>+B57</f>
        <v>0.091</v>
      </c>
      <c r="C83" s="50">
        <f aca="true" t="shared" si="23" ref="C83:W83">+C57</f>
        <v>0.113</v>
      </c>
      <c r="D83" s="50">
        <f t="shared" si="23"/>
        <v>0.124</v>
      </c>
      <c r="E83" s="50">
        <f t="shared" si="23"/>
        <v>0.135</v>
      </c>
      <c r="F83" s="50">
        <f t="shared" si="23"/>
        <v>0.126</v>
      </c>
      <c r="G83" s="50">
        <f t="shared" si="23"/>
        <v>0.103</v>
      </c>
      <c r="H83" s="50">
        <f t="shared" si="23"/>
        <v>0.114</v>
      </c>
      <c r="I83" s="50">
        <f t="shared" si="23"/>
        <v>0.088</v>
      </c>
      <c r="J83" s="50">
        <f t="shared" si="23"/>
        <v>0.098</v>
      </c>
      <c r="K83" s="50">
        <f t="shared" si="23"/>
        <v>0.132</v>
      </c>
      <c r="L83" s="50">
        <f t="shared" si="23"/>
        <v>0.028</v>
      </c>
      <c r="M83" s="50">
        <f t="shared" si="23"/>
        <v>0.1</v>
      </c>
      <c r="N83" s="50">
        <f t="shared" si="23"/>
        <v>0.098</v>
      </c>
      <c r="O83" s="50">
        <f t="shared" si="23"/>
        <v>0.091</v>
      </c>
      <c r="P83" s="50">
        <f t="shared" si="23"/>
        <v>0.098</v>
      </c>
      <c r="Q83" s="50">
        <f t="shared" si="23"/>
        <v>0.093</v>
      </c>
      <c r="R83" s="9">
        <f>AVERAGE(B83:K83)</f>
        <v>0.11239999999999999</v>
      </c>
      <c r="S83" s="9">
        <f>AVERAGE(M83:Q83)</f>
        <v>0.096</v>
      </c>
      <c r="T83" s="50">
        <f t="shared" si="23"/>
        <v>0.1</v>
      </c>
      <c r="U83" s="50">
        <f t="shared" si="23"/>
        <v>0</v>
      </c>
      <c r="V83" s="50">
        <f t="shared" si="23"/>
        <v>0</v>
      </c>
      <c r="W83" s="50">
        <f t="shared" si="23"/>
        <v>0.1</v>
      </c>
      <c r="X83" s="215"/>
      <c r="Y83" s="215"/>
      <c r="Z83" s="215"/>
      <c r="AA83" s="215"/>
      <c r="AC83" s="5" t="s">
        <v>417</v>
      </c>
      <c r="AD83" s="5" t="s">
        <v>418</v>
      </c>
    </row>
    <row r="84" spans="1:27" ht="15.75" thickBot="1">
      <c r="A84" s="18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215"/>
      <c r="Y84" s="215"/>
      <c r="Z84" s="215"/>
      <c r="AA84" s="215"/>
    </row>
    <row r="85" spans="1:27" ht="29.25" customHeight="1" thickTop="1">
      <c r="A85" s="217" t="s">
        <v>213</v>
      </c>
      <c r="B85" s="151">
        <f aca="true" t="shared" si="24" ref="B85:V85">AVERAGE(B65:B83)</f>
        <v>0.12069444444444447</v>
      </c>
      <c r="C85" s="151">
        <f t="shared" si="24"/>
        <v>0.1265666666666667</v>
      </c>
      <c r="D85" s="151">
        <f t="shared" si="24"/>
        <v>0.1237388888888889</v>
      </c>
      <c r="E85" s="151">
        <f t="shared" si="24"/>
        <v>0.12831111111111115</v>
      </c>
      <c r="F85" s="151">
        <f t="shared" si="24"/>
        <v>0.12672777777777777</v>
      </c>
      <c r="G85" s="151">
        <f t="shared" si="24"/>
        <v>0.12146111111111112</v>
      </c>
      <c r="H85" s="151">
        <f t="shared" si="24"/>
        <v>0.12516111111111114</v>
      </c>
      <c r="I85" s="151">
        <f t="shared" si="24"/>
        <v>0.12973333333333334</v>
      </c>
      <c r="J85" s="151">
        <f t="shared" si="24"/>
        <v>0.13894736842105262</v>
      </c>
      <c r="K85" s="151">
        <f t="shared" si="24"/>
        <v>0.1405421052631579</v>
      </c>
      <c r="L85" s="151">
        <f t="shared" si="24"/>
        <v>0.12459473684210527</v>
      </c>
      <c r="M85" s="151">
        <f t="shared" si="24"/>
        <v>0.11538947368421053</v>
      </c>
      <c r="N85" s="151">
        <f t="shared" si="24"/>
        <v>0.12082105263157897</v>
      </c>
      <c r="O85" s="151">
        <f t="shared" si="24"/>
        <v>0.11641052631578946</v>
      </c>
      <c r="P85" s="151">
        <f t="shared" si="24"/>
        <v>0.12086315789473685</v>
      </c>
      <c r="Q85" s="151">
        <f t="shared" si="24"/>
        <v>0.13373157894736842</v>
      </c>
      <c r="R85" s="152">
        <f t="shared" si="24"/>
        <v>0.1294775</v>
      </c>
      <c r="S85" s="152">
        <f t="shared" si="24"/>
        <v>0.12144315789473685</v>
      </c>
      <c r="T85" s="152">
        <f t="shared" si="24"/>
        <v>0.12868421052631582</v>
      </c>
      <c r="U85" s="152">
        <f t="shared" si="24"/>
        <v>0</v>
      </c>
      <c r="V85" s="152">
        <f t="shared" si="24"/>
        <v>0.13125</v>
      </c>
      <c r="W85" s="152">
        <f>AVERAGE(W65:W83)</f>
        <v>0.1255263157894737</v>
      </c>
      <c r="Y85" s="215"/>
      <c r="Z85" s="215"/>
      <c r="AA85" s="215"/>
    </row>
    <row r="86" spans="1:27" ht="29.25" customHeight="1" thickBot="1">
      <c r="A86" s="218" t="s">
        <v>134</v>
      </c>
      <c r="B86" s="154">
        <f aca="true" t="shared" si="25" ref="B86:Q86">MEDIAN(B65:B83)</f>
        <v>0.11025</v>
      </c>
      <c r="C86" s="154">
        <f t="shared" si="25"/>
        <v>0.12705</v>
      </c>
      <c r="D86" s="154">
        <f t="shared" si="25"/>
        <v>0.124</v>
      </c>
      <c r="E86" s="154">
        <f t="shared" si="25"/>
        <v>0.12969999999999998</v>
      </c>
      <c r="F86" s="154">
        <f t="shared" si="25"/>
        <v>0.1246</v>
      </c>
      <c r="G86" s="154">
        <f t="shared" si="25"/>
        <v>0.11565</v>
      </c>
      <c r="H86" s="154">
        <f t="shared" si="25"/>
        <v>0.12335</v>
      </c>
      <c r="I86" s="154">
        <f t="shared" si="25"/>
        <v>0.126</v>
      </c>
      <c r="J86" s="154">
        <f t="shared" si="25"/>
        <v>0.1333</v>
      </c>
      <c r="K86" s="154">
        <f t="shared" si="25"/>
        <v>0.1276</v>
      </c>
      <c r="L86" s="154">
        <f t="shared" si="25"/>
        <v>0.114</v>
      </c>
      <c r="M86" s="154">
        <f t="shared" si="25"/>
        <v>0.1143</v>
      </c>
      <c r="N86" s="154">
        <f t="shared" si="25"/>
        <v>0.1014</v>
      </c>
      <c r="O86" s="154">
        <f t="shared" si="25"/>
        <v>0.103</v>
      </c>
      <c r="P86" s="154">
        <f t="shared" si="25"/>
        <v>0.122</v>
      </c>
      <c r="Q86" s="154">
        <f t="shared" si="25"/>
        <v>0.123</v>
      </c>
      <c r="R86" s="155">
        <f>AVERAGE(B86:K86)</f>
        <v>0.12415000000000001</v>
      </c>
      <c r="S86" s="155">
        <f>AVERAGE(M86:Q86)</f>
        <v>0.11273999999999999</v>
      </c>
      <c r="T86" s="155">
        <f>MEDIAN(T65:T83)</f>
        <v>0.11</v>
      </c>
      <c r="U86" s="155">
        <f>MEDIAN(U65:U83)</f>
        <v>0</v>
      </c>
      <c r="V86" s="155">
        <f>MEDIAN(V65:V83)</f>
        <v>0.1275</v>
      </c>
      <c r="W86" s="155">
        <f>MEDIAN(W65:W83)</f>
        <v>0.11</v>
      </c>
      <c r="Y86" s="215"/>
      <c r="Z86" s="215"/>
      <c r="AA86" s="215"/>
    </row>
    <row r="87" spans="2:27" ht="15.75" thickTop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215"/>
      <c r="Y87" s="215"/>
      <c r="Z87" s="215"/>
      <c r="AA87" s="215"/>
    </row>
    <row r="88" spans="1:27" ht="15.75">
      <c r="A88" s="5" t="s">
        <v>441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219"/>
      <c r="S88" s="219"/>
      <c r="T88" s="219"/>
      <c r="U88" s="219"/>
      <c r="V88" s="219"/>
      <c r="W88" s="219"/>
      <c r="X88" s="215"/>
      <c r="Y88" s="215"/>
      <c r="Z88" s="215"/>
      <c r="AA88" s="215"/>
    </row>
    <row r="89" spans="2:27" ht="15.75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19"/>
      <c r="S89" s="219"/>
      <c r="T89" s="219"/>
      <c r="U89" s="219"/>
      <c r="V89" s="219"/>
      <c r="W89" s="219"/>
      <c r="X89" s="215"/>
      <c r="Y89" s="215"/>
      <c r="Z89" s="215"/>
      <c r="AA89" s="215"/>
    </row>
    <row r="90" spans="2:27" ht="15.75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19"/>
      <c r="S90" s="219"/>
      <c r="T90" s="219"/>
      <c r="U90" s="219"/>
      <c r="V90" s="219"/>
      <c r="W90" s="219"/>
      <c r="X90" s="215"/>
      <c r="Y90" s="215"/>
      <c r="Z90" s="215"/>
      <c r="AA90" s="215"/>
    </row>
    <row r="91" spans="1:27" ht="15.75">
      <c r="A91" s="215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19"/>
      <c r="S91" s="219"/>
      <c r="T91" s="219"/>
      <c r="U91" s="219"/>
      <c r="V91" s="219"/>
      <c r="W91" s="219"/>
      <c r="X91" s="215"/>
      <c r="Y91" s="215"/>
      <c r="Z91" s="215"/>
      <c r="AA91" s="215"/>
    </row>
    <row r="92" spans="1:27" ht="15">
      <c r="A92" s="215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215"/>
      <c r="Y92" s="215"/>
      <c r="Z92" s="215"/>
      <c r="AA92" s="215"/>
    </row>
    <row r="93" spans="1:27" ht="15">
      <c r="A93" s="3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215"/>
      <c r="Y93" s="215"/>
      <c r="Z93" s="215"/>
      <c r="AA93" s="215"/>
    </row>
    <row r="94" spans="1:27" ht="15">
      <c r="A94" s="215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215"/>
      <c r="Y94" s="215"/>
      <c r="Z94" s="215"/>
      <c r="AA94" s="215"/>
    </row>
    <row r="95" spans="1:27" ht="15">
      <c r="A95" s="215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215"/>
      <c r="Y95" s="215"/>
      <c r="Z95" s="215"/>
      <c r="AA95" s="215"/>
    </row>
    <row r="96" spans="1:27" ht="15">
      <c r="A96" s="21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215"/>
      <c r="Y96" s="215"/>
      <c r="Z96" s="215"/>
      <c r="AA96" s="215"/>
    </row>
    <row r="97" spans="1:27" ht="15">
      <c r="A97" s="21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215"/>
      <c r="Y97" s="215"/>
      <c r="Z97" s="215"/>
      <c r="AA97" s="215"/>
    </row>
    <row r="98" spans="1:27" ht="15">
      <c r="A98" s="21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215"/>
      <c r="Y98" s="215"/>
      <c r="Z98" s="215"/>
      <c r="AA98" s="215"/>
    </row>
    <row r="99" spans="1:27" ht="15">
      <c r="A99" s="21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215"/>
      <c r="Y99" s="215"/>
      <c r="Z99" s="215"/>
      <c r="AA99" s="215"/>
    </row>
    <row r="100" spans="1:27" ht="15">
      <c r="A100" s="21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215"/>
      <c r="Y100" s="215"/>
      <c r="Z100" s="215"/>
      <c r="AA100" s="215"/>
    </row>
    <row r="101" spans="1:27" ht="15">
      <c r="A101" s="21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215"/>
      <c r="Y101" s="215"/>
      <c r="Z101" s="215"/>
      <c r="AA101" s="215"/>
    </row>
    <row r="102" spans="1:27" ht="15">
      <c r="A102" s="21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215"/>
      <c r="Y102" s="215"/>
      <c r="Z102" s="215"/>
      <c r="AA102" s="215"/>
    </row>
    <row r="103" spans="1:27" ht="15">
      <c r="A103" s="21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215"/>
      <c r="Y103" s="215"/>
      <c r="Z103" s="215"/>
      <c r="AA103" s="215"/>
    </row>
    <row r="104" spans="1:27" ht="15">
      <c r="A104" s="21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215"/>
      <c r="Y104" s="215"/>
      <c r="Z104" s="215"/>
      <c r="AA104" s="215"/>
    </row>
    <row r="105" spans="1:27" ht="15">
      <c r="A105" s="21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215"/>
      <c r="Y105" s="215"/>
      <c r="Z105" s="215"/>
      <c r="AA105" s="215"/>
    </row>
    <row r="106" spans="1:27" ht="15">
      <c r="A106" s="21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215"/>
      <c r="Y106" s="215"/>
      <c r="Z106" s="215"/>
      <c r="AA106" s="215"/>
    </row>
    <row r="107" spans="1:27" ht="15">
      <c r="A107" s="21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215"/>
      <c r="Y107" s="215"/>
      <c r="Z107" s="215"/>
      <c r="AA107" s="215"/>
    </row>
    <row r="108" spans="1:27" ht="15">
      <c r="A108" s="21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215"/>
      <c r="Y108" s="215"/>
      <c r="Z108" s="215"/>
      <c r="AA108" s="215"/>
    </row>
    <row r="109" spans="1:27" ht="15">
      <c r="A109" s="21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215"/>
      <c r="Y109" s="215"/>
      <c r="Z109" s="215"/>
      <c r="AA109" s="215"/>
    </row>
    <row r="110" spans="1:27" ht="15">
      <c r="A110" s="3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215"/>
      <c r="Y110" s="215"/>
      <c r="Z110" s="215"/>
      <c r="AA110" s="215"/>
    </row>
    <row r="111" spans="1:27" ht="15.75">
      <c r="A111" s="21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71"/>
      <c r="S111" s="71"/>
      <c r="T111" s="71"/>
      <c r="U111" s="71"/>
      <c r="V111" s="71"/>
      <c r="W111" s="71"/>
      <c r="X111" s="215"/>
      <c r="Y111" s="215"/>
      <c r="Z111" s="215"/>
      <c r="AA111" s="215"/>
    </row>
    <row r="112" spans="1:27" ht="15">
      <c r="A112" s="21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215"/>
      <c r="Y112" s="215"/>
      <c r="Z112" s="215"/>
      <c r="AA112" s="215"/>
    </row>
    <row r="113" spans="1:27" ht="15">
      <c r="A113" s="3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215"/>
      <c r="Y113" s="215"/>
      <c r="Z113" s="215"/>
      <c r="AA113" s="215"/>
    </row>
    <row r="114" spans="1:27" ht="15.75">
      <c r="A114" s="21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219"/>
      <c r="S114" s="219"/>
      <c r="T114" s="50"/>
      <c r="U114" s="50"/>
      <c r="V114" s="50"/>
      <c r="W114" s="50"/>
      <c r="X114" s="215"/>
      <c r="Y114" s="215"/>
      <c r="Z114" s="215"/>
      <c r="AA114" s="215"/>
    </row>
    <row r="115" spans="1:27" ht="15">
      <c r="A115" s="21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215"/>
      <c r="Y115" s="215"/>
      <c r="Z115" s="215"/>
      <c r="AA115" s="215"/>
    </row>
    <row r="116" spans="1:27" ht="15">
      <c r="A116" s="3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215"/>
      <c r="Y116" s="215"/>
      <c r="Z116" s="215"/>
      <c r="AA116" s="215"/>
    </row>
    <row r="117" spans="1:27" ht="15.75">
      <c r="A117" s="21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71"/>
      <c r="S117" s="71"/>
      <c r="T117" s="50"/>
      <c r="U117" s="50"/>
      <c r="V117" s="50"/>
      <c r="W117" s="50"/>
      <c r="X117" s="215"/>
      <c r="Y117" s="215"/>
      <c r="Z117" s="215"/>
      <c r="AA117" s="215"/>
    </row>
    <row r="118" spans="1:27" ht="15">
      <c r="A118" s="21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215"/>
      <c r="Y118" s="215"/>
      <c r="Z118" s="215"/>
      <c r="AA118" s="215"/>
    </row>
    <row r="119" spans="1:27" ht="15">
      <c r="A119" s="3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Y119" s="215"/>
      <c r="Z119" s="215"/>
      <c r="AA119" s="215"/>
    </row>
    <row r="120" spans="2:27" ht="1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Y120" s="215"/>
      <c r="Z120" s="215"/>
      <c r="AA120" s="215"/>
    </row>
    <row r="121" spans="2:27" ht="1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Y121" s="215"/>
      <c r="Z121" s="215"/>
      <c r="AA121" s="215"/>
    </row>
    <row r="122" spans="2:27" ht="1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Y122" s="215"/>
      <c r="Z122" s="215"/>
      <c r="AA122" s="215"/>
    </row>
    <row r="123" spans="2:27" ht="1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Y123" s="215"/>
      <c r="Z123" s="215"/>
      <c r="AA123" s="215"/>
    </row>
    <row r="124" spans="2:27" ht="1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Y124" s="215"/>
      <c r="Z124" s="215"/>
      <c r="AA124" s="215"/>
    </row>
    <row r="125" spans="2:27" ht="1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Y125" s="215"/>
      <c r="Z125" s="215"/>
      <c r="AA125" s="21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Y126" s="215"/>
      <c r="Z126" s="215"/>
      <c r="AA126" s="21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Y127" s="215"/>
      <c r="Z127" s="215"/>
      <c r="AA127" s="21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Y128" s="215"/>
      <c r="Z128" s="215"/>
      <c r="AA128" s="21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Y129" s="215"/>
      <c r="Z129" s="215"/>
      <c r="AA129" s="21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Y130" s="215"/>
      <c r="Z130" s="215"/>
      <c r="AA130" s="21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Y131" s="215"/>
      <c r="Z131" s="215"/>
      <c r="AA131" s="21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Y132" s="215"/>
      <c r="Z132" s="215"/>
      <c r="AA132" s="21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Y133" s="215"/>
      <c r="Z133" s="215"/>
      <c r="AA133" s="21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Y134" s="215"/>
      <c r="Z134" s="215"/>
      <c r="AA134" s="21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Y135" s="215"/>
      <c r="Z135" s="215"/>
      <c r="AA135" s="21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Y136" s="215"/>
      <c r="Z136" s="215"/>
      <c r="AA136" s="21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Y137" s="215"/>
      <c r="Z137" s="215"/>
      <c r="AA137" s="21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Y138" s="215"/>
      <c r="Z138" s="215"/>
      <c r="AA138" s="21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Y139" s="215"/>
      <c r="Z139" s="215"/>
      <c r="AA139" s="21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Y140" s="215"/>
      <c r="Z140" s="215"/>
      <c r="AA140" s="21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Y141" s="215"/>
      <c r="Z141" s="215"/>
      <c r="AA141" s="21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Y142" s="215"/>
      <c r="Z142" s="215"/>
      <c r="AA142" s="21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Y143" s="215"/>
      <c r="Z143" s="215"/>
      <c r="AA143" s="21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Y144" s="215"/>
      <c r="Z144" s="215"/>
      <c r="AA144" s="21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Y145" s="215"/>
      <c r="Z145" s="215"/>
      <c r="AA145" s="21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Y146" s="215"/>
      <c r="Z146" s="215"/>
      <c r="AA146" s="21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Y147" s="215"/>
      <c r="Z147" s="215"/>
      <c r="AA147" s="215"/>
    </row>
    <row r="148" spans="25:27" ht="15">
      <c r="Y148" s="215"/>
      <c r="Z148" s="215"/>
      <c r="AA148" s="215"/>
    </row>
    <row r="149" spans="25:27" ht="15">
      <c r="Y149" s="215"/>
      <c r="Z149" s="215"/>
      <c r="AA149" s="215"/>
    </row>
    <row r="150" spans="25:27" ht="15">
      <c r="Y150" s="215"/>
      <c r="Z150" s="215"/>
      <c r="AA150" s="215"/>
    </row>
    <row r="151" spans="25:27" ht="15">
      <c r="Y151" s="215"/>
      <c r="Z151" s="215"/>
      <c r="AA151" s="215"/>
    </row>
    <row r="152" spans="25:27" ht="15">
      <c r="Y152" s="215"/>
      <c r="Z152" s="215"/>
      <c r="AA152" s="215"/>
    </row>
    <row r="153" spans="25:27" ht="15">
      <c r="Y153" s="215"/>
      <c r="Z153" s="215"/>
      <c r="AA153" s="215"/>
    </row>
    <row r="154" spans="25:27" ht="15">
      <c r="Y154" s="215"/>
      <c r="Z154" s="215"/>
      <c r="AA154" s="215"/>
    </row>
    <row r="155" spans="25:27" ht="15">
      <c r="Y155" s="215"/>
      <c r="Z155" s="215"/>
      <c r="AA155" s="215"/>
    </row>
    <row r="156" spans="25:27" ht="15">
      <c r="Y156" s="215"/>
      <c r="Z156" s="215"/>
      <c r="AA156" s="215"/>
    </row>
    <row r="157" spans="25:27" ht="15">
      <c r="Y157" s="215"/>
      <c r="Z157" s="215"/>
      <c r="AA157" s="215"/>
    </row>
    <row r="158" spans="25:27" ht="15">
      <c r="Y158" s="215"/>
      <c r="Z158" s="215"/>
      <c r="AA158" s="215"/>
    </row>
    <row r="159" spans="25:27" ht="15">
      <c r="Y159" s="215"/>
      <c r="Z159" s="215"/>
      <c r="AA159" s="215"/>
    </row>
    <row r="160" spans="25:27" ht="15">
      <c r="Y160" s="215"/>
      <c r="Z160" s="215"/>
      <c r="AA160" s="215"/>
    </row>
    <row r="161" spans="25:27" ht="15">
      <c r="Y161" s="215"/>
      <c r="Z161" s="215"/>
      <c r="AA161" s="215"/>
    </row>
    <row r="162" spans="25:27" ht="15">
      <c r="Y162" s="215"/>
      <c r="Z162" s="215"/>
      <c r="AA162" s="215"/>
    </row>
    <row r="163" spans="25:27" ht="15">
      <c r="Y163" s="215"/>
      <c r="Z163" s="215"/>
      <c r="AA163" s="215"/>
    </row>
    <row r="164" spans="25:27" ht="15">
      <c r="Y164" s="215"/>
      <c r="Z164" s="215"/>
      <c r="AA164" s="215"/>
    </row>
    <row r="165" spans="25:27" ht="15">
      <c r="Y165" s="215"/>
      <c r="Z165" s="215"/>
      <c r="AA165" s="215"/>
    </row>
    <row r="166" spans="25:27" ht="15">
      <c r="Y166" s="215"/>
      <c r="Z166" s="215"/>
      <c r="AA166" s="215"/>
    </row>
    <row r="167" spans="25:27" ht="15">
      <c r="Y167" s="215"/>
      <c r="Z167" s="215"/>
      <c r="AA167" s="215"/>
    </row>
    <row r="168" spans="25:27" ht="15">
      <c r="Y168" s="215"/>
      <c r="Z168" s="215"/>
      <c r="AA168" s="215"/>
    </row>
    <row r="169" spans="25:27" ht="15">
      <c r="Y169" s="215"/>
      <c r="Z169" s="215"/>
      <c r="AA169" s="215"/>
    </row>
    <row r="170" spans="25:27" ht="15">
      <c r="Y170" s="215"/>
      <c r="Z170" s="215"/>
      <c r="AA170" s="215"/>
    </row>
    <row r="171" spans="25:27" ht="15">
      <c r="Y171" s="215"/>
      <c r="Z171" s="215"/>
      <c r="AA171" s="215"/>
    </row>
    <row r="172" spans="25:27" ht="15">
      <c r="Y172" s="215"/>
      <c r="Z172" s="215"/>
      <c r="AA172" s="215"/>
    </row>
    <row r="173" spans="25:27" ht="15">
      <c r="Y173" s="215"/>
      <c r="Z173" s="215"/>
      <c r="AA173" s="215"/>
    </row>
    <row r="174" spans="25:27" ht="15">
      <c r="Y174" s="215"/>
      <c r="Z174" s="215"/>
      <c r="AA174" s="215"/>
    </row>
    <row r="175" spans="25:27" ht="15">
      <c r="Y175" s="215"/>
      <c r="Z175" s="215"/>
      <c r="AA175" s="215"/>
    </row>
    <row r="176" spans="25:27" ht="15">
      <c r="Y176" s="215"/>
      <c r="Z176" s="215"/>
      <c r="AA176" s="215"/>
    </row>
    <row r="177" spans="25:27" ht="15">
      <c r="Y177" s="215"/>
      <c r="Z177" s="215"/>
      <c r="AA177" s="215"/>
    </row>
    <row r="178" spans="25:27" ht="15">
      <c r="Y178" s="215"/>
      <c r="Z178" s="215"/>
      <c r="AA178" s="215"/>
    </row>
    <row r="179" spans="25:27" ht="15">
      <c r="Y179" s="215"/>
      <c r="Z179" s="215"/>
      <c r="AA179" s="215"/>
    </row>
    <row r="180" spans="25:27" ht="15">
      <c r="Y180" s="215"/>
      <c r="Z180" s="215"/>
      <c r="AA180" s="215"/>
    </row>
    <row r="181" spans="25:27" ht="15">
      <c r="Y181" s="215"/>
      <c r="Z181" s="215"/>
      <c r="AA181" s="215"/>
    </row>
    <row r="182" spans="25:27" ht="15">
      <c r="Y182" s="215"/>
      <c r="Z182" s="215"/>
      <c r="AA182" s="215"/>
    </row>
    <row r="183" spans="25:27" ht="15">
      <c r="Y183" s="215"/>
      <c r="Z183" s="215"/>
      <c r="AA183" s="215"/>
    </row>
    <row r="184" spans="25:27" ht="15">
      <c r="Y184" s="215"/>
      <c r="Z184" s="215"/>
      <c r="AA184" s="215"/>
    </row>
    <row r="185" spans="25:27" ht="15">
      <c r="Y185" s="215"/>
      <c r="Z185" s="215"/>
      <c r="AA185" s="215"/>
    </row>
    <row r="186" spans="25:27" ht="15">
      <c r="Y186" s="215"/>
      <c r="Z186" s="215"/>
      <c r="AA186" s="215"/>
    </row>
    <row r="187" spans="25:27" ht="15">
      <c r="Y187" s="215"/>
      <c r="Z187" s="215"/>
      <c r="AA187" s="215"/>
    </row>
    <row r="188" spans="25:27" ht="15">
      <c r="Y188" s="215"/>
      <c r="Z188" s="215"/>
      <c r="AA188" s="215"/>
    </row>
    <row r="189" spans="25:27" ht="15">
      <c r="Y189" s="215"/>
      <c r="Z189" s="215"/>
      <c r="AA189" s="215"/>
    </row>
    <row r="190" spans="25:27" ht="15">
      <c r="Y190" s="215"/>
      <c r="Z190" s="215"/>
      <c r="AA190" s="215"/>
    </row>
    <row r="191" spans="25:27" ht="15">
      <c r="Y191" s="215"/>
      <c r="Z191" s="215"/>
      <c r="AA191" s="215"/>
    </row>
    <row r="192" spans="25:27" ht="15">
      <c r="Y192" s="215"/>
      <c r="Z192" s="215"/>
      <c r="AA192" s="215"/>
    </row>
    <row r="193" spans="25:27" ht="15">
      <c r="Y193" s="215"/>
      <c r="Z193" s="215"/>
      <c r="AA193" s="215"/>
    </row>
    <row r="194" spans="25:27" ht="15">
      <c r="Y194" s="215"/>
      <c r="Z194" s="215"/>
      <c r="AA194" s="215"/>
    </row>
    <row r="195" spans="25:27" ht="15">
      <c r="Y195" s="215"/>
      <c r="Z195" s="215"/>
      <c r="AA195" s="215"/>
    </row>
    <row r="196" spans="25:27" ht="15">
      <c r="Y196" s="215"/>
      <c r="Z196" s="215"/>
      <c r="AA196" s="215"/>
    </row>
    <row r="197" spans="25:27" ht="15">
      <c r="Y197" s="215"/>
      <c r="Z197" s="215"/>
      <c r="AA197" s="215"/>
    </row>
    <row r="198" spans="25:27" ht="15">
      <c r="Y198" s="215"/>
      <c r="Z198" s="215"/>
      <c r="AA198" s="215"/>
    </row>
    <row r="199" spans="25:27" ht="15">
      <c r="Y199" s="215"/>
      <c r="Z199" s="215"/>
      <c r="AA199" s="215"/>
    </row>
    <row r="200" spans="25:27" ht="15">
      <c r="Y200" s="215"/>
      <c r="Z200" s="215"/>
      <c r="AA200" s="215"/>
    </row>
    <row r="201" spans="25:27" ht="15">
      <c r="Y201" s="215"/>
      <c r="Z201" s="215"/>
      <c r="AA201" s="215"/>
    </row>
    <row r="202" spans="25:27" ht="15">
      <c r="Y202" s="215"/>
      <c r="Z202" s="215"/>
      <c r="AA202" s="215"/>
    </row>
    <row r="203" spans="25:27" ht="15">
      <c r="Y203" s="215"/>
      <c r="Z203" s="215"/>
      <c r="AA203" s="215"/>
    </row>
    <row r="204" spans="25:27" ht="15">
      <c r="Y204" s="215"/>
      <c r="Z204" s="215"/>
      <c r="AA204" s="215"/>
    </row>
    <row r="205" spans="25:27" ht="15">
      <c r="Y205" s="215"/>
      <c r="Z205" s="215"/>
      <c r="AA205" s="215"/>
    </row>
    <row r="206" spans="25:27" ht="15">
      <c r="Y206" s="215"/>
      <c r="Z206" s="215"/>
      <c r="AA206" s="215"/>
    </row>
    <row r="207" spans="25:27" ht="15">
      <c r="Y207" s="215"/>
      <c r="Z207" s="215"/>
      <c r="AA207" s="215"/>
    </row>
    <row r="208" spans="25:27" ht="15">
      <c r="Y208" s="215"/>
      <c r="Z208" s="215"/>
      <c r="AA208" s="215"/>
    </row>
    <row r="209" spans="25:27" ht="15">
      <c r="Y209" s="215"/>
      <c r="Z209" s="215"/>
      <c r="AA209" s="215"/>
    </row>
    <row r="210" spans="25:27" ht="15">
      <c r="Y210" s="215"/>
      <c r="Z210" s="215"/>
      <c r="AA210" s="215"/>
    </row>
    <row r="211" spans="25:27" ht="15">
      <c r="Y211" s="215"/>
      <c r="Z211" s="215"/>
      <c r="AA211" s="215"/>
    </row>
    <row r="212" spans="25:27" ht="15">
      <c r="Y212" s="215"/>
      <c r="Z212" s="215"/>
      <c r="AA212" s="215"/>
    </row>
    <row r="213" spans="25:27" ht="15">
      <c r="Y213" s="215"/>
      <c r="Z213" s="215"/>
      <c r="AA213" s="215"/>
    </row>
    <row r="214" spans="25:27" ht="15">
      <c r="Y214" s="215"/>
      <c r="Z214" s="215"/>
      <c r="AA214" s="215"/>
    </row>
    <row r="215" spans="25:27" ht="15">
      <c r="Y215" s="215"/>
      <c r="Z215" s="215"/>
      <c r="AA215" s="215"/>
    </row>
    <row r="216" spans="25:27" ht="15">
      <c r="Y216" s="215"/>
      <c r="Z216" s="215"/>
      <c r="AA216" s="215"/>
    </row>
    <row r="217" spans="25:27" ht="15">
      <c r="Y217" s="215"/>
      <c r="Z217" s="215"/>
      <c r="AA217" s="215"/>
    </row>
    <row r="218" spans="25:27" ht="15">
      <c r="Y218" s="215"/>
      <c r="Z218" s="215"/>
      <c r="AA218" s="215"/>
    </row>
    <row r="219" spans="25:27" ht="15">
      <c r="Y219" s="215"/>
      <c r="Z219" s="215"/>
      <c r="AA219" s="215"/>
    </row>
    <row r="220" spans="25:27" ht="15">
      <c r="Y220" s="215"/>
      <c r="Z220" s="215"/>
      <c r="AA220" s="215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3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12"/>
  <sheetViews>
    <sheetView showOutlineSymbols="0" zoomScalePageLayoutView="0" workbookViewId="0" topLeftCell="F46">
      <selection activeCell="R2" sqref="R2"/>
    </sheetView>
  </sheetViews>
  <sheetFormatPr defaultColWidth="9.77734375" defaultRowHeight="15"/>
  <cols>
    <col min="1" max="1" width="23.77734375" style="5" customWidth="1"/>
    <col min="2" max="23" width="9.77734375" style="5" customWidth="1"/>
    <col min="24" max="24" width="9.77734375" style="5" hidden="1" customWidth="1"/>
    <col min="25" max="16384" width="9.77734375" style="5" customWidth="1"/>
  </cols>
  <sheetData>
    <row r="1" ht="15.75">
      <c r="R1" s="2" t="str">
        <f>+'Sch 11, p 1'!T1</f>
        <v>Exhibit___(DCP-2)</v>
      </c>
    </row>
    <row r="2" ht="15.75">
      <c r="R2" s="2" t="str">
        <f>'[22]Sch 11, p 1'!T2</f>
        <v>Schedule 11</v>
      </c>
    </row>
    <row r="3" ht="15.75">
      <c r="R3" s="2" t="s">
        <v>116</v>
      </c>
    </row>
    <row r="5" spans="1:19" ht="20.25">
      <c r="A5" s="3" t="str">
        <f>'[22]Sch 11, p 1'!A5</f>
        <v>COMPARISON COMPANIES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0.25">
      <c r="A6" s="3" t="s">
        <v>442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10" spans="1:19" ht="15.75" thickTop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tr">
        <f>'[22]Sch 11, p 1'!R11</f>
        <v>1992-2001</v>
      </c>
      <c r="S11" s="8" t="str">
        <f>'[22]Sch 11, p 1'!S11</f>
        <v>2002-2007</v>
      </c>
    </row>
    <row r="12" spans="1:19" ht="15">
      <c r="A12" s="8" t="str">
        <f>'[22]Sch 11, p 1'!A12</f>
        <v>COMPANY</v>
      </c>
      <c r="B12" s="8">
        <v>1992</v>
      </c>
      <c r="C12" s="8">
        <f>'[22]Sch 11, p 1'!C12</f>
        <v>1993</v>
      </c>
      <c r="D12" s="8">
        <f>'[22]Sch 11, p 1'!D12</f>
        <v>1994</v>
      </c>
      <c r="E12" s="8">
        <f>'[22]Sch 11, p 1'!E12</f>
        <v>1995</v>
      </c>
      <c r="F12" s="8">
        <f>'[22]Sch 11, p 1'!F12</f>
        <v>1996</v>
      </c>
      <c r="G12" s="8">
        <f>'[22]Sch 11, p 1'!G12</f>
        <v>1997</v>
      </c>
      <c r="H12" s="8">
        <f>'[22]Sch 11, p 1'!H12</f>
        <v>1998</v>
      </c>
      <c r="I12" s="8">
        <f>'[22]Sch 11, p 1'!I12</f>
        <v>1999</v>
      </c>
      <c r="J12" s="8">
        <v>2000</v>
      </c>
      <c r="K12" s="8">
        <v>2001</v>
      </c>
      <c r="L12" s="8">
        <v>2002</v>
      </c>
      <c r="M12" s="8">
        <v>2003</v>
      </c>
      <c r="N12" s="8">
        <v>2004</v>
      </c>
      <c r="O12" s="8">
        <v>2005</v>
      </c>
      <c r="P12" s="8">
        <v>2006</v>
      </c>
      <c r="Q12" s="8">
        <v>2007</v>
      </c>
      <c r="R12" s="8" t="str">
        <f>'[22]Sch 11, p 1'!R12</f>
        <v>Average</v>
      </c>
      <c r="S12" s="8" t="str">
        <f>'[22]Sch 11, p 1'!S12</f>
        <v>Average</v>
      </c>
    </row>
    <row r="13" spans="1:19" ht="15.75" thickBot="1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1:19" ht="15.75" thickTop="1">
      <c r="A14" s="3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215" customFormat="1" ht="15">
      <c r="A15" s="3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5.75">
      <c r="A16" s="33" t="str">
        <f>'[22]Sch 11, p 1'!A16</f>
        <v>Comparison Group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3:19" ht="1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24" ht="15">
      <c r="A18" s="5" t="str">
        <f>'[22]Sch 11, p 1'!A18</f>
        <v>Avista Corp</v>
      </c>
      <c r="B18" s="21">
        <v>1.51</v>
      </c>
      <c r="C18" s="21">
        <v>1.63</v>
      </c>
      <c r="D18" s="21">
        <v>1.33</v>
      </c>
      <c r="E18" s="21">
        <v>1.25</v>
      </c>
      <c r="F18" s="21">
        <v>1.45</v>
      </c>
      <c r="G18" s="21">
        <v>1.62</v>
      </c>
      <c r="H18" s="21">
        <v>1.63</v>
      </c>
      <c r="I18" s="21">
        <v>1.52</v>
      </c>
      <c r="J18" s="21">
        <v>3.17</v>
      </c>
      <c r="K18" s="21">
        <v>1.14</v>
      </c>
      <c r="L18" s="21">
        <v>0.85</v>
      </c>
      <c r="M18" s="21">
        <v>0.94</v>
      </c>
      <c r="N18" s="21">
        <v>1.11</v>
      </c>
      <c r="O18" s="21">
        <v>1.15</v>
      </c>
      <c r="P18" s="21">
        <v>13.56</v>
      </c>
      <c r="Q18" s="21">
        <v>1.25</v>
      </c>
      <c r="R18" s="21">
        <f>AVERAGE(B18:K18)</f>
        <v>1.6249999999999996</v>
      </c>
      <c r="S18" s="21">
        <f>AVERAGE(M18:Q18)</f>
        <v>3.6020000000000003</v>
      </c>
      <c r="X18" s="5" t="s">
        <v>379</v>
      </c>
    </row>
    <row r="19" spans="1:24" ht="15">
      <c r="A19" s="5" t="str">
        <f>'[22]Sch 11, p 1'!A19</f>
        <v>Empire District Electric</v>
      </c>
      <c r="B19" s="21">
        <v>1.84</v>
      </c>
      <c r="C19" s="21">
        <v>1.78</v>
      </c>
      <c r="D19" s="21">
        <v>1.43</v>
      </c>
      <c r="E19" s="21">
        <v>1.42</v>
      </c>
      <c r="F19" s="21">
        <v>1.43</v>
      </c>
      <c r="G19" s="21">
        <v>1.38</v>
      </c>
      <c r="H19" s="21">
        <v>1.68</v>
      </c>
      <c r="I19" s="21">
        <v>1.77</v>
      </c>
      <c r="J19" s="21">
        <v>1.83</v>
      </c>
      <c r="K19" s="21">
        <v>1.62</v>
      </c>
      <c r="L19" s="21">
        <v>1.32</v>
      </c>
      <c r="M19" s="21">
        <v>1.33</v>
      </c>
      <c r="N19" s="21">
        <v>1.44</v>
      </c>
      <c r="O19" s="21">
        <v>1.48</v>
      </c>
      <c r="P19" s="21">
        <v>1.49</v>
      </c>
      <c r="Q19" s="21">
        <v>1.5</v>
      </c>
      <c r="R19" s="21">
        <f aca="true" t="shared" si="0" ref="R19:R24">AVERAGE(B19:K19)</f>
        <v>1.6179999999999999</v>
      </c>
      <c r="S19" s="21">
        <f aca="true" t="shared" si="1" ref="S19:S24">AVERAGE(M19:Q19)</f>
        <v>1.448</v>
      </c>
      <c r="X19" s="5" t="s">
        <v>381</v>
      </c>
    </row>
    <row r="20" spans="1:24" ht="15">
      <c r="A20" s="5" t="str">
        <f>'[22]Sch 11, p 1'!A20</f>
        <v>Hawaiian Electric Industries</v>
      </c>
      <c r="B20" s="21">
        <v>1.71</v>
      </c>
      <c r="C20" s="21">
        <v>1.54</v>
      </c>
      <c r="D20" s="21">
        <v>1.41</v>
      </c>
      <c r="E20" s="21">
        <v>1.49</v>
      </c>
      <c r="F20" s="21">
        <v>1.47</v>
      </c>
      <c r="G20" s="21">
        <v>1.47</v>
      </c>
      <c r="H20" s="21">
        <v>1.54</v>
      </c>
      <c r="I20" s="21">
        <v>1.32</v>
      </c>
      <c r="J20" s="21">
        <v>1.27</v>
      </c>
      <c r="K20" s="21">
        <v>1.45</v>
      </c>
      <c r="L20" s="21">
        <v>1.53</v>
      </c>
      <c r="M20" s="21">
        <v>1.51</v>
      </c>
      <c r="N20" s="21">
        <v>1.79</v>
      </c>
      <c r="O20" s="21">
        <v>1.81</v>
      </c>
      <c r="P20" s="21">
        <v>1.92</v>
      </c>
      <c r="Q20" s="21">
        <v>1.77</v>
      </c>
      <c r="R20" s="21">
        <f t="shared" si="0"/>
        <v>1.4669999999999999</v>
      </c>
      <c r="S20" s="21">
        <f t="shared" si="1"/>
        <v>1.7599999999999998</v>
      </c>
      <c r="X20" s="5" t="s">
        <v>383</v>
      </c>
    </row>
    <row r="21" spans="1:19" ht="15">
      <c r="A21" s="5" t="s">
        <v>341</v>
      </c>
      <c r="B21" s="21">
        <v>1.6</v>
      </c>
      <c r="C21" s="21">
        <v>1.62</v>
      </c>
      <c r="D21" s="21">
        <v>1.35</v>
      </c>
      <c r="E21" s="21">
        <v>1.38</v>
      </c>
      <c r="F21" s="21">
        <v>1.61</v>
      </c>
      <c r="G21" s="21">
        <v>1.51</v>
      </c>
      <c r="H21" s="21">
        <v>1.61</v>
      </c>
      <c r="I21" s="21">
        <v>1.66</v>
      </c>
      <c r="J21" s="21">
        <v>1.39</v>
      </c>
      <c r="K21" s="21">
        <v>1.24</v>
      </c>
      <c r="L21" s="21">
        <v>1.1</v>
      </c>
      <c r="M21" s="21">
        <v>1.03</v>
      </c>
      <c r="N21" s="21">
        <v>1.09</v>
      </c>
      <c r="O21" s="21">
        <v>1.22</v>
      </c>
      <c r="P21" s="21">
        <v>1.29</v>
      </c>
      <c r="Q21" s="21">
        <v>1.44</v>
      </c>
      <c r="R21" s="21">
        <f t="shared" si="0"/>
        <v>1.497</v>
      </c>
      <c r="S21" s="21">
        <f t="shared" si="1"/>
        <v>1.214</v>
      </c>
    </row>
    <row r="22" spans="1:24" ht="15">
      <c r="A22" s="5" t="s">
        <v>342</v>
      </c>
      <c r="B22" s="21">
        <v>1.16</v>
      </c>
      <c r="C22" s="21">
        <v>1.25</v>
      </c>
      <c r="D22" s="21">
        <v>0.99</v>
      </c>
      <c r="E22" s="21">
        <v>1.16</v>
      </c>
      <c r="F22" s="21">
        <v>1.33</v>
      </c>
      <c r="G22" s="21">
        <v>1.52</v>
      </c>
      <c r="H22" s="21">
        <v>1.8</v>
      </c>
      <c r="I22" s="21">
        <v>1.43</v>
      </c>
      <c r="J22" s="21">
        <v>1.45</v>
      </c>
      <c r="K22" s="21">
        <v>1.54</v>
      </c>
      <c r="L22" s="21">
        <v>1.16</v>
      </c>
      <c r="M22" s="21">
        <v>1.14</v>
      </c>
      <c r="N22" s="21">
        <v>1.3</v>
      </c>
      <c r="O22" s="21">
        <v>1.3</v>
      </c>
      <c r="P22" s="21">
        <v>1.29</v>
      </c>
      <c r="Q22" s="21">
        <v>1.27</v>
      </c>
      <c r="R22" s="21">
        <f t="shared" si="0"/>
        <v>1.363</v>
      </c>
      <c r="S22" s="21">
        <f t="shared" si="1"/>
        <v>1.2600000000000002</v>
      </c>
      <c r="X22" s="5" t="s">
        <v>385</v>
      </c>
    </row>
    <row r="23" spans="1:24" ht="15">
      <c r="A23" s="5" t="str">
        <f>'[22]Sch 11, p 1'!A22</f>
        <v>PNM Resources</v>
      </c>
      <c r="B23" s="21">
        <v>0.72</v>
      </c>
      <c r="C23" s="21">
        <v>0.84</v>
      </c>
      <c r="D23" s="21">
        <v>0.87</v>
      </c>
      <c r="E23" s="21">
        <v>0.95</v>
      </c>
      <c r="F23" s="21">
        <v>1.08</v>
      </c>
      <c r="G23" s="21">
        <v>1.06</v>
      </c>
      <c r="H23" s="21">
        <v>1.06</v>
      </c>
      <c r="I23" s="21">
        <v>0.85</v>
      </c>
      <c r="J23" s="21">
        <v>0.94</v>
      </c>
      <c r="K23" s="21">
        <v>1.23</v>
      </c>
      <c r="L23" s="21">
        <v>0.95</v>
      </c>
      <c r="M23" s="21">
        <v>0.93</v>
      </c>
      <c r="N23" s="21">
        <v>1.24</v>
      </c>
      <c r="O23" s="21">
        <v>1.47</v>
      </c>
      <c r="P23" s="21">
        <v>1.34</v>
      </c>
      <c r="Q23" s="21">
        <v>1.24</v>
      </c>
      <c r="R23" s="21">
        <f t="shared" si="0"/>
        <v>0.96</v>
      </c>
      <c r="S23" s="21">
        <f t="shared" si="1"/>
        <v>1.244</v>
      </c>
      <c r="X23" s="5" t="s">
        <v>387</v>
      </c>
    </row>
    <row r="24" spans="1:24" ht="15">
      <c r="A24" s="5" t="str">
        <f>'[22]Sch 11, p 1'!A25</f>
        <v>Westar Energy</v>
      </c>
      <c r="B24" s="21">
        <v>1.44</v>
      </c>
      <c r="C24" s="21">
        <v>1.52</v>
      </c>
      <c r="D24" s="21">
        <v>1.3</v>
      </c>
      <c r="E24" s="21">
        <v>1.29</v>
      </c>
      <c r="F24" s="21">
        <v>1.26</v>
      </c>
      <c r="G24" s="21">
        <v>1.31</v>
      </c>
      <c r="H24" s="21">
        <v>1.28</v>
      </c>
      <c r="I24" s="21">
        <v>0.89</v>
      </c>
      <c r="J24" s="21">
        <v>0.74</v>
      </c>
      <c r="K24" s="21">
        <v>0.78</v>
      </c>
      <c r="L24" s="21">
        <v>0.67</v>
      </c>
      <c r="M24" s="21">
        <v>1.09</v>
      </c>
      <c r="N24" s="21">
        <v>1.32</v>
      </c>
      <c r="O24" s="21">
        <v>1.42</v>
      </c>
      <c r="P24" s="21">
        <v>1.39</v>
      </c>
      <c r="Q24" s="21">
        <v>1.4</v>
      </c>
      <c r="R24" s="21">
        <f t="shared" si="0"/>
        <v>1.1809999999999998</v>
      </c>
      <c r="S24" s="21">
        <f t="shared" si="1"/>
        <v>1.3239999999999998</v>
      </c>
      <c r="X24" s="5" t="s">
        <v>392</v>
      </c>
    </row>
    <row r="25" spans="1:19" ht="15.75" thickBot="1">
      <c r="A25" s="215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  <c r="S25" s="223"/>
    </row>
    <row r="26" spans="1:19" ht="28.5" customHeight="1" thickTop="1">
      <c r="A26" s="217" t="str">
        <f>'[22]Sch 11, p 1'!A27</f>
        <v>Mean</v>
      </c>
      <c r="B26" s="224">
        <f>AVERAGE(B18:B24)</f>
        <v>1.4257142857142857</v>
      </c>
      <c r="C26" s="224">
        <f aca="true" t="shared" si="2" ref="C26:S26">AVERAGE(C18:C24)</f>
        <v>1.4542857142857142</v>
      </c>
      <c r="D26" s="224">
        <f t="shared" si="2"/>
        <v>1.24</v>
      </c>
      <c r="E26" s="224">
        <f t="shared" si="2"/>
        <v>1.2771428571428574</v>
      </c>
      <c r="F26" s="224">
        <f t="shared" si="2"/>
        <v>1.375714285714286</v>
      </c>
      <c r="G26" s="224">
        <f t="shared" si="2"/>
        <v>1.4100000000000001</v>
      </c>
      <c r="H26" s="224">
        <f t="shared" si="2"/>
        <v>1.5142857142857142</v>
      </c>
      <c r="I26" s="224">
        <f t="shared" si="2"/>
        <v>1.3485714285714288</v>
      </c>
      <c r="J26" s="224">
        <f t="shared" si="2"/>
        <v>1.5414285714285714</v>
      </c>
      <c r="K26" s="224">
        <f t="shared" si="2"/>
        <v>1.2857142857142858</v>
      </c>
      <c r="L26" s="224">
        <f t="shared" si="2"/>
        <v>1.082857142857143</v>
      </c>
      <c r="M26" s="224">
        <f t="shared" si="2"/>
        <v>1.1385714285714286</v>
      </c>
      <c r="N26" s="224">
        <f t="shared" si="2"/>
        <v>1.327142857142857</v>
      </c>
      <c r="O26" s="224">
        <f t="shared" si="2"/>
        <v>1.407142857142857</v>
      </c>
      <c r="P26" s="224">
        <f t="shared" si="2"/>
        <v>3.1828571428571424</v>
      </c>
      <c r="Q26" s="224">
        <f t="shared" si="2"/>
        <v>1.41</v>
      </c>
      <c r="R26" s="225">
        <f t="shared" si="2"/>
        <v>1.3872857142857138</v>
      </c>
      <c r="S26" s="225">
        <f t="shared" si="2"/>
        <v>1.6931428571428573</v>
      </c>
    </row>
    <row r="27" spans="1:19" ht="28.5" customHeight="1" thickBot="1">
      <c r="A27" s="218" t="str">
        <f>'[22]Sch 11, p 1'!A28</f>
        <v>Median</v>
      </c>
      <c r="B27" s="226">
        <f>MEDIAN(B18:B24)</f>
        <v>1.51</v>
      </c>
      <c r="C27" s="226">
        <f aca="true" t="shared" si="3" ref="C27:Q27">MEDIAN(C18:C24)</f>
        <v>1.54</v>
      </c>
      <c r="D27" s="226">
        <f t="shared" si="3"/>
        <v>1.33</v>
      </c>
      <c r="E27" s="226">
        <f>MEDIAN(E18:E24)</f>
        <v>1.29</v>
      </c>
      <c r="F27" s="226">
        <f t="shared" si="3"/>
        <v>1.43</v>
      </c>
      <c r="G27" s="226">
        <f t="shared" si="3"/>
        <v>1.47</v>
      </c>
      <c r="H27" s="226">
        <f t="shared" si="3"/>
        <v>1.61</v>
      </c>
      <c r="I27" s="226">
        <f t="shared" si="3"/>
        <v>1.43</v>
      </c>
      <c r="J27" s="226">
        <f t="shared" si="3"/>
        <v>1.39</v>
      </c>
      <c r="K27" s="226">
        <f t="shared" si="3"/>
        <v>1.24</v>
      </c>
      <c r="L27" s="226">
        <f t="shared" si="3"/>
        <v>1.1</v>
      </c>
      <c r="M27" s="226">
        <f t="shared" si="3"/>
        <v>1.09</v>
      </c>
      <c r="N27" s="226">
        <f t="shared" si="3"/>
        <v>1.3</v>
      </c>
      <c r="O27" s="226">
        <f t="shared" si="3"/>
        <v>1.42</v>
      </c>
      <c r="P27" s="226">
        <f t="shared" si="3"/>
        <v>1.39</v>
      </c>
      <c r="Q27" s="226">
        <f t="shared" si="3"/>
        <v>1.4</v>
      </c>
      <c r="R27" s="227">
        <f>AVERAGE(B27:K27)</f>
        <v>1.424</v>
      </c>
      <c r="S27" s="227">
        <f>AVERAGE(M27:Q27)</f>
        <v>1.3199999999999998</v>
      </c>
    </row>
    <row r="28" spans="2:19" ht="5.25" customHeight="1" thickTop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19" ht="5.2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5.75">
      <c r="A30" s="33" t="str">
        <f>+'Sch 11, p 1'!A30</f>
        <v>S&amp;P Integrated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.75">
      <c r="A31" s="33" t="str">
        <f>'[22]Sch 11, p 1'!A32</f>
        <v>Electric Utilities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5">
      <c r="A32" s="3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24" ht="15">
      <c r="A33" s="34" t="str">
        <f>+'Sch 11, p 1'!A33</f>
        <v>ALLETE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v>2.12</v>
      </c>
      <c r="P33" s="21">
        <v>2.19</v>
      </c>
      <c r="Q33" s="21">
        <v>1.95</v>
      </c>
      <c r="R33" s="21"/>
      <c r="S33" s="21">
        <f aca="true" t="shared" si="4" ref="S33:S57">AVERAGE(M33:Q33)</f>
        <v>2.086666666666667</v>
      </c>
      <c r="X33" s="5" t="s">
        <v>241</v>
      </c>
    </row>
    <row r="34" spans="1:24" ht="15">
      <c r="A34" s="34" t="str">
        <f>+'Sch 11, p 1'!A34</f>
        <v>Alliant Energy</v>
      </c>
      <c r="B34" s="21">
        <v>1.9</v>
      </c>
      <c r="C34" s="21">
        <v>1.85</v>
      </c>
      <c r="D34" s="21">
        <v>1.54</v>
      </c>
      <c r="E34" s="21">
        <v>1.52</v>
      </c>
      <c r="F34" s="21">
        <v>1.54</v>
      </c>
      <c r="G34" s="21">
        <v>1.55</v>
      </c>
      <c r="H34" s="21">
        <v>1.56</v>
      </c>
      <c r="I34" s="21">
        <v>1.2</v>
      </c>
      <c r="J34" s="21">
        <v>1.2</v>
      </c>
      <c r="K34" s="21">
        <v>1.29</v>
      </c>
      <c r="L34" s="21">
        <v>1.1</v>
      </c>
      <c r="M34" s="21">
        <v>0.97</v>
      </c>
      <c r="N34" s="21">
        <v>1.2</v>
      </c>
      <c r="O34" s="21">
        <v>1.31</v>
      </c>
      <c r="P34" s="21">
        <v>1.55</v>
      </c>
      <c r="Q34" s="21">
        <v>1.73</v>
      </c>
      <c r="R34" s="21">
        <f aca="true" t="shared" si="5" ref="R34:R57">AVERAGE(B34:K34)</f>
        <v>1.5150000000000001</v>
      </c>
      <c r="S34" s="21">
        <f t="shared" si="4"/>
        <v>1.3519999999999999</v>
      </c>
      <c r="X34" s="5" t="s">
        <v>394</v>
      </c>
    </row>
    <row r="35" spans="1:24" ht="15">
      <c r="A35" s="34" t="str">
        <f>+'Sch 11, p 1'!A35</f>
        <v>American Electric Power</v>
      </c>
      <c r="B35" s="21">
        <v>1.43</v>
      </c>
      <c r="C35" s="21">
        <v>1.59</v>
      </c>
      <c r="D35" s="21">
        <v>1.43</v>
      </c>
      <c r="E35" s="21">
        <v>1.56</v>
      </c>
      <c r="F35" s="21">
        <v>1.76</v>
      </c>
      <c r="G35" s="21">
        <v>1.87</v>
      </c>
      <c r="H35" s="21">
        <v>1.91</v>
      </c>
      <c r="I35" s="21">
        <v>1.54</v>
      </c>
      <c r="J35" s="21">
        <v>1.47</v>
      </c>
      <c r="K35" s="21">
        <v>1.79</v>
      </c>
      <c r="L35" s="21">
        <v>1.38</v>
      </c>
      <c r="M35" s="21">
        <v>1.24</v>
      </c>
      <c r="N35" s="21">
        <v>1.55</v>
      </c>
      <c r="O35" s="21">
        <v>1.65</v>
      </c>
      <c r="P35" s="21">
        <v>1.61</v>
      </c>
      <c r="Q35" s="21">
        <v>1.9</v>
      </c>
      <c r="R35" s="21">
        <f t="shared" si="5"/>
        <v>1.6350000000000002</v>
      </c>
      <c r="S35" s="21">
        <f t="shared" si="4"/>
        <v>1.5899999999999999</v>
      </c>
      <c r="X35" s="5" t="s">
        <v>398</v>
      </c>
    </row>
    <row r="36" spans="1:24" ht="15">
      <c r="A36" s="34" t="str">
        <f>+'Sch 11, p 1'!A36</f>
        <v>Ameren Corp.</v>
      </c>
      <c r="B36" s="21">
        <v>1.69</v>
      </c>
      <c r="C36" s="21">
        <v>1.88</v>
      </c>
      <c r="D36" s="21">
        <v>1.6</v>
      </c>
      <c r="E36" s="21">
        <v>1.7</v>
      </c>
      <c r="F36" s="21">
        <v>1.75</v>
      </c>
      <c r="G36" s="21">
        <v>1.74</v>
      </c>
      <c r="H36" s="21">
        <v>1.8</v>
      </c>
      <c r="I36" s="21">
        <v>1.67</v>
      </c>
      <c r="J36" s="21">
        <v>1.63</v>
      </c>
      <c r="K36" s="21">
        <v>1.73</v>
      </c>
      <c r="L36" s="21">
        <v>1.63</v>
      </c>
      <c r="M36" s="21">
        <v>1.62</v>
      </c>
      <c r="N36" s="21">
        <v>1.61</v>
      </c>
      <c r="O36" s="21">
        <v>1.72</v>
      </c>
      <c r="P36" s="21">
        <v>1.64</v>
      </c>
      <c r="Q36" s="21">
        <v>1.59</v>
      </c>
      <c r="R36" s="21">
        <f t="shared" si="5"/>
        <v>1.719</v>
      </c>
      <c r="S36" s="21">
        <f t="shared" si="4"/>
        <v>1.636</v>
      </c>
      <c r="X36" s="228" t="s">
        <v>396</v>
      </c>
    </row>
    <row r="37" spans="1:24" ht="15">
      <c r="A37" s="34" t="str">
        <f>+'Sch 11, p 1'!A37</f>
        <v>Cleco</v>
      </c>
      <c r="B37" s="21">
        <v>1.77</v>
      </c>
      <c r="C37" s="21">
        <v>1.75</v>
      </c>
      <c r="D37" s="21">
        <v>1.56</v>
      </c>
      <c r="E37" s="21">
        <v>1.62</v>
      </c>
      <c r="F37" s="21">
        <v>1.68</v>
      </c>
      <c r="G37" s="21">
        <v>1.71</v>
      </c>
      <c r="H37" s="21">
        <v>1.83</v>
      </c>
      <c r="I37" s="21">
        <v>1.72</v>
      </c>
      <c r="J37" s="21">
        <v>2.23</v>
      </c>
      <c r="K37" s="21">
        <v>2.24</v>
      </c>
      <c r="L37" s="21">
        <v>1.54</v>
      </c>
      <c r="M37" s="21">
        <v>1.34</v>
      </c>
      <c r="N37" s="21">
        <v>1.77</v>
      </c>
      <c r="O37" s="21">
        <v>1.77</v>
      </c>
      <c r="P37" s="21">
        <v>1.62</v>
      </c>
      <c r="Q37" s="21">
        <v>1.65</v>
      </c>
      <c r="R37" s="21">
        <f t="shared" si="5"/>
        <v>1.811</v>
      </c>
      <c r="S37" s="21">
        <f t="shared" si="4"/>
        <v>1.6300000000000001</v>
      </c>
      <c r="X37" s="5" t="s">
        <v>399</v>
      </c>
    </row>
    <row r="38" spans="1:24" ht="15">
      <c r="A38" s="34" t="str">
        <f>+'Sch 11, p 1'!A38</f>
        <v>DTE Energy</v>
      </c>
      <c r="B38" s="21">
        <v>1.62</v>
      </c>
      <c r="C38" s="21">
        <v>1.54</v>
      </c>
      <c r="D38" s="21">
        <v>1.2</v>
      </c>
      <c r="E38" s="21">
        <v>1.3</v>
      </c>
      <c r="F38" s="21">
        <v>1.37</v>
      </c>
      <c r="G38" s="21">
        <v>1.26</v>
      </c>
      <c r="H38" s="21">
        <v>1.65</v>
      </c>
      <c r="I38" s="21">
        <v>1.45</v>
      </c>
      <c r="J38" s="21">
        <v>1.26</v>
      </c>
      <c r="K38" s="21">
        <v>1.42</v>
      </c>
      <c r="L38" s="21">
        <v>1.45</v>
      </c>
      <c r="M38" s="21">
        <v>1.42</v>
      </c>
      <c r="N38" s="21">
        <v>1.32</v>
      </c>
      <c r="O38" s="21">
        <v>1.4</v>
      </c>
      <c r="P38" s="21">
        <v>1.34</v>
      </c>
      <c r="Q38" s="21">
        <v>1.44</v>
      </c>
      <c r="R38" s="21">
        <f t="shared" si="5"/>
        <v>1.407</v>
      </c>
      <c r="S38" s="21">
        <f t="shared" si="4"/>
        <v>1.384</v>
      </c>
      <c r="X38" s="5" t="s">
        <v>402</v>
      </c>
    </row>
    <row r="39" spans="1:24" ht="15">
      <c r="A39" s="34" t="str">
        <f>+'Sch 11, p 1'!A39</f>
        <v>Edison International</v>
      </c>
      <c r="B39" s="21">
        <v>1.67</v>
      </c>
      <c r="C39" s="21">
        <v>1.72</v>
      </c>
      <c r="D39" s="21">
        <v>1.22</v>
      </c>
      <c r="E39" s="21">
        <v>1.16</v>
      </c>
      <c r="F39" s="21">
        <v>1.2</v>
      </c>
      <c r="G39" s="21">
        <v>1.58</v>
      </c>
      <c r="H39" s="21">
        <v>1.92</v>
      </c>
      <c r="I39" s="21">
        <v>1.73</v>
      </c>
      <c r="J39" s="21">
        <v>1.97</v>
      </c>
      <c r="K39" s="21">
        <v>1.28</v>
      </c>
      <c r="L39" s="21">
        <v>1.17</v>
      </c>
      <c r="M39" s="21">
        <v>1.08</v>
      </c>
      <c r="N39" s="21">
        <v>1.53</v>
      </c>
      <c r="O39" s="21">
        <v>2.05</v>
      </c>
      <c r="P39" s="21">
        <v>1.94</v>
      </c>
      <c r="Q39" s="21">
        <v>2.09</v>
      </c>
      <c r="R39" s="21">
        <f t="shared" si="5"/>
        <v>1.5450000000000002</v>
      </c>
      <c r="S39" s="21">
        <f t="shared" si="4"/>
        <v>1.738</v>
      </c>
      <c r="X39" s="5" t="s">
        <v>405</v>
      </c>
    </row>
    <row r="40" spans="1:24" ht="15">
      <c r="A40" s="34" t="str">
        <f>+'Sch 11, p 1'!A40</f>
        <v>Empire District Electric</v>
      </c>
      <c r="B40" s="21">
        <f>+B19</f>
        <v>1.84</v>
      </c>
      <c r="C40" s="21">
        <f aca="true" t="shared" si="6" ref="C40:Q40">+C19</f>
        <v>1.78</v>
      </c>
      <c r="D40" s="21">
        <f t="shared" si="6"/>
        <v>1.43</v>
      </c>
      <c r="E40" s="21">
        <f t="shared" si="6"/>
        <v>1.42</v>
      </c>
      <c r="F40" s="21">
        <f t="shared" si="6"/>
        <v>1.43</v>
      </c>
      <c r="G40" s="21">
        <f t="shared" si="6"/>
        <v>1.38</v>
      </c>
      <c r="H40" s="21">
        <f t="shared" si="6"/>
        <v>1.68</v>
      </c>
      <c r="I40" s="21">
        <f t="shared" si="6"/>
        <v>1.77</v>
      </c>
      <c r="J40" s="21">
        <f t="shared" si="6"/>
        <v>1.83</v>
      </c>
      <c r="K40" s="21">
        <f t="shared" si="6"/>
        <v>1.62</v>
      </c>
      <c r="L40" s="21">
        <f t="shared" si="6"/>
        <v>1.32</v>
      </c>
      <c r="M40" s="21">
        <f t="shared" si="6"/>
        <v>1.33</v>
      </c>
      <c r="N40" s="21">
        <f t="shared" si="6"/>
        <v>1.44</v>
      </c>
      <c r="O40" s="21">
        <f t="shared" si="6"/>
        <v>1.48</v>
      </c>
      <c r="P40" s="21">
        <f t="shared" si="6"/>
        <v>1.49</v>
      </c>
      <c r="Q40" s="21">
        <f t="shared" si="6"/>
        <v>1.5</v>
      </c>
      <c r="R40" s="21">
        <f t="shared" si="5"/>
        <v>1.6179999999999999</v>
      </c>
      <c r="S40" s="21">
        <f t="shared" si="4"/>
        <v>1.448</v>
      </c>
      <c r="X40" s="5" t="s">
        <v>381</v>
      </c>
    </row>
    <row r="41" spans="1:24" ht="15">
      <c r="A41" s="34" t="str">
        <f>+'Sch 11, p 1'!A41</f>
        <v>Energy East</v>
      </c>
      <c r="B41" s="21">
        <v>1.31</v>
      </c>
      <c r="C41" s="21">
        <v>1.43</v>
      </c>
      <c r="D41" s="21">
        <v>1.05</v>
      </c>
      <c r="E41" s="21">
        <v>0.96</v>
      </c>
      <c r="F41" s="21">
        <v>0.94</v>
      </c>
      <c r="G41" s="21">
        <v>1.08</v>
      </c>
      <c r="H41" s="21">
        <v>1.69</v>
      </c>
      <c r="I41" s="21">
        <v>1.86</v>
      </c>
      <c r="J41" s="21">
        <v>1.51</v>
      </c>
      <c r="K41" s="21">
        <v>1.31</v>
      </c>
      <c r="L41" s="21">
        <v>1.21</v>
      </c>
      <c r="M41" s="21">
        <v>1.19</v>
      </c>
      <c r="N41" s="21">
        <v>1.38</v>
      </c>
      <c r="O41" s="21">
        <v>1.41</v>
      </c>
      <c r="P41" s="21">
        <v>1.23</v>
      </c>
      <c r="Q41" s="21">
        <v>1.27</v>
      </c>
      <c r="R41" s="21">
        <f t="shared" si="5"/>
        <v>1.3139999999999998</v>
      </c>
      <c r="S41" s="21">
        <f t="shared" si="4"/>
        <v>1.2959999999999998</v>
      </c>
      <c r="X41" s="5" t="s">
        <v>407</v>
      </c>
    </row>
    <row r="42" spans="1:24" ht="15">
      <c r="A42" s="34" t="str">
        <f>+'Sch 11, p 1'!A42</f>
        <v>Entergy</v>
      </c>
      <c r="B42" s="21">
        <v>1.24</v>
      </c>
      <c r="C42" s="21">
        <v>1.37</v>
      </c>
      <c r="D42" s="21">
        <v>1.04</v>
      </c>
      <c r="E42" s="21">
        <v>0.88</v>
      </c>
      <c r="F42" s="21">
        <v>0.97</v>
      </c>
      <c r="G42" s="21">
        <v>0.95</v>
      </c>
      <c r="H42" s="21">
        <v>0.99</v>
      </c>
      <c r="I42" s="21">
        <v>0.99</v>
      </c>
      <c r="J42" s="21">
        <v>0.99</v>
      </c>
      <c r="K42" s="21">
        <v>1.18</v>
      </c>
      <c r="L42" s="21">
        <v>1.14</v>
      </c>
      <c r="M42" s="21">
        <v>1.36</v>
      </c>
      <c r="N42" s="21">
        <v>1.56</v>
      </c>
      <c r="O42" s="21">
        <v>1.94</v>
      </c>
      <c r="P42" s="21">
        <v>2.11</v>
      </c>
      <c r="Q42" s="21">
        <v>2.64</v>
      </c>
      <c r="R42" s="21">
        <f t="shared" si="5"/>
        <v>1.06</v>
      </c>
      <c r="S42" s="21">
        <f t="shared" si="4"/>
        <v>1.922</v>
      </c>
      <c r="X42" s="5" t="s">
        <v>408</v>
      </c>
    </row>
    <row r="43" spans="1:19" ht="15">
      <c r="A43" s="34" t="str">
        <f>+'Sch 11, p 1'!A43</f>
        <v>FirstEnergy Corp</v>
      </c>
      <c r="B43" s="21">
        <v>1.37</v>
      </c>
      <c r="C43" s="21">
        <v>1.54</v>
      </c>
      <c r="D43" s="21">
        <v>1.31</v>
      </c>
      <c r="E43" s="21">
        <v>1.37</v>
      </c>
      <c r="F43" s="21">
        <v>1.37</v>
      </c>
      <c r="G43" s="21">
        <v>1.4</v>
      </c>
      <c r="H43" s="21">
        <v>1.66</v>
      </c>
      <c r="I43" s="21">
        <v>1.44</v>
      </c>
      <c r="J43" s="21">
        <v>1.24</v>
      </c>
      <c r="K43" s="21">
        <v>1.36</v>
      </c>
      <c r="L43" s="21">
        <v>1.31</v>
      </c>
      <c r="M43" s="21">
        <v>1.32</v>
      </c>
      <c r="N43" s="21">
        <v>1.54</v>
      </c>
      <c r="O43" s="21">
        <v>1.69</v>
      </c>
      <c r="P43" s="21">
        <v>1.95</v>
      </c>
      <c r="Q43" s="21">
        <v>2.32</v>
      </c>
      <c r="R43" s="21">
        <f t="shared" si="5"/>
        <v>1.4060000000000001</v>
      </c>
      <c r="S43" s="21">
        <f t="shared" si="4"/>
        <v>1.764</v>
      </c>
    </row>
    <row r="44" spans="1:24" ht="15">
      <c r="A44" s="34" t="str">
        <f>+'Sch 11, p 1'!A44</f>
        <v>FPL Group</v>
      </c>
      <c r="B44" s="21">
        <v>1.73</v>
      </c>
      <c r="C44" s="21">
        <v>1.8</v>
      </c>
      <c r="D44" s="21">
        <v>1.51</v>
      </c>
      <c r="E44" s="21">
        <v>1.75</v>
      </c>
      <c r="F44" s="21">
        <v>1.84</v>
      </c>
      <c r="G44" s="21">
        <v>1.98</v>
      </c>
      <c r="H44" s="21">
        <v>2.34</v>
      </c>
      <c r="I44" s="21">
        <v>1.77</v>
      </c>
      <c r="J44" s="21">
        <v>1.77</v>
      </c>
      <c r="K44" s="21">
        <v>1.86</v>
      </c>
      <c r="L44" s="21">
        <v>1.6</v>
      </c>
      <c r="M44" s="21">
        <v>1.67</v>
      </c>
      <c r="N44" s="21">
        <v>1.74</v>
      </c>
      <c r="O44" s="21">
        <v>2.01</v>
      </c>
      <c r="P44" s="21">
        <v>2.03</v>
      </c>
      <c r="Q44" s="21">
        <v>2.47</v>
      </c>
      <c r="R44" s="21">
        <f t="shared" si="5"/>
        <v>1.8350000000000002</v>
      </c>
      <c r="S44" s="21">
        <f t="shared" si="4"/>
        <v>1.984</v>
      </c>
      <c r="X44" s="5" t="s">
        <v>410</v>
      </c>
    </row>
    <row r="45" spans="1:24" ht="15">
      <c r="A45" s="34" t="str">
        <f>+'Sch 11, p 1'!A45</f>
        <v>Hawaiian Electric Industries</v>
      </c>
      <c r="B45" s="21">
        <f>+B20</f>
        <v>1.71</v>
      </c>
      <c r="C45" s="21">
        <f aca="true" t="shared" si="7" ref="C45:Q45">+C20</f>
        <v>1.54</v>
      </c>
      <c r="D45" s="21">
        <f t="shared" si="7"/>
        <v>1.41</v>
      </c>
      <c r="E45" s="21">
        <f t="shared" si="7"/>
        <v>1.49</v>
      </c>
      <c r="F45" s="21">
        <f t="shared" si="7"/>
        <v>1.47</v>
      </c>
      <c r="G45" s="21">
        <f t="shared" si="7"/>
        <v>1.47</v>
      </c>
      <c r="H45" s="21">
        <f t="shared" si="7"/>
        <v>1.54</v>
      </c>
      <c r="I45" s="21">
        <f t="shared" si="7"/>
        <v>1.32</v>
      </c>
      <c r="J45" s="21">
        <f t="shared" si="7"/>
        <v>1.27</v>
      </c>
      <c r="K45" s="21">
        <f t="shared" si="7"/>
        <v>1.45</v>
      </c>
      <c r="L45" s="21">
        <f t="shared" si="7"/>
        <v>1.53</v>
      </c>
      <c r="M45" s="21">
        <f t="shared" si="7"/>
        <v>1.51</v>
      </c>
      <c r="N45" s="21">
        <f t="shared" si="7"/>
        <v>1.79</v>
      </c>
      <c r="O45" s="21">
        <f t="shared" si="7"/>
        <v>1.81</v>
      </c>
      <c r="P45" s="21">
        <f t="shared" si="7"/>
        <v>1.92</v>
      </c>
      <c r="Q45" s="21">
        <f t="shared" si="7"/>
        <v>1.77</v>
      </c>
      <c r="R45" s="21">
        <f t="shared" si="5"/>
        <v>1.4669999999999999</v>
      </c>
      <c r="S45" s="21">
        <f t="shared" si="4"/>
        <v>1.7599999999999998</v>
      </c>
      <c r="X45" s="5" t="s">
        <v>383</v>
      </c>
    </row>
    <row r="46" spans="1:24" ht="15">
      <c r="A46" s="34" t="str">
        <f>+'Sch 11, p 1'!A46</f>
        <v>IDACORP</v>
      </c>
      <c r="B46" s="21">
        <v>1.55</v>
      </c>
      <c r="C46" s="21">
        <v>1.72</v>
      </c>
      <c r="D46" s="21">
        <v>1.46</v>
      </c>
      <c r="E46" s="21">
        <v>1.48</v>
      </c>
      <c r="F46" s="21">
        <v>1.68</v>
      </c>
      <c r="G46" s="21">
        <v>1.77</v>
      </c>
      <c r="H46" s="21">
        <v>1.77</v>
      </c>
      <c r="I46" s="21">
        <v>1.58</v>
      </c>
      <c r="J46" s="21">
        <v>1.89</v>
      </c>
      <c r="K46" s="21">
        <v>1.85</v>
      </c>
      <c r="L46" s="21">
        <v>1.34</v>
      </c>
      <c r="M46" s="21">
        <v>1.12</v>
      </c>
      <c r="N46" s="21">
        <v>1.25</v>
      </c>
      <c r="O46" s="21">
        <v>1.22</v>
      </c>
      <c r="P46" s="21">
        <v>1.39</v>
      </c>
      <c r="Q46" s="21">
        <v>1.3376</v>
      </c>
      <c r="R46" s="21">
        <f t="shared" si="5"/>
        <v>1.675</v>
      </c>
      <c r="S46" s="21">
        <f t="shared" si="4"/>
        <v>1.26352</v>
      </c>
      <c r="X46" s="5" t="s">
        <v>191</v>
      </c>
    </row>
    <row r="47" spans="1:19" ht="15">
      <c r="A47" s="34" t="str">
        <f>+'Sch 11, p 1'!A47</f>
        <v>MGE Corp</v>
      </c>
      <c r="B47" s="21">
        <v>1.89</v>
      </c>
      <c r="C47" s="21">
        <v>1.96</v>
      </c>
      <c r="D47" s="21">
        <v>1.89</v>
      </c>
      <c r="E47" s="21">
        <v>1.83</v>
      </c>
      <c r="F47" s="21">
        <v>2.03</v>
      </c>
      <c r="G47" s="21">
        <v>1.89</v>
      </c>
      <c r="H47" s="21">
        <v>1.97</v>
      </c>
      <c r="I47" s="21">
        <v>1.77</v>
      </c>
      <c r="J47" s="21">
        <v>1.72</v>
      </c>
      <c r="K47" s="21">
        <v>1.97</v>
      </c>
      <c r="L47" s="21">
        <v>2.14</v>
      </c>
      <c r="M47" s="21">
        <v>2.23</v>
      </c>
      <c r="N47" s="21">
        <v>2.07</v>
      </c>
      <c r="O47" s="21">
        <v>2.07</v>
      </c>
      <c r="P47" s="21">
        <v>1.91</v>
      </c>
      <c r="Q47" s="21">
        <v>1.78</v>
      </c>
      <c r="R47" s="21">
        <f>AVERAGE(B47:Q47)</f>
        <v>1.945</v>
      </c>
      <c r="S47" s="21">
        <f t="shared" si="4"/>
        <v>2.0119999999999996</v>
      </c>
    </row>
    <row r="48" spans="1:24" ht="15">
      <c r="A48" s="34" t="str">
        <f>+'Sch 11, p 1'!A48</f>
        <v>Northeast Utilities</v>
      </c>
      <c r="B48" s="21">
        <v>1.54</v>
      </c>
      <c r="C48" s="21">
        <v>1.49</v>
      </c>
      <c r="D48" s="21">
        <v>1.27</v>
      </c>
      <c r="E48" s="21">
        <v>1.24</v>
      </c>
      <c r="F48" s="21">
        <v>0.95</v>
      </c>
      <c r="G48" s="21">
        <v>0.64</v>
      </c>
      <c r="H48" s="21">
        <v>0.91</v>
      </c>
      <c r="I48" s="21">
        <v>1.13</v>
      </c>
      <c r="J48" s="21">
        <v>1.36</v>
      </c>
      <c r="K48" s="21">
        <v>1.29</v>
      </c>
      <c r="L48" s="21">
        <v>0.99</v>
      </c>
      <c r="M48" s="21">
        <v>0.95</v>
      </c>
      <c r="N48" s="21">
        <v>1.06</v>
      </c>
      <c r="O48" s="21">
        <v>1.08</v>
      </c>
      <c r="P48" s="21">
        <v>1.31</v>
      </c>
      <c r="Q48" s="21">
        <v>1.61</v>
      </c>
      <c r="R48" s="21">
        <f t="shared" si="5"/>
        <v>1.182</v>
      </c>
      <c r="S48" s="21">
        <f t="shared" si="4"/>
        <v>1.2020000000000002</v>
      </c>
      <c r="X48" s="5" t="s">
        <v>385</v>
      </c>
    </row>
    <row r="49" spans="1:24" ht="15">
      <c r="A49" s="34" t="str">
        <f>+'Sch 11, p 1'!A49</f>
        <v>PG&amp;E</v>
      </c>
      <c r="B49" s="21">
        <v>1.68</v>
      </c>
      <c r="C49" s="21">
        <v>1.75</v>
      </c>
      <c r="D49" s="21">
        <v>1.42</v>
      </c>
      <c r="E49" s="21">
        <v>1.34</v>
      </c>
      <c r="F49" s="21">
        <v>1.15</v>
      </c>
      <c r="G49" s="21">
        <v>1.23</v>
      </c>
      <c r="H49" s="21">
        <v>1.52</v>
      </c>
      <c r="I49" s="21">
        <v>1.35</v>
      </c>
      <c r="J49" s="21">
        <v>1.79</v>
      </c>
      <c r="K49" s="21">
        <v>1.36</v>
      </c>
      <c r="L49" s="21">
        <v>1.49</v>
      </c>
      <c r="M49" s="21">
        <v>2.03</v>
      </c>
      <c r="N49" s="21">
        <v>1.96</v>
      </c>
      <c r="O49" s="21">
        <v>1.79</v>
      </c>
      <c r="P49" s="21">
        <v>2.08</v>
      </c>
      <c r="Q49" s="21">
        <v>2.19</v>
      </c>
      <c r="R49" s="21">
        <f t="shared" si="5"/>
        <v>1.459</v>
      </c>
      <c r="S49" s="21">
        <f t="shared" si="4"/>
        <v>2.01</v>
      </c>
      <c r="X49" s="5" t="s">
        <v>234</v>
      </c>
    </row>
    <row r="50" spans="1:24" ht="15">
      <c r="A50" s="241" t="str">
        <f>+A22</f>
        <v>Pinnacle West</v>
      </c>
      <c r="B50" s="120">
        <f aca="true" t="shared" si="8" ref="B50:Q50">+B22</f>
        <v>1.16</v>
      </c>
      <c r="C50" s="120">
        <f t="shared" si="8"/>
        <v>1.25</v>
      </c>
      <c r="D50" s="120">
        <f t="shared" si="8"/>
        <v>0.99</v>
      </c>
      <c r="E50" s="120">
        <f t="shared" si="8"/>
        <v>1.16</v>
      </c>
      <c r="F50" s="120">
        <f t="shared" si="8"/>
        <v>1.33</v>
      </c>
      <c r="G50" s="120">
        <f t="shared" si="8"/>
        <v>1.52</v>
      </c>
      <c r="H50" s="120">
        <f t="shared" si="8"/>
        <v>1.8</v>
      </c>
      <c r="I50" s="120">
        <f t="shared" si="8"/>
        <v>1.43</v>
      </c>
      <c r="J50" s="120">
        <f t="shared" si="8"/>
        <v>1.45</v>
      </c>
      <c r="K50" s="120">
        <f t="shared" si="8"/>
        <v>1.54</v>
      </c>
      <c r="L50" s="120">
        <f t="shared" si="8"/>
        <v>1.16</v>
      </c>
      <c r="M50" s="120">
        <f t="shared" si="8"/>
        <v>1.14</v>
      </c>
      <c r="N50" s="120">
        <f t="shared" si="8"/>
        <v>1.3</v>
      </c>
      <c r="O50" s="120">
        <f t="shared" si="8"/>
        <v>1.3</v>
      </c>
      <c r="P50" s="120">
        <f t="shared" si="8"/>
        <v>1.29</v>
      </c>
      <c r="Q50" s="120">
        <f t="shared" si="8"/>
        <v>1.27</v>
      </c>
      <c r="R50" s="21">
        <f t="shared" si="5"/>
        <v>1.363</v>
      </c>
      <c r="S50" s="21">
        <f t="shared" si="4"/>
        <v>1.2600000000000002</v>
      </c>
      <c r="X50" s="5" t="s">
        <v>414</v>
      </c>
    </row>
    <row r="51" spans="1:24" ht="15">
      <c r="A51" s="34" t="str">
        <f>+'Sch 11, p 1'!A51</f>
        <v>PNM Resources</v>
      </c>
      <c r="B51" s="21">
        <f>+B23</f>
        <v>0.72</v>
      </c>
      <c r="C51" s="21">
        <f aca="true" t="shared" si="9" ref="C51:Q51">+C23</f>
        <v>0.84</v>
      </c>
      <c r="D51" s="21">
        <f t="shared" si="9"/>
        <v>0.87</v>
      </c>
      <c r="E51" s="21">
        <f t="shared" si="9"/>
        <v>0.95</v>
      </c>
      <c r="F51" s="21">
        <f t="shared" si="9"/>
        <v>1.08</v>
      </c>
      <c r="G51" s="21">
        <f t="shared" si="9"/>
        <v>1.06</v>
      </c>
      <c r="H51" s="21">
        <f t="shared" si="9"/>
        <v>1.06</v>
      </c>
      <c r="I51" s="21">
        <f t="shared" si="9"/>
        <v>0.85</v>
      </c>
      <c r="J51" s="21">
        <f t="shared" si="9"/>
        <v>0.94</v>
      </c>
      <c r="K51" s="21">
        <f t="shared" si="9"/>
        <v>1.23</v>
      </c>
      <c r="L51" s="21">
        <f t="shared" si="9"/>
        <v>0.95</v>
      </c>
      <c r="M51" s="21">
        <f t="shared" si="9"/>
        <v>0.93</v>
      </c>
      <c r="N51" s="21">
        <f t="shared" si="9"/>
        <v>1.24</v>
      </c>
      <c r="O51" s="21">
        <f t="shared" si="9"/>
        <v>1.47</v>
      </c>
      <c r="P51" s="21">
        <f t="shared" si="9"/>
        <v>1.34</v>
      </c>
      <c r="Q51" s="21">
        <f t="shared" si="9"/>
        <v>1.24</v>
      </c>
      <c r="R51" s="21">
        <f t="shared" si="5"/>
        <v>0.96</v>
      </c>
      <c r="S51" s="21">
        <f t="shared" si="4"/>
        <v>1.244</v>
      </c>
      <c r="X51" s="5" t="s">
        <v>387</v>
      </c>
    </row>
    <row r="52" spans="1:24" ht="15">
      <c r="A52" s="34" t="str">
        <f>+'Sch 11, p 1'!A52</f>
        <v>Progress Energy</v>
      </c>
      <c r="B52" s="21">
        <v>1.71</v>
      </c>
      <c r="C52" s="21">
        <v>1.92</v>
      </c>
      <c r="D52" s="21">
        <v>1.59</v>
      </c>
      <c r="E52" s="21">
        <v>1.81</v>
      </c>
      <c r="F52" s="21">
        <v>2.09</v>
      </c>
      <c r="G52" s="21">
        <v>2.07</v>
      </c>
      <c r="H52" s="21">
        <v>2.33</v>
      </c>
      <c r="I52" s="21">
        <v>1.89</v>
      </c>
      <c r="J52" s="21">
        <v>1.63</v>
      </c>
      <c r="K52" s="21">
        <v>1.64</v>
      </c>
      <c r="L52" s="21">
        <v>1.52</v>
      </c>
      <c r="M52" s="21">
        <v>1.45</v>
      </c>
      <c r="N52" s="21">
        <v>1.44</v>
      </c>
      <c r="O52" s="21">
        <v>1.37</v>
      </c>
      <c r="P52" s="21">
        <v>1.4</v>
      </c>
      <c r="Q52" s="21">
        <v>1.48</v>
      </c>
      <c r="R52" s="21">
        <f t="shared" si="5"/>
        <v>1.8679999999999999</v>
      </c>
      <c r="S52" s="21">
        <f t="shared" si="4"/>
        <v>1.4280000000000002</v>
      </c>
      <c r="X52" s="228" t="s">
        <v>416</v>
      </c>
    </row>
    <row r="53" spans="1:24" ht="15">
      <c r="A53" s="34" t="str">
        <f>+'Sch 11, p 1'!A53</f>
        <v>Puget Energy</v>
      </c>
      <c r="B53" s="21">
        <v>1.49</v>
      </c>
      <c r="C53" s="21">
        <v>1.46</v>
      </c>
      <c r="D53" s="21">
        <v>1.12</v>
      </c>
      <c r="E53" s="21">
        <v>1.19</v>
      </c>
      <c r="F53" s="21">
        <v>1.3</v>
      </c>
      <c r="G53" s="21">
        <v>1.55</v>
      </c>
      <c r="H53" s="21">
        <v>1.7</v>
      </c>
      <c r="I53" s="21">
        <v>1.46</v>
      </c>
      <c r="J53" s="21">
        <v>1.43</v>
      </c>
      <c r="K53" s="21">
        <v>1.43</v>
      </c>
      <c r="L53" s="21">
        <v>1.259</v>
      </c>
      <c r="M53" s="21">
        <v>1.2887</v>
      </c>
      <c r="N53" s="21">
        <v>1.3748</v>
      </c>
      <c r="O53" s="21">
        <v>1.327</v>
      </c>
      <c r="P53" s="21">
        <v>1.2896</v>
      </c>
      <c r="Q53" s="21">
        <v>1.37</v>
      </c>
      <c r="R53" s="21">
        <f t="shared" si="5"/>
        <v>1.4129999999999998</v>
      </c>
      <c r="S53" s="21">
        <f t="shared" si="4"/>
        <v>1.33002</v>
      </c>
      <c r="X53" s="228" t="s">
        <v>286</v>
      </c>
    </row>
    <row r="54" spans="1:24" ht="15">
      <c r="A54" s="34" t="str">
        <f>+'Sch 11, p 1'!A54</f>
        <v>Southern Company</v>
      </c>
      <c r="B54" s="21">
        <v>1.54</v>
      </c>
      <c r="C54" s="21">
        <v>1.8</v>
      </c>
      <c r="D54" s="21">
        <v>1.61</v>
      </c>
      <c r="E54" s="21">
        <v>1.74</v>
      </c>
      <c r="F54" s="21">
        <v>1.76</v>
      </c>
      <c r="G54" s="21">
        <v>1.67</v>
      </c>
      <c r="H54" s="21">
        <v>1.98</v>
      </c>
      <c r="I54" s="21">
        <v>1.86</v>
      </c>
      <c r="J54" s="21">
        <v>1.88</v>
      </c>
      <c r="K54" s="21">
        <v>2.09</v>
      </c>
      <c r="L54" s="21">
        <v>2.3</v>
      </c>
      <c r="M54" s="21">
        <v>2.33</v>
      </c>
      <c r="N54" s="21">
        <v>2.27</v>
      </c>
      <c r="O54" s="21">
        <v>2.38</v>
      </c>
      <c r="P54" s="21">
        <v>2.29</v>
      </c>
      <c r="Q54" s="21">
        <v>2.29</v>
      </c>
      <c r="R54" s="21">
        <f t="shared" si="5"/>
        <v>1.793</v>
      </c>
      <c r="S54" s="21">
        <f t="shared" si="4"/>
        <v>2.312</v>
      </c>
      <c r="X54" s="228" t="s">
        <v>418</v>
      </c>
    </row>
    <row r="55" spans="1:24" ht="15">
      <c r="A55" s="34" t="str">
        <f>+'Sch 11, p 1'!A55</f>
        <v>TECO Energy</v>
      </c>
      <c r="B55" s="21">
        <v>2.43</v>
      </c>
      <c r="C55" s="21">
        <v>2.68</v>
      </c>
      <c r="D55" s="21">
        <v>2.24</v>
      </c>
      <c r="E55" s="21">
        <v>2.38</v>
      </c>
      <c r="F55" s="21">
        <v>2.41</v>
      </c>
      <c r="G55" s="21">
        <v>2.34</v>
      </c>
      <c r="H55" s="21">
        <v>2.47</v>
      </c>
      <c r="I55" s="21">
        <v>2.1</v>
      </c>
      <c r="J55" s="21">
        <v>2.23</v>
      </c>
      <c r="K55" s="21">
        <v>2.22</v>
      </c>
      <c r="L55" s="21">
        <v>1.35</v>
      </c>
      <c r="M55" s="21">
        <v>1.11</v>
      </c>
      <c r="N55" s="21">
        <v>1.74</v>
      </c>
      <c r="O55" s="21">
        <v>2.43</v>
      </c>
      <c r="P55" s="21">
        <v>2.02</v>
      </c>
      <c r="Q55" s="21">
        <v>1.88</v>
      </c>
      <c r="R55" s="21">
        <f t="shared" si="5"/>
        <v>2.35</v>
      </c>
      <c r="S55" s="21">
        <f t="shared" si="4"/>
        <v>1.8359999999999999</v>
      </c>
      <c r="X55" s="5" t="s">
        <v>390</v>
      </c>
    </row>
    <row r="56" spans="1:24" ht="15">
      <c r="A56" s="34" t="str">
        <f>+'Sch 11, p 1'!A56</f>
        <v>Wisconsin Energy</v>
      </c>
      <c r="B56" s="21">
        <v>1.78</v>
      </c>
      <c r="C56" s="21">
        <v>1.77</v>
      </c>
      <c r="D56" s="21">
        <v>1.6</v>
      </c>
      <c r="E56" s="21">
        <v>1.72</v>
      </c>
      <c r="F56" s="21">
        <v>1.69</v>
      </c>
      <c r="G56" s="21">
        <v>1.54</v>
      </c>
      <c r="H56" s="21">
        <v>1.85</v>
      </c>
      <c r="I56" s="21">
        <v>1.52</v>
      </c>
      <c r="J56" s="21">
        <v>1.19</v>
      </c>
      <c r="K56" s="21">
        <v>1.26</v>
      </c>
      <c r="L56" s="21">
        <v>1.29</v>
      </c>
      <c r="M56" s="21">
        <v>1.47</v>
      </c>
      <c r="N56" s="21">
        <v>1.55</v>
      </c>
      <c r="O56" s="21">
        <v>1.68</v>
      </c>
      <c r="P56" s="21">
        <v>1.83</v>
      </c>
      <c r="Q56" s="21">
        <v>1.73</v>
      </c>
      <c r="R56" s="21">
        <f t="shared" si="5"/>
        <v>1.592</v>
      </c>
      <c r="S56" s="21">
        <f t="shared" si="4"/>
        <v>1.652</v>
      </c>
      <c r="X56" s="228" t="s">
        <v>420</v>
      </c>
    </row>
    <row r="57" spans="1:24" ht="15">
      <c r="A57" s="34" t="str">
        <f>+'Sch 11, p 1'!A57</f>
        <v>Xcel Energy Inc.</v>
      </c>
      <c r="B57" s="21">
        <v>1.64</v>
      </c>
      <c r="C57" s="21">
        <v>1.65</v>
      </c>
      <c r="D57" s="21">
        <v>1.54</v>
      </c>
      <c r="E57" s="21">
        <v>1.59</v>
      </c>
      <c r="F57" s="21">
        <v>1.62</v>
      </c>
      <c r="G57" s="21">
        <v>1.65</v>
      </c>
      <c r="H57" s="21">
        <v>1.76</v>
      </c>
      <c r="I57" s="21">
        <v>1.44</v>
      </c>
      <c r="J57" s="21">
        <v>1.41</v>
      </c>
      <c r="K57" s="21">
        <v>1.63</v>
      </c>
      <c r="L57" s="21">
        <v>1.13</v>
      </c>
      <c r="M57" s="21">
        <v>1.13</v>
      </c>
      <c r="N57" s="21">
        <v>1.32</v>
      </c>
      <c r="O57" s="21">
        <v>1.39</v>
      </c>
      <c r="P57" s="21">
        <v>1.5</v>
      </c>
      <c r="Q57" s="21">
        <v>1.54</v>
      </c>
      <c r="R57" s="21">
        <f t="shared" si="5"/>
        <v>1.593</v>
      </c>
      <c r="S57" s="21">
        <f t="shared" si="4"/>
        <v>1.376</v>
      </c>
      <c r="X57" s="228" t="s">
        <v>421</v>
      </c>
    </row>
    <row r="58" spans="1:24" ht="15.75" thickBot="1">
      <c r="A58" s="184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X58" s="215"/>
    </row>
    <row r="59" spans="1:19" ht="28.5" customHeight="1" thickTop="1">
      <c r="A59" s="217" t="str">
        <f>'[22]Sch 11, p 1'!A64</f>
        <v>Mean</v>
      </c>
      <c r="B59" s="224">
        <f>AVERAGE(B33:B57)</f>
        <v>1.6004166666666668</v>
      </c>
      <c r="C59" s="224">
        <f aca="true" t="shared" si="10" ref="C59:S59">AVERAGE(C33:C57)</f>
        <v>1.67</v>
      </c>
      <c r="D59" s="224">
        <f t="shared" si="10"/>
        <v>1.4125000000000003</v>
      </c>
      <c r="E59" s="224">
        <f t="shared" si="10"/>
        <v>1.4649999999999999</v>
      </c>
      <c r="F59" s="224">
        <f t="shared" si="10"/>
        <v>1.517083333333333</v>
      </c>
      <c r="G59" s="224">
        <f t="shared" si="10"/>
        <v>1.5374999999999996</v>
      </c>
      <c r="H59" s="224">
        <f t="shared" si="10"/>
        <v>1.7370833333333329</v>
      </c>
      <c r="I59" s="224">
        <f t="shared" si="10"/>
        <v>1.5350000000000001</v>
      </c>
      <c r="J59" s="224">
        <f t="shared" si="10"/>
        <v>1.5537499999999997</v>
      </c>
      <c r="K59" s="224">
        <f t="shared" si="10"/>
        <v>1.585</v>
      </c>
      <c r="L59" s="224">
        <f t="shared" si="10"/>
        <v>1.3874583333333337</v>
      </c>
      <c r="M59" s="224">
        <f t="shared" si="10"/>
        <v>1.3845291666666668</v>
      </c>
      <c r="N59" s="224">
        <f t="shared" si="10"/>
        <v>1.5418666666666667</v>
      </c>
      <c r="O59" s="224">
        <f t="shared" si="10"/>
        <v>1.6746800000000002</v>
      </c>
      <c r="P59" s="224">
        <f t="shared" si="10"/>
        <v>1.6907839999999998</v>
      </c>
      <c r="Q59" s="224">
        <f t="shared" si="10"/>
        <v>1.7615039999999995</v>
      </c>
      <c r="R59" s="225">
        <f t="shared" si="10"/>
        <v>1.5635416666666664</v>
      </c>
      <c r="S59" s="225">
        <f t="shared" si="10"/>
        <v>1.6206482666666664</v>
      </c>
    </row>
    <row r="60" spans="1:19" ht="28.5" customHeight="1" thickBot="1">
      <c r="A60" s="218" t="str">
        <f>'[22]Sch 11, p 1'!A65</f>
        <v>Median</v>
      </c>
      <c r="B60" s="226">
        <f>MEDIAN(B33:B57)</f>
        <v>1.6549999999999998</v>
      </c>
      <c r="C60" s="226">
        <f aca="true" t="shared" si="11" ref="C60:Q60">MEDIAN(C33:C57)</f>
        <v>1.72</v>
      </c>
      <c r="D60" s="226">
        <f t="shared" si="11"/>
        <v>1.43</v>
      </c>
      <c r="E60" s="226">
        <f t="shared" si="11"/>
        <v>1.4849999999999999</v>
      </c>
      <c r="F60" s="226">
        <f t="shared" si="11"/>
        <v>1.505</v>
      </c>
      <c r="G60" s="226">
        <f t="shared" si="11"/>
        <v>1.55</v>
      </c>
      <c r="H60" s="226">
        <f t="shared" si="11"/>
        <v>1.7650000000000001</v>
      </c>
      <c r="I60" s="226">
        <f t="shared" si="11"/>
        <v>1.53</v>
      </c>
      <c r="J60" s="226">
        <f t="shared" si="11"/>
        <v>1.49</v>
      </c>
      <c r="K60" s="226">
        <f t="shared" si="11"/>
        <v>1.495</v>
      </c>
      <c r="L60" s="226">
        <f t="shared" si="11"/>
        <v>1.33</v>
      </c>
      <c r="M60" s="226">
        <f t="shared" si="11"/>
        <v>1.3250000000000002</v>
      </c>
      <c r="N60" s="226">
        <f t="shared" si="11"/>
        <v>1.5350000000000001</v>
      </c>
      <c r="O60" s="226">
        <f t="shared" si="11"/>
        <v>1.68</v>
      </c>
      <c r="P60" s="226">
        <f t="shared" si="11"/>
        <v>1.62</v>
      </c>
      <c r="Q60" s="226">
        <f t="shared" si="11"/>
        <v>1.73</v>
      </c>
      <c r="R60" s="227">
        <f>AVERAGE(B60:K60)</f>
        <v>1.5625</v>
      </c>
      <c r="S60" s="227">
        <f>AVERAGE(M60:Q60)</f>
        <v>1.578</v>
      </c>
    </row>
    <row r="61" spans="2:24" ht="15.75" thickTop="1"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X61" s="215"/>
    </row>
    <row r="62" spans="2:24" ht="15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X62" s="215"/>
    </row>
    <row r="63" spans="1:24" ht="15.75">
      <c r="A63" s="33" t="str">
        <f>+'[22]Sch 11, p 1'!A68</f>
        <v>Moody's Electric Utilities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X63" s="215"/>
    </row>
    <row r="64" spans="2:24" ht="15"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X64" s="215"/>
    </row>
    <row r="65" spans="1:24" ht="15">
      <c r="A65" s="5" t="str">
        <f>+'Sch 11, p 1'!A65</f>
        <v>American Electric Power</v>
      </c>
      <c r="B65" s="223">
        <f>+B35</f>
        <v>1.43</v>
      </c>
      <c r="C65" s="223">
        <f aca="true" t="shared" si="12" ref="C65:Q65">+C35</f>
        <v>1.59</v>
      </c>
      <c r="D65" s="223">
        <f t="shared" si="12"/>
        <v>1.43</v>
      </c>
      <c r="E65" s="223">
        <f t="shared" si="12"/>
        <v>1.56</v>
      </c>
      <c r="F65" s="223">
        <f t="shared" si="12"/>
        <v>1.76</v>
      </c>
      <c r="G65" s="223">
        <f t="shared" si="12"/>
        <v>1.87</v>
      </c>
      <c r="H65" s="223">
        <f t="shared" si="12"/>
        <v>1.91</v>
      </c>
      <c r="I65" s="223">
        <f t="shared" si="12"/>
        <v>1.54</v>
      </c>
      <c r="J65" s="223">
        <f t="shared" si="12"/>
        <v>1.47</v>
      </c>
      <c r="K65" s="223">
        <f t="shared" si="12"/>
        <v>1.79</v>
      </c>
      <c r="L65" s="223">
        <f t="shared" si="12"/>
        <v>1.38</v>
      </c>
      <c r="M65" s="223">
        <f t="shared" si="12"/>
        <v>1.24</v>
      </c>
      <c r="N65" s="223">
        <f t="shared" si="12"/>
        <v>1.55</v>
      </c>
      <c r="O65" s="223">
        <f t="shared" si="12"/>
        <v>1.65</v>
      </c>
      <c r="P65" s="223">
        <f t="shared" si="12"/>
        <v>1.61</v>
      </c>
      <c r="Q65" s="223">
        <f t="shared" si="12"/>
        <v>1.9</v>
      </c>
      <c r="R65" s="21">
        <f aca="true" t="shared" si="13" ref="R65:R83">AVERAGE(B65:K65)</f>
        <v>1.6350000000000002</v>
      </c>
      <c r="S65" s="21">
        <f aca="true" t="shared" si="14" ref="S65:S83">AVERAGE(M65:Q65)</f>
        <v>1.5899999999999999</v>
      </c>
      <c r="X65" s="5" t="s">
        <v>398</v>
      </c>
    </row>
    <row r="66" spans="1:24" ht="15">
      <c r="A66" s="5" t="str">
        <f>+'Sch 11, p 1'!A66</f>
        <v>CH Energy</v>
      </c>
      <c r="B66" s="21">
        <v>1.23</v>
      </c>
      <c r="C66" s="21">
        <v>1.33</v>
      </c>
      <c r="D66" s="21">
        <v>1.07</v>
      </c>
      <c r="E66" s="21">
        <v>1.12</v>
      </c>
      <c r="F66" s="21">
        <v>1.14</v>
      </c>
      <c r="G66" s="21">
        <v>1.35</v>
      </c>
      <c r="H66" s="21">
        <v>1.55</v>
      </c>
      <c r="I66" s="21">
        <v>1.33</v>
      </c>
      <c r="J66" s="21">
        <v>1.25</v>
      </c>
      <c r="K66" s="21">
        <v>1.41</v>
      </c>
      <c r="L66" s="21">
        <v>1.52</v>
      </c>
      <c r="M66" s="21">
        <v>1.47</v>
      </c>
      <c r="N66" s="21">
        <v>1.49</v>
      </c>
      <c r="O66" s="21">
        <v>1.46</v>
      </c>
      <c r="P66" s="21">
        <v>1.54</v>
      </c>
      <c r="Q66" s="21">
        <v>1.45</v>
      </c>
      <c r="R66" s="21">
        <f t="shared" si="13"/>
        <v>1.278</v>
      </c>
      <c r="S66" s="21">
        <f t="shared" si="14"/>
        <v>1.482</v>
      </c>
      <c r="X66" s="5" t="s">
        <v>423</v>
      </c>
    </row>
    <row r="67" spans="1:24" ht="15">
      <c r="A67" s="5" t="str">
        <f>+'Sch 11, p 1'!A67</f>
        <v>Consolidated Edison</v>
      </c>
      <c r="B67" s="21">
        <v>1.41</v>
      </c>
      <c r="C67" s="21">
        <v>1.6</v>
      </c>
      <c r="D67" s="21">
        <v>1.25</v>
      </c>
      <c r="E67" s="21">
        <v>1.25</v>
      </c>
      <c r="F67" s="21">
        <v>1.27</v>
      </c>
      <c r="G67" s="21">
        <v>1.38</v>
      </c>
      <c r="H67" s="21">
        <v>1.86</v>
      </c>
      <c r="I67" s="21">
        <v>1.7</v>
      </c>
      <c r="J67" s="21">
        <v>1.29</v>
      </c>
      <c r="K67" s="21">
        <v>1.42</v>
      </c>
      <c r="L67" s="21">
        <v>1.44</v>
      </c>
      <c r="M67" s="21">
        <v>1.46</v>
      </c>
      <c r="N67" s="21">
        <v>1.43</v>
      </c>
      <c r="O67" s="21">
        <v>1.54</v>
      </c>
      <c r="P67" s="21">
        <v>1.49</v>
      </c>
      <c r="Q67" s="21">
        <v>1.45</v>
      </c>
      <c r="R67" s="21">
        <f t="shared" si="13"/>
        <v>1.4429999999999998</v>
      </c>
      <c r="S67" s="21">
        <f t="shared" si="14"/>
        <v>1.474</v>
      </c>
      <c r="X67" s="5" t="s">
        <v>425</v>
      </c>
    </row>
    <row r="68" spans="1:24" ht="15">
      <c r="A68" s="5" t="str">
        <f>+'Sch 11, p 1'!A68</f>
        <v>Constellation Energy</v>
      </c>
      <c r="B68" s="21">
        <v>1.28</v>
      </c>
      <c r="C68" s="21">
        <v>1.4</v>
      </c>
      <c r="D68" s="21">
        <v>1.27</v>
      </c>
      <c r="E68" s="21">
        <v>1.36</v>
      </c>
      <c r="F68" s="21">
        <v>1.42</v>
      </c>
      <c r="G68" s="21">
        <v>1.52</v>
      </c>
      <c r="H68" s="21">
        <v>1.64</v>
      </c>
      <c r="I68" s="21">
        <v>1.41</v>
      </c>
      <c r="J68" s="21">
        <v>1.93</v>
      </c>
      <c r="K68" s="21">
        <v>1.6</v>
      </c>
      <c r="L68" s="21">
        <v>1.1</v>
      </c>
      <c r="M68" s="21">
        <v>1.35</v>
      </c>
      <c r="N68" s="21">
        <v>1.57</v>
      </c>
      <c r="O68" s="21">
        <v>1.94</v>
      </c>
      <c r="P68" s="21">
        <v>2.27</v>
      </c>
      <c r="Q68" s="21">
        <v>3.12</v>
      </c>
      <c r="R68" s="21">
        <f t="shared" si="13"/>
        <v>1.483</v>
      </c>
      <c r="S68" s="21">
        <f t="shared" si="14"/>
        <v>2.05</v>
      </c>
      <c r="X68" s="5" t="s">
        <v>427</v>
      </c>
    </row>
    <row r="69" spans="1:24" ht="15">
      <c r="A69" s="5" t="str">
        <f>+'Sch 11, p 1'!A69</f>
        <v>Dominion Resources</v>
      </c>
      <c r="B69" s="21">
        <v>1.51</v>
      </c>
      <c r="C69" s="21">
        <v>1.7</v>
      </c>
      <c r="D69" s="21">
        <v>1.52</v>
      </c>
      <c r="E69" s="21">
        <v>1.43</v>
      </c>
      <c r="F69" s="21">
        <v>1.5</v>
      </c>
      <c r="G69" s="21">
        <v>1.41</v>
      </c>
      <c r="H69" s="21">
        <v>1.6</v>
      </c>
      <c r="I69" s="21">
        <v>1.63</v>
      </c>
      <c r="J69" s="21">
        <v>1.91</v>
      </c>
      <c r="K69" s="21">
        <v>2.08</v>
      </c>
      <c r="L69" s="21">
        <v>1.58</v>
      </c>
      <c r="M69" s="21">
        <v>1.8</v>
      </c>
      <c r="N69" s="21">
        <v>1.96</v>
      </c>
      <c r="O69" s="21">
        <v>2.42</v>
      </c>
      <c r="P69" s="21">
        <v>2.29</v>
      </c>
      <c r="Q69" s="21">
        <v>2.57</v>
      </c>
      <c r="R69" s="21">
        <f t="shared" si="13"/>
        <v>1.629</v>
      </c>
      <c r="S69" s="21">
        <f t="shared" si="14"/>
        <v>2.2079999999999997</v>
      </c>
      <c r="X69" s="5" t="s">
        <v>429</v>
      </c>
    </row>
    <row r="70" spans="1:24" ht="15">
      <c r="A70" s="5" t="str">
        <f>+'Sch 11, p 1'!A70</f>
        <v>DPL Inc</v>
      </c>
      <c r="B70" s="21">
        <v>1.77</v>
      </c>
      <c r="C70" s="21">
        <v>2.06</v>
      </c>
      <c r="D70" s="21">
        <v>1.96</v>
      </c>
      <c r="E70" s="21">
        <v>2.13</v>
      </c>
      <c r="F70" s="21">
        <v>2.14</v>
      </c>
      <c r="G70" s="21">
        <v>2.21</v>
      </c>
      <c r="H70" s="21">
        <v>2.31</v>
      </c>
      <c r="I70" s="21">
        <v>2.15</v>
      </c>
      <c r="J70" s="21">
        <v>3.14</v>
      </c>
      <c r="K70" s="21">
        <v>4.22</v>
      </c>
      <c r="L70" s="21">
        <v>3.22</v>
      </c>
      <c r="M70" s="21">
        <v>2.41</v>
      </c>
      <c r="N70" s="21">
        <v>2.72</v>
      </c>
      <c r="O70" s="21">
        <v>3.18</v>
      </c>
      <c r="P70" s="21">
        <v>3.73</v>
      </c>
      <c r="Q70" s="21">
        <v>4.15</v>
      </c>
      <c r="R70" s="21">
        <f t="shared" si="13"/>
        <v>2.409</v>
      </c>
      <c r="S70" s="21">
        <f t="shared" si="14"/>
        <v>3.2380000000000004</v>
      </c>
      <c r="X70" s="5" t="s">
        <v>400</v>
      </c>
    </row>
    <row r="71" spans="1:24" ht="15">
      <c r="A71" s="5" t="str">
        <f>+'Sch 11, p 1'!A71</f>
        <v>DTE Energy</v>
      </c>
      <c r="B71" s="223">
        <f>+B38</f>
        <v>1.62</v>
      </c>
      <c r="C71" s="223">
        <f aca="true" t="shared" si="15" ref="C71:Q71">+C38</f>
        <v>1.54</v>
      </c>
      <c r="D71" s="223">
        <f t="shared" si="15"/>
        <v>1.2</v>
      </c>
      <c r="E71" s="223">
        <f t="shared" si="15"/>
        <v>1.3</v>
      </c>
      <c r="F71" s="223">
        <f t="shared" si="15"/>
        <v>1.37</v>
      </c>
      <c r="G71" s="223">
        <f t="shared" si="15"/>
        <v>1.26</v>
      </c>
      <c r="H71" s="223">
        <f t="shared" si="15"/>
        <v>1.65</v>
      </c>
      <c r="I71" s="223">
        <f t="shared" si="15"/>
        <v>1.45</v>
      </c>
      <c r="J71" s="223">
        <f t="shared" si="15"/>
        <v>1.26</v>
      </c>
      <c r="K71" s="223">
        <f t="shared" si="15"/>
        <v>1.42</v>
      </c>
      <c r="L71" s="223">
        <f t="shared" si="15"/>
        <v>1.45</v>
      </c>
      <c r="M71" s="223">
        <f t="shared" si="15"/>
        <v>1.42</v>
      </c>
      <c r="N71" s="223">
        <f t="shared" si="15"/>
        <v>1.32</v>
      </c>
      <c r="O71" s="223">
        <f t="shared" si="15"/>
        <v>1.4</v>
      </c>
      <c r="P71" s="223">
        <f t="shared" si="15"/>
        <v>1.34</v>
      </c>
      <c r="Q71" s="223">
        <f t="shared" si="15"/>
        <v>1.44</v>
      </c>
      <c r="R71" s="21">
        <f t="shared" si="13"/>
        <v>1.407</v>
      </c>
      <c r="S71" s="21">
        <f t="shared" si="14"/>
        <v>1.384</v>
      </c>
      <c r="X71" s="5" t="s">
        <v>402</v>
      </c>
    </row>
    <row r="72" spans="1:24" ht="15">
      <c r="A72" s="5" t="str">
        <f>+'Sch 11, p 1'!A72</f>
        <v>Energy East</v>
      </c>
      <c r="B72" s="223">
        <f>+B41</f>
        <v>1.31</v>
      </c>
      <c r="C72" s="223">
        <f aca="true" t="shared" si="16" ref="C72:Q72">+C41</f>
        <v>1.43</v>
      </c>
      <c r="D72" s="223">
        <f t="shared" si="16"/>
        <v>1.05</v>
      </c>
      <c r="E72" s="223">
        <f t="shared" si="16"/>
        <v>0.96</v>
      </c>
      <c r="F72" s="223">
        <f t="shared" si="16"/>
        <v>0.94</v>
      </c>
      <c r="G72" s="223">
        <f t="shared" si="16"/>
        <v>1.08</v>
      </c>
      <c r="H72" s="223">
        <f t="shared" si="16"/>
        <v>1.69</v>
      </c>
      <c r="I72" s="223">
        <f t="shared" si="16"/>
        <v>1.86</v>
      </c>
      <c r="J72" s="223">
        <f t="shared" si="16"/>
        <v>1.51</v>
      </c>
      <c r="K72" s="223">
        <f t="shared" si="16"/>
        <v>1.31</v>
      </c>
      <c r="L72" s="223">
        <f t="shared" si="16"/>
        <v>1.21</v>
      </c>
      <c r="M72" s="223">
        <f t="shared" si="16"/>
        <v>1.19</v>
      </c>
      <c r="N72" s="223">
        <f t="shared" si="16"/>
        <v>1.38</v>
      </c>
      <c r="O72" s="223">
        <f t="shared" si="16"/>
        <v>1.41</v>
      </c>
      <c r="P72" s="223">
        <f t="shared" si="16"/>
        <v>1.23</v>
      </c>
      <c r="Q72" s="223">
        <f t="shared" si="16"/>
        <v>1.27</v>
      </c>
      <c r="R72" s="21">
        <f t="shared" si="13"/>
        <v>1.3139999999999998</v>
      </c>
      <c r="S72" s="21">
        <f t="shared" si="14"/>
        <v>1.2959999999999998</v>
      </c>
      <c r="X72" s="5" t="s">
        <v>407</v>
      </c>
    </row>
    <row r="73" spans="1:24" ht="15">
      <c r="A73" s="5" t="str">
        <f>+'Sch 11, p 1'!A73</f>
        <v>Exelon</v>
      </c>
      <c r="B73" s="21"/>
      <c r="C73" s="21"/>
      <c r="D73" s="21"/>
      <c r="E73" s="21"/>
      <c r="F73" s="21"/>
      <c r="G73" s="21"/>
      <c r="H73" s="21"/>
      <c r="I73" s="21"/>
      <c r="J73" s="21"/>
      <c r="K73" s="21">
        <v>2.26</v>
      </c>
      <c r="L73" s="21">
        <v>1.91</v>
      </c>
      <c r="M73" s="21">
        <v>2.27</v>
      </c>
      <c r="N73" s="21">
        <v>2.8</v>
      </c>
      <c r="O73" s="21">
        <v>3.56</v>
      </c>
      <c r="P73" s="21">
        <v>4.01</v>
      </c>
      <c r="Q73" s="21">
        <v>4.81</v>
      </c>
      <c r="R73" s="21">
        <f t="shared" si="13"/>
        <v>2.26</v>
      </c>
      <c r="S73" s="21">
        <f t="shared" si="14"/>
        <v>3.4899999999999998</v>
      </c>
      <c r="X73" s="5" t="s">
        <v>431</v>
      </c>
    </row>
    <row r="74" spans="1:24" ht="15">
      <c r="A74" s="5" t="str">
        <f>+'Sch 11, p 1'!A74</f>
        <v>FirstEnergy Corp</v>
      </c>
      <c r="B74" s="21">
        <f>+B43</f>
        <v>1.37</v>
      </c>
      <c r="C74" s="21">
        <f aca="true" t="shared" si="17" ref="C74:Q74">+C43</f>
        <v>1.54</v>
      </c>
      <c r="D74" s="21">
        <f t="shared" si="17"/>
        <v>1.31</v>
      </c>
      <c r="E74" s="21">
        <f t="shared" si="17"/>
        <v>1.37</v>
      </c>
      <c r="F74" s="21">
        <f t="shared" si="17"/>
        <v>1.37</v>
      </c>
      <c r="G74" s="21">
        <f t="shared" si="17"/>
        <v>1.4</v>
      </c>
      <c r="H74" s="21">
        <f t="shared" si="17"/>
        <v>1.66</v>
      </c>
      <c r="I74" s="21">
        <f t="shared" si="17"/>
        <v>1.44</v>
      </c>
      <c r="J74" s="21">
        <f t="shared" si="17"/>
        <v>1.24</v>
      </c>
      <c r="K74" s="21">
        <f t="shared" si="17"/>
        <v>1.36</v>
      </c>
      <c r="L74" s="21">
        <f t="shared" si="17"/>
        <v>1.31</v>
      </c>
      <c r="M74" s="21">
        <f t="shared" si="17"/>
        <v>1.32</v>
      </c>
      <c r="N74" s="21">
        <f t="shared" si="17"/>
        <v>1.54</v>
      </c>
      <c r="O74" s="21">
        <f t="shared" si="17"/>
        <v>1.69</v>
      </c>
      <c r="P74" s="21">
        <f t="shared" si="17"/>
        <v>1.95</v>
      </c>
      <c r="Q74" s="21">
        <f t="shared" si="17"/>
        <v>2.32</v>
      </c>
      <c r="R74" s="21">
        <f t="shared" si="13"/>
        <v>1.4060000000000001</v>
      </c>
      <c r="S74" s="21">
        <f t="shared" si="14"/>
        <v>1.764</v>
      </c>
      <c r="X74" s="228" t="s">
        <v>433</v>
      </c>
    </row>
    <row r="75" spans="1:24" ht="15">
      <c r="A75" s="5" t="str">
        <f>+'Sch 11, p 1'!A75</f>
        <v>IDACORP</v>
      </c>
      <c r="B75" s="223">
        <f>+B46</f>
        <v>1.55</v>
      </c>
      <c r="C75" s="223">
        <f aca="true" t="shared" si="18" ref="C75:Q75">+C46</f>
        <v>1.72</v>
      </c>
      <c r="D75" s="223">
        <f t="shared" si="18"/>
        <v>1.46</v>
      </c>
      <c r="E75" s="223">
        <f t="shared" si="18"/>
        <v>1.48</v>
      </c>
      <c r="F75" s="223">
        <f t="shared" si="18"/>
        <v>1.68</v>
      </c>
      <c r="G75" s="223">
        <f t="shared" si="18"/>
        <v>1.77</v>
      </c>
      <c r="H75" s="223">
        <f t="shared" si="18"/>
        <v>1.77</v>
      </c>
      <c r="I75" s="223">
        <f t="shared" si="18"/>
        <v>1.58</v>
      </c>
      <c r="J75" s="223">
        <f t="shared" si="18"/>
        <v>1.89</v>
      </c>
      <c r="K75" s="223">
        <f t="shared" si="18"/>
        <v>1.85</v>
      </c>
      <c r="L75" s="223">
        <f t="shared" si="18"/>
        <v>1.34</v>
      </c>
      <c r="M75" s="223">
        <f t="shared" si="18"/>
        <v>1.12</v>
      </c>
      <c r="N75" s="223">
        <f t="shared" si="18"/>
        <v>1.25</v>
      </c>
      <c r="O75" s="223">
        <f t="shared" si="18"/>
        <v>1.22</v>
      </c>
      <c r="P75" s="223">
        <f t="shared" si="18"/>
        <v>1.39</v>
      </c>
      <c r="Q75" s="223">
        <f t="shared" si="18"/>
        <v>1.3376</v>
      </c>
      <c r="R75" s="21">
        <f t="shared" si="13"/>
        <v>1.675</v>
      </c>
      <c r="S75" s="21">
        <f t="shared" si="14"/>
        <v>1.26352</v>
      </c>
      <c r="X75" s="5" t="s">
        <v>191</v>
      </c>
    </row>
    <row r="76" spans="1:24" ht="15">
      <c r="A76" s="5" t="str">
        <f>+'Sch 11, p 1'!A76</f>
        <v>NiSource</v>
      </c>
      <c r="B76" s="21">
        <v>1.59</v>
      </c>
      <c r="C76" s="21">
        <v>1.89</v>
      </c>
      <c r="D76" s="21">
        <v>1.74</v>
      </c>
      <c r="E76" s="21">
        <v>1.92</v>
      </c>
      <c r="F76" s="21">
        <v>2.07</v>
      </c>
      <c r="G76" s="21">
        <v>2.27</v>
      </c>
      <c r="H76" s="21">
        <v>2.93</v>
      </c>
      <c r="I76" s="21">
        <v>2.29</v>
      </c>
      <c r="J76" s="21">
        <v>1.61</v>
      </c>
      <c r="K76" s="21">
        <v>1.53</v>
      </c>
      <c r="L76" s="21">
        <v>1.18</v>
      </c>
      <c r="M76" s="21">
        <v>1.14</v>
      </c>
      <c r="N76" s="21">
        <v>1.23</v>
      </c>
      <c r="O76" s="21">
        <v>1.2828</v>
      </c>
      <c r="P76" s="21">
        <v>1.2167</v>
      </c>
      <c r="Q76" s="21">
        <v>1.162</v>
      </c>
      <c r="R76" s="21">
        <f t="shared" si="13"/>
        <v>1.984</v>
      </c>
      <c r="S76" s="21">
        <f t="shared" si="14"/>
        <v>1.2063000000000001</v>
      </c>
      <c r="X76" s="5" t="s">
        <v>435</v>
      </c>
    </row>
    <row r="77" spans="1:24" ht="15">
      <c r="A77" s="5" t="str">
        <f>+'Sch 11, p 1'!A77</f>
        <v>OGE Energy</v>
      </c>
      <c r="B77" s="21">
        <v>1.65</v>
      </c>
      <c r="C77" s="21">
        <v>1.59</v>
      </c>
      <c r="D77" s="21">
        <v>1.47</v>
      </c>
      <c r="E77" s="21">
        <v>1.66</v>
      </c>
      <c r="F77" s="21">
        <v>1.71</v>
      </c>
      <c r="G77" s="21">
        <v>1.98</v>
      </c>
      <c r="H77" s="21">
        <v>2.22</v>
      </c>
      <c r="I77" s="21">
        <v>1.83</v>
      </c>
      <c r="J77" s="21">
        <v>1.54</v>
      </c>
      <c r="K77" s="21">
        <v>1.66</v>
      </c>
      <c r="L77" s="21">
        <v>1.47</v>
      </c>
      <c r="M77" s="21">
        <v>1.53</v>
      </c>
      <c r="N77" s="21">
        <v>1.78</v>
      </c>
      <c r="O77" s="21">
        <v>1.89</v>
      </c>
      <c r="P77" s="21">
        <v>2.04</v>
      </c>
      <c r="Q77" s="21">
        <v>1.96</v>
      </c>
      <c r="R77" s="21">
        <f t="shared" si="13"/>
        <v>1.7310000000000003</v>
      </c>
      <c r="S77" s="21">
        <f t="shared" si="14"/>
        <v>1.8399999999999999</v>
      </c>
      <c r="X77" s="5" t="s">
        <v>437</v>
      </c>
    </row>
    <row r="78" spans="1:24" ht="15">
      <c r="A78" s="5" t="str">
        <f>+'Sch 11, p 1'!A78</f>
        <v>PPL Corp</v>
      </c>
      <c r="B78" s="21">
        <v>1.7</v>
      </c>
      <c r="C78" s="21">
        <v>1.81</v>
      </c>
      <c r="D78" s="21">
        <v>1.44</v>
      </c>
      <c r="E78" s="21">
        <v>1.38</v>
      </c>
      <c r="F78" s="21">
        <v>1.43</v>
      </c>
      <c r="G78" s="21">
        <v>1.28</v>
      </c>
      <c r="H78" s="21">
        <v>1.76</v>
      </c>
      <c r="I78" s="21">
        <v>2.32</v>
      </c>
      <c r="J78" s="21">
        <v>2.57</v>
      </c>
      <c r="K78" s="21">
        <v>3.52</v>
      </c>
      <c r="L78" s="21">
        <v>2.53</v>
      </c>
      <c r="M78" s="21">
        <v>2.39</v>
      </c>
      <c r="N78" s="21">
        <v>2.3</v>
      </c>
      <c r="O78" s="21">
        <v>2.59</v>
      </c>
      <c r="P78" s="21">
        <v>2.61</v>
      </c>
      <c r="Q78" s="21">
        <v>3.14</v>
      </c>
      <c r="R78" s="21">
        <f t="shared" si="13"/>
        <v>1.921</v>
      </c>
      <c r="S78" s="21">
        <f t="shared" si="14"/>
        <v>2.606</v>
      </c>
      <c r="X78" s="228" t="s">
        <v>284</v>
      </c>
    </row>
    <row r="79" spans="1:24" ht="15">
      <c r="A79" s="5" t="str">
        <f>+'Sch 11, p 1'!A79</f>
        <v>Progress Energy</v>
      </c>
      <c r="B79" s="223">
        <f>+B52</f>
        <v>1.71</v>
      </c>
      <c r="C79" s="223">
        <f aca="true" t="shared" si="19" ref="C79:Q79">+C52</f>
        <v>1.92</v>
      </c>
      <c r="D79" s="223">
        <f t="shared" si="19"/>
        <v>1.59</v>
      </c>
      <c r="E79" s="223">
        <f t="shared" si="19"/>
        <v>1.81</v>
      </c>
      <c r="F79" s="223">
        <f t="shared" si="19"/>
        <v>2.09</v>
      </c>
      <c r="G79" s="223">
        <f t="shared" si="19"/>
        <v>2.07</v>
      </c>
      <c r="H79" s="223">
        <f t="shared" si="19"/>
        <v>2.33</v>
      </c>
      <c r="I79" s="223">
        <f t="shared" si="19"/>
        <v>1.89</v>
      </c>
      <c r="J79" s="223">
        <f t="shared" si="19"/>
        <v>1.63</v>
      </c>
      <c r="K79" s="223">
        <f t="shared" si="19"/>
        <v>1.64</v>
      </c>
      <c r="L79" s="223">
        <f t="shared" si="19"/>
        <v>1.52</v>
      </c>
      <c r="M79" s="223">
        <f t="shared" si="19"/>
        <v>1.45</v>
      </c>
      <c r="N79" s="223">
        <f t="shared" si="19"/>
        <v>1.44</v>
      </c>
      <c r="O79" s="223">
        <f t="shared" si="19"/>
        <v>1.37</v>
      </c>
      <c r="P79" s="223">
        <f t="shared" si="19"/>
        <v>1.4</v>
      </c>
      <c r="Q79" s="223">
        <f t="shared" si="19"/>
        <v>1.48</v>
      </c>
      <c r="R79" s="21">
        <f t="shared" si="13"/>
        <v>1.8679999999999999</v>
      </c>
      <c r="S79" s="21">
        <f t="shared" si="14"/>
        <v>1.4280000000000002</v>
      </c>
      <c r="X79" s="5" t="s">
        <v>416</v>
      </c>
    </row>
    <row r="80" spans="1:24" ht="15">
      <c r="A80" s="5" t="str">
        <f>+'Sch 11, p 1'!A80</f>
        <v>Public Service Enterprise</v>
      </c>
      <c r="B80" s="21">
        <v>1.38</v>
      </c>
      <c r="C80" s="21">
        <v>1.6</v>
      </c>
      <c r="D80" s="21">
        <v>1.31</v>
      </c>
      <c r="E80" s="21">
        <v>1.29</v>
      </c>
      <c r="F80" s="21">
        <v>1.29</v>
      </c>
      <c r="G80" s="21">
        <v>1.22</v>
      </c>
      <c r="H80" s="21">
        <v>1.65</v>
      </c>
      <c r="I80" s="21">
        <v>1.84</v>
      </c>
      <c r="J80" s="21">
        <v>2.01</v>
      </c>
      <c r="K80" s="21">
        <v>2.25</v>
      </c>
      <c r="L80" s="21">
        <v>1.78</v>
      </c>
      <c r="M80" s="21">
        <v>1.86</v>
      </c>
      <c r="N80" s="21">
        <v>1.91</v>
      </c>
      <c r="O80" s="21">
        <v>2.45</v>
      </c>
      <c r="P80" s="21">
        <v>2.67</v>
      </c>
      <c r="Q80" s="21">
        <v>3.04</v>
      </c>
      <c r="R80" s="21">
        <f t="shared" si="13"/>
        <v>1.584</v>
      </c>
      <c r="S80" s="21">
        <f t="shared" si="14"/>
        <v>2.386</v>
      </c>
      <c r="X80" s="5" t="s">
        <v>440</v>
      </c>
    </row>
    <row r="81" spans="1:24" ht="15">
      <c r="A81" s="5" t="str">
        <f>+'Sch 11, p 1'!A81</f>
        <v>Southern Company</v>
      </c>
      <c r="B81" s="223">
        <f>+B54</f>
        <v>1.54</v>
      </c>
      <c r="C81" s="223">
        <f aca="true" t="shared" si="20" ref="C81:Q81">+C54</f>
        <v>1.8</v>
      </c>
      <c r="D81" s="223">
        <f t="shared" si="20"/>
        <v>1.61</v>
      </c>
      <c r="E81" s="223">
        <f t="shared" si="20"/>
        <v>1.74</v>
      </c>
      <c r="F81" s="223">
        <f t="shared" si="20"/>
        <v>1.76</v>
      </c>
      <c r="G81" s="223">
        <f t="shared" si="20"/>
        <v>1.67</v>
      </c>
      <c r="H81" s="223">
        <f t="shared" si="20"/>
        <v>1.98</v>
      </c>
      <c r="I81" s="223">
        <f t="shared" si="20"/>
        <v>1.86</v>
      </c>
      <c r="J81" s="223">
        <f t="shared" si="20"/>
        <v>1.88</v>
      </c>
      <c r="K81" s="223">
        <f t="shared" si="20"/>
        <v>2.09</v>
      </c>
      <c r="L81" s="223">
        <f t="shared" si="20"/>
        <v>2.3</v>
      </c>
      <c r="M81" s="223">
        <f t="shared" si="20"/>
        <v>2.33</v>
      </c>
      <c r="N81" s="223">
        <f t="shared" si="20"/>
        <v>2.27</v>
      </c>
      <c r="O81" s="223">
        <f t="shared" si="20"/>
        <v>2.38</v>
      </c>
      <c r="P81" s="223">
        <f t="shared" si="20"/>
        <v>2.29</v>
      </c>
      <c r="Q81" s="223">
        <f t="shared" si="20"/>
        <v>2.29</v>
      </c>
      <c r="R81" s="21">
        <f t="shared" si="13"/>
        <v>1.793</v>
      </c>
      <c r="S81" s="21">
        <f t="shared" si="14"/>
        <v>2.312</v>
      </c>
      <c r="X81" s="5" t="s">
        <v>418</v>
      </c>
    </row>
    <row r="82" spans="1:24" ht="15">
      <c r="A82" s="5" t="str">
        <f>+'Sch 11, p 1'!A82</f>
        <v>TECO Energy</v>
      </c>
      <c r="B82" s="223">
        <f>+B55</f>
        <v>2.43</v>
      </c>
      <c r="C82" s="223">
        <f aca="true" t="shared" si="21" ref="C82:Q82">+C55</f>
        <v>2.68</v>
      </c>
      <c r="D82" s="223">
        <f t="shared" si="21"/>
        <v>2.24</v>
      </c>
      <c r="E82" s="223">
        <f t="shared" si="21"/>
        <v>2.38</v>
      </c>
      <c r="F82" s="223">
        <f t="shared" si="21"/>
        <v>2.41</v>
      </c>
      <c r="G82" s="223">
        <f t="shared" si="21"/>
        <v>2.34</v>
      </c>
      <c r="H82" s="223">
        <f t="shared" si="21"/>
        <v>2.47</v>
      </c>
      <c r="I82" s="223">
        <f t="shared" si="21"/>
        <v>2.1</v>
      </c>
      <c r="J82" s="223">
        <f t="shared" si="21"/>
        <v>2.23</v>
      </c>
      <c r="K82" s="223">
        <f t="shared" si="21"/>
        <v>2.22</v>
      </c>
      <c r="L82" s="223">
        <f t="shared" si="21"/>
        <v>1.35</v>
      </c>
      <c r="M82" s="223">
        <f t="shared" si="21"/>
        <v>1.11</v>
      </c>
      <c r="N82" s="223">
        <f t="shared" si="21"/>
        <v>1.74</v>
      </c>
      <c r="O82" s="223">
        <f t="shared" si="21"/>
        <v>2.43</v>
      </c>
      <c r="P82" s="223">
        <f t="shared" si="21"/>
        <v>2.02</v>
      </c>
      <c r="Q82" s="223">
        <f t="shared" si="21"/>
        <v>1.88</v>
      </c>
      <c r="R82" s="21">
        <f t="shared" si="13"/>
        <v>2.35</v>
      </c>
      <c r="S82" s="21">
        <f t="shared" si="14"/>
        <v>1.8359999999999999</v>
      </c>
      <c r="X82" s="5" t="s">
        <v>390</v>
      </c>
    </row>
    <row r="83" spans="1:24" ht="15">
      <c r="A83" s="5" t="str">
        <f>+'Sch 11, p 1'!A83</f>
        <v>Xcel Energy Inc.</v>
      </c>
      <c r="B83" s="223">
        <f>+B57</f>
        <v>1.64</v>
      </c>
      <c r="C83" s="223">
        <f aca="true" t="shared" si="22" ref="C83:Q83">+C57</f>
        <v>1.65</v>
      </c>
      <c r="D83" s="223">
        <f t="shared" si="22"/>
        <v>1.54</v>
      </c>
      <c r="E83" s="223">
        <f t="shared" si="22"/>
        <v>1.59</v>
      </c>
      <c r="F83" s="223">
        <f t="shared" si="22"/>
        <v>1.62</v>
      </c>
      <c r="G83" s="223">
        <f t="shared" si="22"/>
        <v>1.65</v>
      </c>
      <c r="H83" s="223">
        <f t="shared" si="22"/>
        <v>1.76</v>
      </c>
      <c r="I83" s="223">
        <f t="shared" si="22"/>
        <v>1.44</v>
      </c>
      <c r="J83" s="223">
        <f t="shared" si="22"/>
        <v>1.41</v>
      </c>
      <c r="K83" s="223">
        <f t="shared" si="22"/>
        <v>1.63</v>
      </c>
      <c r="L83" s="223">
        <f t="shared" si="22"/>
        <v>1.13</v>
      </c>
      <c r="M83" s="223">
        <f t="shared" si="22"/>
        <v>1.13</v>
      </c>
      <c r="N83" s="223">
        <f t="shared" si="22"/>
        <v>1.32</v>
      </c>
      <c r="O83" s="223">
        <f t="shared" si="22"/>
        <v>1.39</v>
      </c>
      <c r="P83" s="223">
        <f t="shared" si="22"/>
        <v>1.5</v>
      </c>
      <c r="Q83" s="223">
        <f t="shared" si="22"/>
        <v>1.54</v>
      </c>
      <c r="R83" s="21">
        <f t="shared" si="13"/>
        <v>1.593</v>
      </c>
      <c r="S83" s="21">
        <f t="shared" si="14"/>
        <v>1.376</v>
      </c>
      <c r="X83" s="228" t="s">
        <v>421</v>
      </c>
    </row>
    <row r="84" spans="1:19" ht="15.75" thickBot="1">
      <c r="A84" s="184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</row>
    <row r="85" spans="1:19" ht="28.5" customHeight="1" thickTop="1">
      <c r="A85" s="217" t="str">
        <f>+'[22]Sch 11, p 1'!A91</f>
        <v>Mean</v>
      </c>
      <c r="B85" s="224">
        <f>AVERAGE(B65:B83)</f>
        <v>1.5622222222222222</v>
      </c>
      <c r="C85" s="224">
        <f aca="true" t="shared" si="23" ref="C85:S85">AVERAGE(C65:C83)</f>
        <v>1.7138888888888888</v>
      </c>
      <c r="D85" s="224">
        <f t="shared" si="23"/>
        <v>1.47</v>
      </c>
      <c r="E85" s="224">
        <f t="shared" si="23"/>
        <v>1.5405555555555552</v>
      </c>
      <c r="F85" s="224">
        <f t="shared" si="23"/>
        <v>1.6094444444444447</v>
      </c>
      <c r="G85" s="224">
        <f t="shared" si="23"/>
        <v>1.6516666666666666</v>
      </c>
      <c r="H85" s="224">
        <f t="shared" si="23"/>
        <v>1.9300000000000002</v>
      </c>
      <c r="I85" s="224">
        <f t="shared" si="23"/>
        <v>1.7588888888888887</v>
      </c>
      <c r="J85" s="224">
        <f t="shared" si="23"/>
        <v>1.765</v>
      </c>
      <c r="K85" s="224">
        <f t="shared" si="23"/>
        <v>1.9610526315789472</v>
      </c>
      <c r="L85" s="224">
        <f t="shared" si="23"/>
        <v>1.6168421052631579</v>
      </c>
      <c r="M85" s="224">
        <f t="shared" si="23"/>
        <v>1.578421052631579</v>
      </c>
      <c r="N85" s="224">
        <f t="shared" si="23"/>
        <v>1.736842105263158</v>
      </c>
      <c r="O85" s="224">
        <f t="shared" si="23"/>
        <v>1.9606736842105263</v>
      </c>
      <c r="P85" s="224">
        <f t="shared" si="23"/>
        <v>2.0314052631578945</v>
      </c>
      <c r="Q85" s="224">
        <f t="shared" si="23"/>
        <v>2.226821052631579</v>
      </c>
      <c r="R85" s="225">
        <f t="shared" si="23"/>
        <v>1.7243684210526318</v>
      </c>
      <c r="S85" s="225">
        <f t="shared" si="23"/>
        <v>1.9068326315789468</v>
      </c>
    </row>
    <row r="86" spans="1:19" ht="28.5" customHeight="1" thickBot="1">
      <c r="A86" s="218" t="s">
        <v>134</v>
      </c>
      <c r="B86" s="226">
        <f>MEDIAN(B65:B83)</f>
        <v>1.545</v>
      </c>
      <c r="C86" s="226">
        <f aca="true" t="shared" si="24" ref="C86:Q86">MEDIAN(C65:C83)</f>
        <v>1.625</v>
      </c>
      <c r="D86" s="226">
        <f t="shared" si="24"/>
        <v>1.45</v>
      </c>
      <c r="E86" s="226">
        <f t="shared" si="24"/>
        <v>1.455</v>
      </c>
      <c r="F86" s="226">
        <f t="shared" si="24"/>
        <v>1.56</v>
      </c>
      <c r="G86" s="226">
        <f t="shared" si="24"/>
        <v>1.585</v>
      </c>
      <c r="H86" s="226">
        <f t="shared" si="24"/>
        <v>1.7650000000000001</v>
      </c>
      <c r="I86" s="226">
        <f t="shared" si="24"/>
        <v>1.7650000000000001</v>
      </c>
      <c r="J86" s="226">
        <f t="shared" si="24"/>
        <v>1.62</v>
      </c>
      <c r="K86" s="226">
        <f t="shared" si="24"/>
        <v>1.66</v>
      </c>
      <c r="L86" s="226">
        <f t="shared" si="24"/>
        <v>1.45</v>
      </c>
      <c r="M86" s="226">
        <f t="shared" si="24"/>
        <v>1.45</v>
      </c>
      <c r="N86" s="226">
        <f t="shared" si="24"/>
        <v>1.55</v>
      </c>
      <c r="O86" s="226">
        <f t="shared" si="24"/>
        <v>1.69</v>
      </c>
      <c r="P86" s="226">
        <f t="shared" si="24"/>
        <v>1.95</v>
      </c>
      <c r="Q86" s="226">
        <f t="shared" si="24"/>
        <v>1.9</v>
      </c>
      <c r="R86" s="227">
        <f>AVERAGE(B86:K86)</f>
        <v>1.6030000000000002</v>
      </c>
      <c r="S86" s="227">
        <f>AVERAGE(M86:Q86)</f>
        <v>1.7079999999999997</v>
      </c>
    </row>
    <row r="87" ht="15.75" thickTop="1"/>
    <row r="88" spans="1:19" ht="15">
      <c r="A88" s="5" t="str">
        <f>+'[22]Sch 11, p 1'!A94</f>
        <v>Source:  Calculations made from data contained in Value Line Investment Survey.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2:19" ht="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2:19" ht="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19" ht="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2:19" ht="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2:19" ht="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2:19" ht="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2:19" ht="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2:19" ht="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2:19" ht="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2:19" ht="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2:19" ht="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20" ht="15">
      <c r="A100" s="215"/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15"/>
    </row>
    <row r="101" spans="1:19" ht="15">
      <c r="A101" s="39"/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</row>
    <row r="102" spans="1:82" ht="15">
      <c r="A102" s="215"/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</row>
    <row r="103" spans="1:82" ht="15">
      <c r="A103" s="215"/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</row>
    <row r="104" spans="1:82" ht="15">
      <c r="A104" s="39"/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</row>
    <row r="105" spans="1:82" ht="15.75">
      <c r="A105" s="215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30"/>
      <c r="S105" s="230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</row>
    <row r="106" spans="1:82" ht="15">
      <c r="A106" s="215"/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</row>
    <row r="107" spans="1:82" ht="15">
      <c r="A107" s="39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</row>
    <row r="108" spans="1:82" ht="15.75">
      <c r="A108" s="215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31"/>
      <c r="S108" s="231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</row>
    <row r="109" spans="1:82" ht="1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</row>
    <row r="110" spans="1:82" ht="1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</row>
    <row r="111" spans="1:82" ht="1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</row>
    <row r="112" spans="1:82" ht="1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showOutlineSymbols="0" zoomScale="87" zoomScaleNormal="87" zoomScalePageLayoutView="0" workbookViewId="0" topLeftCell="A1">
      <selection activeCell="B51" sqref="B51"/>
    </sheetView>
  </sheetViews>
  <sheetFormatPr defaultColWidth="9.77734375" defaultRowHeight="15"/>
  <cols>
    <col min="1" max="1" width="9.77734375" style="34" customWidth="1"/>
    <col min="2" max="2" width="6.77734375" style="34" customWidth="1"/>
    <col min="3" max="3" width="12.77734375" style="34" customWidth="1"/>
    <col min="4" max="4" width="15.77734375" style="34" customWidth="1"/>
    <col min="5" max="5" width="12.77734375" style="34" customWidth="1"/>
    <col min="6" max="6" width="13.77734375" style="34" customWidth="1"/>
    <col min="7" max="7" width="2.77734375" style="34" customWidth="1"/>
    <col min="8" max="16384" width="9.77734375" style="34" customWidth="1"/>
  </cols>
  <sheetData>
    <row r="1" spans="3:6" ht="15.75">
      <c r="C1" s="99"/>
      <c r="D1" s="99"/>
      <c r="E1" s="99"/>
      <c r="F1" s="33" t="str">
        <f>+'Sch 10'!H1</f>
        <v>Exhibit___(DCP-2)</v>
      </c>
    </row>
    <row r="2" ht="15.75">
      <c r="F2" s="33" t="s">
        <v>159</v>
      </c>
    </row>
    <row r="6" spans="2:7" ht="15.75" customHeight="1">
      <c r="B6" s="82"/>
      <c r="C6" s="83"/>
      <c r="D6" s="83"/>
      <c r="E6" s="83"/>
      <c r="F6" s="83"/>
      <c r="G6" s="83"/>
    </row>
    <row r="7" spans="2:7" ht="20.25">
      <c r="B7" s="82" t="s">
        <v>121</v>
      </c>
      <c r="C7" s="83"/>
      <c r="D7" s="83"/>
      <c r="E7" s="83"/>
      <c r="F7" s="83"/>
      <c r="G7" s="83"/>
    </row>
    <row r="8" spans="2:7" ht="20.25">
      <c r="B8" s="82" t="s">
        <v>122</v>
      </c>
      <c r="C8" s="83"/>
      <c r="D8" s="83"/>
      <c r="E8" s="83"/>
      <c r="F8" s="83"/>
      <c r="G8" s="83"/>
    </row>
    <row r="9" spans="2:7" ht="20.25">
      <c r="B9" s="82" t="s">
        <v>338</v>
      </c>
      <c r="C9" s="83"/>
      <c r="D9" s="83"/>
      <c r="E9" s="83"/>
      <c r="F9" s="83"/>
      <c r="G9" s="83"/>
    </row>
    <row r="12" spans="2:7" ht="15">
      <c r="B12" s="86"/>
      <c r="C12" s="86"/>
      <c r="D12" s="86" t="s">
        <v>124</v>
      </c>
      <c r="E12" s="86"/>
      <c r="F12" s="86" t="s">
        <v>126</v>
      </c>
      <c r="G12" s="86"/>
    </row>
    <row r="13" spans="2:7" ht="15">
      <c r="B13" s="87" t="s">
        <v>1</v>
      </c>
      <c r="C13" s="87"/>
      <c r="D13" s="87" t="s">
        <v>125</v>
      </c>
      <c r="E13" s="87"/>
      <c r="F13" s="87" t="s">
        <v>127</v>
      </c>
      <c r="G13" s="87"/>
    </row>
    <row r="14" spans="2:7" ht="15">
      <c r="B14" s="86"/>
      <c r="C14" s="86"/>
      <c r="D14" s="86"/>
      <c r="E14" s="86"/>
      <c r="F14" s="86"/>
      <c r="G14" s="86"/>
    </row>
    <row r="15" spans="2:7" ht="15">
      <c r="B15" s="87"/>
      <c r="C15" s="87"/>
      <c r="D15" s="72"/>
      <c r="E15" s="87"/>
      <c r="F15" s="120"/>
      <c r="G15" s="87"/>
    </row>
    <row r="16" spans="2:7" ht="15">
      <c r="B16" s="87" t="s">
        <v>21</v>
      </c>
      <c r="C16" s="87"/>
      <c r="D16" s="72">
        <v>0.122</v>
      </c>
      <c r="E16" s="87"/>
      <c r="F16" s="120">
        <v>2.71</v>
      </c>
      <c r="G16" s="87"/>
    </row>
    <row r="17" spans="2:7" ht="15">
      <c r="B17" s="87"/>
      <c r="C17" s="87"/>
      <c r="D17" s="72"/>
      <c r="E17" s="87"/>
      <c r="F17" s="120"/>
      <c r="G17" s="87"/>
    </row>
    <row r="18" spans="2:7" ht="15">
      <c r="B18" s="87" t="s">
        <v>22</v>
      </c>
      <c r="C18" s="87"/>
      <c r="D18" s="72">
        <v>0.132</v>
      </c>
      <c r="E18" s="87"/>
      <c r="F18" s="120">
        <v>2.72</v>
      </c>
      <c r="G18" s="87"/>
    </row>
    <row r="19" spans="2:7" ht="15">
      <c r="B19" s="87"/>
      <c r="C19" s="87"/>
      <c r="D19" s="72"/>
      <c r="E19" s="87"/>
      <c r="F19" s="120"/>
      <c r="G19" s="87"/>
    </row>
    <row r="20" spans="2:7" ht="15">
      <c r="B20" s="87" t="s">
        <v>23</v>
      </c>
      <c r="C20" s="87"/>
      <c r="D20" s="72">
        <v>0.164</v>
      </c>
      <c r="E20" s="87"/>
      <c r="F20" s="120">
        <v>2.46</v>
      </c>
      <c r="G20" s="87"/>
    </row>
    <row r="21" spans="2:7" ht="15">
      <c r="B21" s="87"/>
      <c r="C21" s="87"/>
      <c r="D21" s="72"/>
      <c r="E21" s="87"/>
      <c r="F21" s="120"/>
      <c r="G21" s="87"/>
    </row>
    <row r="22" spans="2:7" ht="15">
      <c r="B22" s="87" t="s">
        <v>24</v>
      </c>
      <c r="C22" s="87"/>
      <c r="D22" s="72">
        <v>0.166</v>
      </c>
      <c r="E22" s="87"/>
      <c r="F22" s="120">
        <v>2.64</v>
      </c>
      <c r="G22" s="87"/>
    </row>
    <row r="23" spans="2:7" ht="15">
      <c r="B23" s="87"/>
      <c r="C23" s="87"/>
      <c r="D23" s="72"/>
      <c r="E23" s="87"/>
      <c r="F23" s="120"/>
      <c r="G23" s="87"/>
    </row>
    <row r="24" spans="2:7" ht="15">
      <c r="B24" s="87" t="s">
        <v>25</v>
      </c>
      <c r="C24" s="87"/>
      <c r="D24" s="72">
        <v>0.171</v>
      </c>
      <c r="E24" s="87"/>
      <c r="F24" s="120">
        <v>2.99</v>
      </c>
      <c r="G24" s="87"/>
    </row>
    <row r="25" spans="2:7" ht="15">
      <c r="B25" s="87"/>
      <c r="C25" s="87"/>
      <c r="D25" s="72"/>
      <c r="E25" s="87"/>
      <c r="F25" s="120"/>
      <c r="G25" s="87"/>
    </row>
    <row r="26" spans="2:7" ht="15">
      <c r="B26" s="87" t="s">
        <v>26</v>
      </c>
      <c r="C26" s="87"/>
      <c r="D26" s="72">
        <v>0.163</v>
      </c>
      <c r="E26" s="87"/>
      <c r="F26" s="120">
        <v>3.54</v>
      </c>
      <c r="G26" s="87"/>
    </row>
    <row r="27" spans="2:7" ht="15">
      <c r="B27" s="87"/>
      <c r="C27" s="87"/>
      <c r="D27" s="72"/>
      <c r="E27" s="87"/>
      <c r="F27" s="120"/>
      <c r="G27" s="87"/>
    </row>
    <row r="28" spans="2:7" ht="15">
      <c r="B28" s="87">
        <v>1998</v>
      </c>
      <c r="C28" s="87"/>
      <c r="D28" s="72">
        <v>0.146</v>
      </c>
      <c r="E28" s="87"/>
      <c r="F28" s="120">
        <v>4.21</v>
      </c>
      <c r="G28" s="87"/>
    </row>
    <row r="29" spans="2:7" ht="15">
      <c r="B29" s="87"/>
      <c r="C29" s="87"/>
      <c r="D29" s="72"/>
      <c r="E29" s="87"/>
      <c r="F29" s="120"/>
      <c r="G29" s="87"/>
    </row>
    <row r="30" spans="2:7" ht="15">
      <c r="B30" s="87">
        <v>1999</v>
      </c>
      <c r="C30" s="87"/>
      <c r="D30" s="72">
        <v>0.173</v>
      </c>
      <c r="E30" s="87"/>
      <c r="F30" s="120">
        <v>4.81</v>
      </c>
      <c r="G30" s="87"/>
    </row>
    <row r="31" spans="2:7" ht="15">
      <c r="B31" s="87"/>
      <c r="C31" s="87"/>
      <c r="D31" s="72"/>
      <c r="E31" s="87"/>
      <c r="F31" s="120"/>
      <c r="G31" s="87"/>
    </row>
    <row r="32" spans="2:7" ht="15">
      <c r="B32" s="87">
        <v>2000</v>
      </c>
      <c r="C32" s="87"/>
      <c r="D32" s="72">
        <v>0.162</v>
      </c>
      <c r="E32" s="87"/>
      <c r="F32" s="120">
        <v>4.53</v>
      </c>
      <c r="G32" s="87"/>
    </row>
    <row r="33" spans="2:7" ht="15">
      <c r="B33" s="87"/>
      <c r="C33" s="87"/>
      <c r="D33" s="72"/>
      <c r="E33" s="87"/>
      <c r="F33" s="120"/>
      <c r="G33" s="87"/>
    </row>
    <row r="34" spans="2:7" ht="15">
      <c r="B34" s="87">
        <v>2001</v>
      </c>
      <c r="C34" s="87"/>
      <c r="D34" s="72">
        <v>0.075</v>
      </c>
      <c r="E34" s="87"/>
      <c r="F34" s="120">
        <v>3.53</v>
      </c>
      <c r="G34" s="87"/>
    </row>
    <row r="35" spans="2:7" ht="15">
      <c r="B35" s="87"/>
      <c r="C35" s="87"/>
      <c r="D35" s="72"/>
      <c r="E35" s="87"/>
      <c r="F35" s="120"/>
      <c r="G35" s="87"/>
    </row>
    <row r="36" spans="2:7" ht="15">
      <c r="B36" s="87">
        <v>2002</v>
      </c>
      <c r="C36" s="87"/>
      <c r="D36" s="72">
        <v>0.084</v>
      </c>
      <c r="E36" s="87"/>
      <c r="F36" s="120">
        <v>2.96</v>
      </c>
      <c r="G36" s="87"/>
    </row>
    <row r="37" spans="2:7" ht="15">
      <c r="B37" s="87"/>
      <c r="C37" s="87"/>
      <c r="D37" s="72"/>
      <c r="E37" s="87"/>
      <c r="F37" s="120"/>
      <c r="G37" s="87"/>
    </row>
    <row r="38" spans="2:7" ht="15">
      <c r="B38" s="87">
        <v>2003</v>
      </c>
      <c r="C38" s="87"/>
      <c r="D38" s="72">
        <v>0.142</v>
      </c>
      <c r="E38" s="87"/>
      <c r="F38" s="120">
        <v>2.78</v>
      </c>
      <c r="G38" s="87"/>
    </row>
    <row r="39" spans="2:7" ht="15">
      <c r="B39" s="87"/>
      <c r="C39" s="87"/>
      <c r="D39" s="72"/>
      <c r="E39" s="87"/>
      <c r="F39" s="120"/>
      <c r="G39" s="87"/>
    </row>
    <row r="40" spans="2:7" ht="15">
      <c r="B40" s="87">
        <v>2004</v>
      </c>
      <c r="C40" s="87"/>
      <c r="D40" s="72">
        <v>0.15</v>
      </c>
      <c r="E40" s="87"/>
      <c r="F40" s="120">
        <v>2.91</v>
      </c>
      <c r="G40" s="87"/>
    </row>
    <row r="41" spans="2:7" ht="15">
      <c r="B41" s="87"/>
      <c r="C41" s="87"/>
      <c r="D41" s="72"/>
      <c r="E41" s="87"/>
      <c r="F41" s="120"/>
      <c r="G41" s="87"/>
    </row>
    <row r="42" spans="2:7" ht="15">
      <c r="B42" s="87">
        <v>2005</v>
      </c>
      <c r="C42" s="87"/>
      <c r="D42" s="72">
        <v>0.161</v>
      </c>
      <c r="E42" s="87"/>
      <c r="F42" s="120">
        <v>2.78</v>
      </c>
      <c r="G42" s="87"/>
    </row>
    <row r="43" spans="2:7" ht="15">
      <c r="B43" s="87"/>
      <c r="C43" s="87"/>
      <c r="D43" s="72"/>
      <c r="E43" s="87"/>
      <c r="F43" s="120"/>
      <c r="G43" s="87"/>
    </row>
    <row r="44" spans="2:7" ht="15">
      <c r="B44" s="87">
        <v>2006</v>
      </c>
      <c r="C44" s="87"/>
      <c r="D44" s="72">
        <v>0.17</v>
      </c>
      <c r="E44" s="87"/>
      <c r="F44" s="120">
        <v>2.77</v>
      </c>
      <c r="G44" s="87"/>
    </row>
    <row r="45" spans="2:7" ht="15">
      <c r="B45" s="87"/>
      <c r="C45" s="87"/>
      <c r="D45" s="72"/>
      <c r="E45" s="87"/>
      <c r="F45" s="120"/>
      <c r="G45" s="87"/>
    </row>
    <row r="46" spans="2:7" ht="15">
      <c r="B46" s="87" t="s">
        <v>123</v>
      </c>
      <c r="C46" s="87"/>
      <c r="D46" s="72"/>
      <c r="E46" s="87"/>
      <c r="F46" s="120"/>
      <c r="G46" s="87"/>
    </row>
    <row r="47" spans="2:7" ht="15">
      <c r="B47" s="87"/>
      <c r="C47" s="87"/>
      <c r="D47" s="72"/>
      <c r="E47" s="87"/>
      <c r="F47" s="120"/>
      <c r="G47" s="87"/>
    </row>
    <row r="48" spans="2:7" ht="15">
      <c r="B48" s="87" t="s">
        <v>181</v>
      </c>
      <c r="C48" s="87"/>
      <c r="D48" s="72">
        <f>AVERAGE(D16:D34)</f>
        <v>0.1474</v>
      </c>
      <c r="E48" s="121"/>
      <c r="F48" s="120">
        <f>AVERAGE(F16:F34)</f>
        <v>3.414</v>
      </c>
      <c r="G48" s="121"/>
    </row>
    <row r="49" spans="2:7" ht="15">
      <c r="B49" s="87"/>
      <c r="C49" s="87"/>
      <c r="D49" s="72"/>
      <c r="E49" s="121"/>
      <c r="F49" s="120"/>
      <c r="G49" s="121"/>
    </row>
    <row r="50" spans="2:7" ht="15">
      <c r="B50" s="87" t="s">
        <v>360</v>
      </c>
      <c r="C50" s="87"/>
      <c r="D50" s="72">
        <f>AVERAGE(D36:D44)</f>
        <v>0.14140000000000003</v>
      </c>
      <c r="E50" s="121"/>
      <c r="F50" s="120">
        <f>AVERAGE(F36:F44)</f>
        <v>2.84</v>
      </c>
      <c r="G50" s="121"/>
    </row>
    <row r="51" spans="4:6" ht="15">
      <c r="D51" s="94"/>
      <c r="F51" s="122"/>
    </row>
    <row r="52" spans="2:7" ht="15">
      <c r="B52" s="88"/>
      <c r="C52" s="88"/>
      <c r="D52" s="88"/>
      <c r="E52" s="88"/>
      <c r="F52" s="88"/>
      <c r="G52" s="88"/>
    </row>
    <row r="53" ht="15">
      <c r="B53" s="34" t="s">
        <v>334</v>
      </c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88"/>
  <sheetViews>
    <sheetView zoomScalePageLayoutView="0" workbookViewId="0" topLeftCell="A1">
      <selection activeCell="D43" sqref="D43"/>
    </sheetView>
  </sheetViews>
  <sheetFormatPr defaultColWidth="8.88671875" defaultRowHeight="15"/>
  <cols>
    <col min="1" max="1" width="22.5546875" style="0" bestFit="1" customWidth="1"/>
    <col min="2" max="2" width="2.77734375" style="0" customWidth="1"/>
    <col min="7" max="7" width="2.77734375" style="0" customWidth="1"/>
  </cols>
  <sheetData>
    <row r="6" spans="3:9" ht="15.75">
      <c r="C6" s="260" t="s">
        <v>447</v>
      </c>
      <c r="D6" s="260"/>
      <c r="E6" s="260"/>
      <c r="F6" s="260"/>
      <c r="H6" s="260" t="s">
        <v>58</v>
      </c>
      <c r="I6" s="260"/>
    </row>
    <row r="7" spans="3:9" ht="15">
      <c r="C7" s="45"/>
      <c r="D7" s="45"/>
      <c r="E7" s="45"/>
      <c r="F7" s="45"/>
      <c r="H7" s="45"/>
      <c r="I7" s="45"/>
    </row>
    <row r="8" spans="3:9" ht="15.75">
      <c r="C8" s="232" t="s">
        <v>443</v>
      </c>
      <c r="D8" s="232" t="s">
        <v>444</v>
      </c>
      <c r="E8" s="232" t="s">
        <v>445</v>
      </c>
      <c r="F8" s="232" t="s">
        <v>445</v>
      </c>
      <c r="G8" s="232"/>
      <c r="H8" s="232" t="s">
        <v>446</v>
      </c>
      <c r="I8" s="232" t="s">
        <v>446</v>
      </c>
    </row>
    <row r="9" spans="1:9" ht="15.75">
      <c r="A9" s="46"/>
      <c r="B9" s="46"/>
      <c r="C9" s="234"/>
      <c r="D9" s="234"/>
      <c r="E9" s="234"/>
      <c r="F9" s="234"/>
      <c r="G9" s="234"/>
      <c r="H9" s="234"/>
      <c r="I9" s="234"/>
    </row>
    <row r="10" spans="1:9" ht="15.75">
      <c r="A10" s="45"/>
      <c r="B10" s="45"/>
      <c r="C10" s="233"/>
      <c r="D10" s="233"/>
      <c r="E10" s="233"/>
      <c r="F10" s="233"/>
      <c r="G10" s="233"/>
      <c r="H10" s="233"/>
      <c r="I10" s="233"/>
    </row>
    <row r="11" ht="15.75">
      <c r="A11" s="44" t="str">
        <f>+'Sch 11, p 2'!A16</f>
        <v>Comparison Group</v>
      </c>
    </row>
    <row r="12" ht="15">
      <c r="I12" s="236"/>
    </row>
    <row r="13" spans="1:9" ht="15">
      <c r="A13" t="str">
        <f>+'Sch 11, p 2'!A18</f>
        <v>Avista Corp</v>
      </c>
      <c r="C13" s="41">
        <v>3</v>
      </c>
      <c r="D13" s="235">
        <v>0.95</v>
      </c>
      <c r="E13" s="41" t="s">
        <v>83</v>
      </c>
      <c r="F13" s="235">
        <v>3.33</v>
      </c>
      <c r="G13" s="41"/>
      <c r="H13" s="41"/>
      <c r="I13" s="237"/>
    </row>
    <row r="14" spans="1:9" ht="15">
      <c r="A14" t="str">
        <f>+'Sch 11, p 2'!A19</f>
        <v>Empire District Electric</v>
      </c>
      <c r="C14" s="41">
        <v>3</v>
      </c>
      <c r="D14" s="235">
        <v>0.85</v>
      </c>
      <c r="E14" s="41" t="s">
        <v>83</v>
      </c>
      <c r="F14" s="235">
        <v>3.33</v>
      </c>
      <c r="G14" s="41"/>
      <c r="H14" s="41"/>
      <c r="I14" s="237"/>
    </row>
    <row r="15" spans="1:9" ht="15">
      <c r="A15" t="str">
        <f>+'Sch 11, p 2'!A20</f>
        <v>Hawaiian Electric Industries</v>
      </c>
      <c r="C15" s="41">
        <v>2</v>
      </c>
      <c r="D15" s="235">
        <v>0.75</v>
      </c>
      <c r="E15" s="41" t="s">
        <v>128</v>
      </c>
      <c r="F15" s="235">
        <v>3.67</v>
      </c>
      <c r="G15" s="41"/>
      <c r="H15" s="41"/>
      <c r="I15" s="237"/>
    </row>
    <row r="16" spans="1:9" ht="15">
      <c r="A16" t="str">
        <f>+'Sch 11, p 2'!A21</f>
        <v>PEPCO Holdings</v>
      </c>
      <c r="C16" s="41">
        <v>3</v>
      </c>
      <c r="D16" s="235">
        <v>0.9</v>
      </c>
      <c r="E16" s="41" t="s">
        <v>129</v>
      </c>
      <c r="F16" s="235">
        <v>3</v>
      </c>
      <c r="G16" s="41"/>
      <c r="H16" s="41"/>
      <c r="I16" s="237"/>
    </row>
    <row r="17" spans="1:9" ht="15">
      <c r="A17" t="str">
        <f>+'Sch 11, p 2'!A22</f>
        <v>Pinnacle West</v>
      </c>
      <c r="C17" s="41">
        <v>1</v>
      </c>
      <c r="D17" s="235">
        <v>0.8</v>
      </c>
      <c r="E17" s="41" t="s">
        <v>130</v>
      </c>
      <c r="F17" s="235">
        <v>4</v>
      </c>
      <c r="G17" s="41"/>
      <c r="H17" s="41"/>
      <c r="I17" s="237"/>
    </row>
    <row r="18" spans="1:9" ht="15">
      <c r="A18" t="str">
        <f>+'Sch 11, p 2'!A23</f>
        <v>PNM Resources</v>
      </c>
      <c r="C18" s="41">
        <v>2</v>
      </c>
      <c r="D18" s="235">
        <v>0.9</v>
      </c>
      <c r="E18" s="41" t="s">
        <v>128</v>
      </c>
      <c r="F18" s="235">
        <v>3.67</v>
      </c>
      <c r="G18" s="41"/>
      <c r="H18" s="41"/>
      <c r="I18" s="237"/>
    </row>
    <row r="19" spans="1:9" ht="15">
      <c r="A19" t="str">
        <f>+'Sch 11, p 2'!A24</f>
        <v>Westar Energy</v>
      </c>
      <c r="C19" s="41">
        <v>2</v>
      </c>
      <c r="D19" s="235">
        <v>0.85</v>
      </c>
      <c r="E19" s="41" t="s">
        <v>128</v>
      </c>
      <c r="F19" s="235">
        <v>3.67</v>
      </c>
      <c r="G19" s="41"/>
      <c r="H19" s="41"/>
      <c r="I19" s="237"/>
    </row>
    <row r="20" spans="3:9" ht="15">
      <c r="C20" s="41"/>
      <c r="D20" s="235"/>
      <c r="E20" s="41"/>
      <c r="F20" s="235"/>
      <c r="G20" s="41"/>
      <c r="H20" s="41"/>
      <c r="I20" s="237"/>
    </row>
    <row r="21" spans="1:9" ht="15">
      <c r="A21" t="s">
        <v>95</v>
      </c>
      <c r="C21" s="238">
        <f>AVERAGE(C13:C19)</f>
        <v>2.2857142857142856</v>
      </c>
      <c r="D21" s="235">
        <f>AVERAGE(D13:D19)</f>
        <v>0.8571428571428571</v>
      </c>
      <c r="E21" s="41" t="s">
        <v>452</v>
      </c>
      <c r="F21" s="235">
        <f>AVERAGE(F13:F19)</f>
        <v>3.5242857142857145</v>
      </c>
      <c r="G21" s="41"/>
      <c r="H21" s="41"/>
      <c r="I21" s="237"/>
    </row>
    <row r="22" spans="3:9" ht="15">
      <c r="C22" s="41"/>
      <c r="D22" s="235"/>
      <c r="E22" s="41"/>
      <c r="F22" s="235"/>
      <c r="G22" s="41"/>
      <c r="H22" s="41"/>
      <c r="I22" s="237"/>
    </row>
    <row r="23" spans="3:9" ht="15">
      <c r="C23" s="41"/>
      <c r="D23" s="235"/>
      <c r="E23" s="41"/>
      <c r="F23" s="235"/>
      <c r="G23" s="41"/>
      <c r="H23" s="41"/>
      <c r="I23" s="237"/>
    </row>
    <row r="24" spans="1:9" ht="15.75">
      <c r="A24" s="44" t="str">
        <f>+'Sch 11, p 2'!A30</f>
        <v>S&amp;P Integrated</v>
      </c>
      <c r="C24" s="41"/>
      <c r="D24" s="235"/>
      <c r="E24" s="41"/>
      <c r="F24" s="235"/>
      <c r="G24" s="41"/>
      <c r="H24" s="41"/>
      <c r="I24" s="237"/>
    </row>
    <row r="25" spans="1:9" ht="15.75">
      <c r="A25" s="44" t="str">
        <f>+'Sch 11, p 2'!A31</f>
        <v>Electric Utilities</v>
      </c>
      <c r="C25" s="41"/>
      <c r="D25" s="235"/>
      <c r="E25" s="41"/>
      <c r="F25" s="235"/>
      <c r="G25" s="41"/>
      <c r="H25" s="41"/>
      <c r="I25" s="237"/>
    </row>
    <row r="26" spans="3:9" ht="15">
      <c r="C26" s="41"/>
      <c r="D26" s="235"/>
      <c r="E26" s="41"/>
      <c r="F26" s="235"/>
      <c r="G26" s="41"/>
      <c r="H26" s="41"/>
      <c r="I26" s="237"/>
    </row>
    <row r="27" spans="1:9" ht="15">
      <c r="A27" t="str">
        <f>+'Sch 11, p 2'!A33</f>
        <v>ALLETE</v>
      </c>
      <c r="C27" s="41">
        <v>2</v>
      </c>
      <c r="D27" s="235">
        <v>0.95</v>
      </c>
      <c r="E27" s="41" t="s">
        <v>130</v>
      </c>
      <c r="F27" s="235">
        <v>4</v>
      </c>
      <c r="G27" s="41"/>
      <c r="H27" s="41"/>
      <c r="I27" s="237"/>
    </row>
    <row r="28" spans="1:9" ht="15">
      <c r="A28" t="str">
        <f>+'Sch 11, p 2'!A34</f>
        <v>Alliant Energy</v>
      </c>
      <c r="C28" s="41">
        <v>2</v>
      </c>
      <c r="D28" s="235">
        <v>0.8</v>
      </c>
      <c r="E28" s="41" t="s">
        <v>130</v>
      </c>
      <c r="F28" s="235">
        <v>4</v>
      </c>
      <c r="G28" s="41"/>
      <c r="H28" s="41"/>
      <c r="I28" s="237"/>
    </row>
    <row r="29" spans="1:9" ht="15">
      <c r="A29" t="str">
        <f>+'Sch 11, p 2'!A35</f>
        <v>American Electric Power</v>
      </c>
      <c r="C29" s="41">
        <v>2</v>
      </c>
      <c r="D29" s="235">
        <v>0.85</v>
      </c>
      <c r="E29" s="41" t="s">
        <v>128</v>
      </c>
      <c r="F29" s="235">
        <v>3.67</v>
      </c>
      <c r="G29" s="41"/>
      <c r="H29" s="41"/>
      <c r="I29" s="237"/>
    </row>
    <row r="30" spans="1:9" ht="15">
      <c r="A30" t="str">
        <f>+'Sch 11, p 2'!A36</f>
        <v>Ameren Corp.</v>
      </c>
      <c r="C30" s="41">
        <v>3</v>
      </c>
      <c r="D30" s="235">
        <v>0.8</v>
      </c>
      <c r="E30" s="41" t="s">
        <v>130</v>
      </c>
      <c r="F30" s="235">
        <v>4</v>
      </c>
      <c r="G30" s="41"/>
      <c r="H30" s="41"/>
      <c r="I30" s="237"/>
    </row>
    <row r="31" spans="1:9" ht="15">
      <c r="A31" t="str">
        <f>+'Sch 11, p 2'!A37</f>
        <v>Cleco</v>
      </c>
      <c r="C31" s="41">
        <v>3</v>
      </c>
      <c r="D31" s="235">
        <v>1</v>
      </c>
      <c r="E31" s="41" t="s">
        <v>448</v>
      </c>
      <c r="F31" s="235">
        <v>3.33</v>
      </c>
      <c r="G31" s="41"/>
      <c r="H31" s="41"/>
      <c r="I31" s="237"/>
    </row>
    <row r="32" spans="1:9" ht="15">
      <c r="A32" t="str">
        <f>+'Sch 11, p 2'!A38</f>
        <v>DTE Energy</v>
      </c>
      <c r="C32" s="41">
        <v>3</v>
      </c>
      <c r="D32" s="235">
        <v>0.75</v>
      </c>
      <c r="E32" s="41" t="s">
        <v>83</v>
      </c>
      <c r="F32" s="235">
        <v>3.33</v>
      </c>
      <c r="G32" s="41"/>
      <c r="H32" s="41"/>
      <c r="I32" s="237"/>
    </row>
    <row r="33" spans="1:9" ht="15">
      <c r="A33" t="str">
        <f>+'Sch 11, p 2'!A39</f>
        <v>Edison International</v>
      </c>
      <c r="C33" s="41">
        <v>3</v>
      </c>
      <c r="D33" s="235">
        <v>0.85</v>
      </c>
      <c r="E33" s="41" t="s">
        <v>128</v>
      </c>
      <c r="F33" s="235">
        <v>3.67</v>
      </c>
      <c r="G33" s="41"/>
      <c r="H33" s="41"/>
      <c r="I33" s="237"/>
    </row>
    <row r="34" spans="1:9" ht="15">
      <c r="A34" t="str">
        <f>+'Sch 11, p 2'!A40</f>
        <v>Empire District Electric</v>
      </c>
      <c r="C34" s="41">
        <f>+C14</f>
        <v>3</v>
      </c>
      <c r="D34" s="235">
        <f>+D14</f>
        <v>0.85</v>
      </c>
      <c r="E34" s="41" t="str">
        <f>+E14</f>
        <v>B+</v>
      </c>
      <c r="F34" s="41">
        <f>+F14</f>
        <v>3.33</v>
      </c>
      <c r="G34" s="41"/>
      <c r="H34" s="41"/>
      <c r="I34" s="237"/>
    </row>
    <row r="35" spans="1:9" ht="15">
      <c r="A35" t="str">
        <f>+'Sch 11, p 2'!A41</f>
        <v>Energy East</v>
      </c>
      <c r="C35" s="41">
        <v>2</v>
      </c>
      <c r="D35" s="235">
        <v>0.75</v>
      </c>
      <c r="E35" s="41" t="s">
        <v>128</v>
      </c>
      <c r="F35" s="235">
        <v>3.67</v>
      </c>
      <c r="G35" s="41"/>
      <c r="H35" s="41"/>
      <c r="I35" s="237"/>
    </row>
    <row r="36" spans="1:9" ht="15">
      <c r="A36" t="str">
        <f>+'Sch 11, p 2'!A42</f>
        <v>Entergy</v>
      </c>
      <c r="C36" s="41">
        <v>2</v>
      </c>
      <c r="D36" s="235">
        <v>0.85</v>
      </c>
      <c r="E36" s="41" t="s">
        <v>130</v>
      </c>
      <c r="F36" s="235">
        <v>4</v>
      </c>
      <c r="G36" s="41"/>
      <c r="H36" s="41"/>
      <c r="I36" s="237"/>
    </row>
    <row r="37" spans="1:9" ht="15">
      <c r="A37" t="str">
        <f>+'Sch 11, p 2'!A43</f>
        <v>FirstEnergy Corp</v>
      </c>
      <c r="C37" s="41">
        <v>2</v>
      </c>
      <c r="D37" s="235">
        <v>0.8</v>
      </c>
      <c r="E37" s="41" t="s">
        <v>130</v>
      </c>
      <c r="F37" s="235">
        <v>4</v>
      </c>
      <c r="G37" s="41"/>
      <c r="H37" s="41"/>
      <c r="I37" s="237"/>
    </row>
    <row r="38" spans="1:9" ht="15">
      <c r="A38" t="str">
        <f>+'Sch 11, p 2'!A44</f>
        <v>FPL Group</v>
      </c>
      <c r="C38" s="41">
        <v>1</v>
      </c>
      <c r="D38" s="235">
        <v>0.75</v>
      </c>
      <c r="E38" s="41" t="s">
        <v>451</v>
      </c>
      <c r="F38" s="235">
        <v>4.33</v>
      </c>
      <c r="G38" s="41"/>
      <c r="H38" s="41"/>
      <c r="I38" s="237"/>
    </row>
    <row r="39" spans="1:9" ht="15">
      <c r="A39" t="str">
        <f>+'Sch 11, p 2'!A45</f>
        <v>Hawaiian Electric Industries</v>
      </c>
      <c r="C39" s="41">
        <f>+C15</f>
        <v>2</v>
      </c>
      <c r="D39" s="235">
        <f>+D15</f>
        <v>0.75</v>
      </c>
      <c r="E39" s="41" t="str">
        <f>+E15</f>
        <v>B++</v>
      </c>
      <c r="F39" s="41">
        <f>+F15</f>
        <v>3.67</v>
      </c>
      <c r="G39" s="41"/>
      <c r="H39" s="41"/>
      <c r="I39" s="237"/>
    </row>
    <row r="40" spans="1:9" ht="15">
      <c r="A40" t="str">
        <f>+'Sch 11, p 2'!A46</f>
        <v>IDACORP</v>
      </c>
      <c r="C40" s="41">
        <v>3</v>
      </c>
      <c r="D40" s="235">
        <v>0.9</v>
      </c>
      <c r="E40" s="41" t="s">
        <v>83</v>
      </c>
      <c r="F40" s="235">
        <v>3.33</v>
      </c>
      <c r="G40" s="41"/>
      <c r="H40" s="41"/>
      <c r="I40" s="237"/>
    </row>
    <row r="41" spans="1:9" ht="15">
      <c r="A41" t="str">
        <f>+'Sch 11, p 2'!A47</f>
        <v>MGE Corp</v>
      </c>
      <c r="C41" s="41">
        <v>1</v>
      </c>
      <c r="D41" s="235">
        <v>0.9</v>
      </c>
      <c r="E41" s="41" t="s">
        <v>130</v>
      </c>
      <c r="F41" s="235">
        <v>4</v>
      </c>
      <c r="G41" s="41"/>
      <c r="H41" s="41"/>
      <c r="I41" s="237"/>
    </row>
    <row r="42" spans="1:9" ht="15">
      <c r="A42" t="str">
        <f>+'Sch 11, p 2'!A48</f>
        <v>Northeast Utilities</v>
      </c>
      <c r="C42" s="41">
        <v>3</v>
      </c>
      <c r="D42" s="235">
        <v>0.75</v>
      </c>
      <c r="E42" s="41" t="s">
        <v>83</v>
      </c>
      <c r="F42" s="235">
        <v>3.33</v>
      </c>
      <c r="G42" s="41"/>
      <c r="H42" s="41"/>
      <c r="I42" s="237"/>
    </row>
    <row r="43" spans="1:9" ht="15">
      <c r="A43" t="str">
        <f>+'Sch 11, p 2'!A49</f>
        <v>PG&amp;E</v>
      </c>
      <c r="C43" s="41">
        <v>2</v>
      </c>
      <c r="D43" s="235">
        <v>0.85</v>
      </c>
      <c r="E43" s="41" t="s">
        <v>128</v>
      </c>
      <c r="F43" s="235">
        <v>3.67</v>
      </c>
      <c r="G43" s="41"/>
      <c r="H43" s="41"/>
      <c r="I43" s="237"/>
    </row>
    <row r="44" spans="1:9" ht="15">
      <c r="A44" t="str">
        <f>+'Sch 11, p 2'!A50</f>
        <v>Pinnacle West</v>
      </c>
      <c r="C44" s="41">
        <f aca="true" t="shared" si="0" ref="C44:F45">+C17</f>
        <v>1</v>
      </c>
      <c r="D44" s="235">
        <f>+D17</f>
        <v>0.8</v>
      </c>
      <c r="E44" s="41" t="str">
        <f t="shared" si="0"/>
        <v>A</v>
      </c>
      <c r="F44" s="41">
        <f t="shared" si="0"/>
        <v>4</v>
      </c>
      <c r="G44" s="41"/>
      <c r="H44" s="41"/>
      <c r="I44" s="237"/>
    </row>
    <row r="45" spans="1:9" ht="15">
      <c r="A45" t="str">
        <f>+'Sch 11, p 2'!A51</f>
        <v>PNM Resources</v>
      </c>
      <c r="C45" s="41">
        <f t="shared" si="0"/>
        <v>2</v>
      </c>
      <c r="D45" s="235">
        <f>+D18</f>
        <v>0.9</v>
      </c>
      <c r="E45" s="41" t="str">
        <f t="shared" si="0"/>
        <v>B++</v>
      </c>
      <c r="F45" s="41">
        <f t="shared" si="0"/>
        <v>3.67</v>
      </c>
      <c r="G45" s="41"/>
      <c r="H45" s="41"/>
      <c r="I45" s="237"/>
    </row>
    <row r="46" spans="1:9" ht="15">
      <c r="A46" t="str">
        <f>+'Sch 11, p 2'!A52</f>
        <v>Progress Energy</v>
      </c>
      <c r="C46" s="41">
        <v>2</v>
      </c>
      <c r="D46" s="235">
        <v>0.8</v>
      </c>
      <c r="E46" s="41" t="s">
        <v>128</v>
      </c>
      <c r="F46" s="235">
        <v>3.67</v>
      </c>
      <c r="G46" s="41"/>
      <c r="H46" s="41"/>
      <c r="I46" s="237"/>
    </row>
    <row r="47" spans="1:9" ht="15">
      <c r="A47" t="str">
        <f>+'Sch 11, p 2'!A53</f>
        <v>Puget Energy</v>
      </c>
      <c r="C47" s="41">
        <v>3</v>
      </c>
      <c r="D47" s="235">
        <v>0.9</v>
      </c>
      <c r="E47" s="41" t="s">
        <v>448</v>
      </c>
      <c r="F47" s="235">
        <v>3.33</v>
      </c>
      <c r="G47" s="41"/>
      <c r="H47" s="41"/>
      <c r="I47" s="237"/>
    </row>
    <row r="48" spans="1:9" ht="15">
      <c r="A48" t="str">
        <f>+'Sch 11, p 2'!A54</f>
        <v>Southern Company</v>
      </c>
      <c r="C48" s="41">
        <v>1</v>
      </c>
      <c r="D48" s="235">
        <v>0.7</v>
      </c>
      <c r="E48" s="41" t="s">
        <v>130</v>
      </c>
      <c r="F48" s="235">
        <v>4</v>
      </c>
      <c r="G48" s="41"/>
      <c r="H48" s="41"/>
      <c r="I48" s="237"/>
    </row>
    <row r="49" spans="1:9" ht="15">
      <c r="A49" t="str">
        <f>+'Sch 11, p 2'!A55</f>
        <v>TECO Energy</v>
      </c>
      <c r="C49" s="41">
        <v>3</v>
      </c>
      <c r="D49" s="235">
        <v>0.85</v>
      </c>
      <c r="E49" s="41" t="s">
        <v>129</v>
      </c>
      <c r="F49" s="235">
        <v>3</v>
      </c>
      <c r="G49" s="41"/>
      <c r="H49" s="41"/>
      <c r="I49" s="237"/>
    </row>
    <row r="50" spans="1:9" ht="15">
      <c r="A50" t="str">
        <f>+'Sch 11, p 2'!A56</f>
        <v>Wisconsin Energy</v>
      </c>
      <c r="C50" s="41">
        <v>2</v>
      </c>
      <c r="D50" s="235">
        <v>0.8</v>
      </c>
      <c r="E50" s="41" t="s">
        <v>128</v>
      </c>
      <c r="F50" s="235">
        <v>3.67</v>
      </c>
      <c r="G50" s="41"/>
      <c r="H50" s="41"/>
      <c r="I50" s="237"/>
    </row>
    <row r="51" spans="1:9" ht="15">
      <c r="A51" t="str">
        <f>+'Sch 11, p 2'!A57</f>
        <v>Xcel Energy Inc.</v>
      </c>
      <c r="C51" s="41">
        <v>2</v>
      </c>
      <c r="D51" s="235">
        <v>0.8</v>
      </c>
      <c r="E51" s="41" t="s">
        <v>128</v>
      </c>
      <c r="F51" s="235">
        <v>3.67</v>
      </c>
      <c r="G51" s="41"/>
      <c r="H51" s="41"/>
      <c r="I51" s="237"/>
    </row>
    <row r="52" spans="3:9" ht="15">
      <c r="C52" s="41"/>
      <c r="D52" s="235"/>
      <c r="E52" s="41"/>
      <c r="F52" s="235"/>
      <c r="G52" s="41"/>
      <c r="H52" s="41"/>
      <c r="I52" s="237"/>
    </row>
    <row r="53" spans="1:9" ht="15">
      <c r="A53" t="s">
        <v>95</v>
      </c>
      <c r="C53" s="238">
        <f>AVERAGE(C27:C51)</f>
        <v>2.2</v>
      </c>
      <c r="D53" s="235">
        <f>AVERAGE(D27:D51)</f>
        <v>0.8280000000000001</v>
      </c>
      <c r="E53" s="235" t="s">
        <v>128</v>
      </c>
      <c r="F53" s="235">
        <f>AVERAGE(F27:F51)</f>
        <v>3.6936</v>
      </c>
      <c r="G53" s="41"/>
      <c r="H53" s="41"/>
      <c r="I53" s="237"/>
    </row>
    <row r="54" spans="3:9" ht="15">
      <c r="C54" s="41"/>
      <c r="D54" s="235"/>
      <c r="E54" s="41"/>
      <c r="F54" s="235"/>
      <c r="G54" s="41"/>
      <c r="H54" s="41"/>
      <c r="I54" s="237"/>
    </row>
    <row r="55" spans="3:9" ht="15">
      <c r="C55" s="41"/>
      <c r="D55" s="235"/>
      <c r="E55" s="41"/>
      <c r="F55" s="235"/>
      <c r="G55" s="41"/>
      <c r="H55" s="41"/>
      <c r="I55" s="237"/>
    </row>
    <row r="56" spans="1:9" ht="15.75">
      <c r="A56" s="44" t="str">
        <f>+'Sch 11, p 2'!A63</f>
        <v>Moody's Electric Utilities</v>
      </c>
      <c r="C56" s="41"/>
      <c r="D56" s="235"/>
      <c r="E56" s="41"/>
      <c r="F56" s="235"/>
      <c r="G56" s="41"/>
      <c r="H56" s="41"/>
      <c r="I56" s="237"/>
    </row>
    <row r="57" spans="3:9" ht="15">
      <c r="C57" s="41"/>
      <c r="D57" s="235"/>
      <c r="E57" s="41"/>
      <c r="F57" s="235"/>
      <c r="G57" s="41"/>
      <c r="H57" s="41"/>
      <c r="I57" s="237"/>
    </row>
    <row r="58" spans="1:9" ht="15">
      <c r="A58" t="str">
        <f>+'Sch 11, p 2'!A65</f>
        <v>American Electric Power</v>
      </c>
      <c r="C58" s="41">
        <f>+C29</f>
        <v>2</v>
      </c>
      <c r="D58" s="235">
        <f>+D29</f>
        <v>0.85</v>
      </c>
      <c r="E58" s="235" t="str">
        <f>+E29</f>
        <v>B++</v>
      </c>
      <c r="F58" s="235">
        <f>+F29</f>
        <v>3.67</v>
      </c>
      <c r="G58" s="41"/>
      <c r="H58" s="41"/>
      <c r="I58" s="237"/>
    </row>
    <row r="59" spans="1:9" ht="15">
      <c r="A59" t="str">
        <f>+'Sch 11, p 2'!A66</f>
        <v>CH Energy</v>
      </c>
      <c r="C59" s="41">
        <v>1</v>
      </c>
      <c r="D59" s="235">
        <v>0.9</v>
      </c>
      <c r="E59" s="41" t="s">
        <v>130</v>
      </c>
      <c r="F59" s="235">
        <v>4</v>
      </c>
      <c r="G59" s="41"/>
      <c r="H59" s="41"/>
      <c r="I59" s="237"/>
    </row>
    <row r="60" spans="1:9" ht="15">
      <c r="A60" t="str">
        <f>+'Sch 11, p 2'!A67</f>
        <v>Consolidated Edison</v>
      </c>
      <c r="C60" s="41">
        <v>1</v>
      </c>
      <c r="D60" s="235">
        <v>0.75</v>
      </c>
      <c r="E60" s="41" t="s">
        <v>449</v>
      </c>
      <c r="F60" s="235">
        <v>4.67</v>
      </c>
      <c r="G60" s="41"/>
      <c r="H60" s="41"/>
      <c r="I60" s="237"/>
    </row>
    <row r="61" spans="1:9" ht="15">
      <c r="A61" t="str">
        <f>+'Sch 11, p 2'!A68</f>
        <v>Constellation Energy</v>
      </c>
      <c r="C61" s="41">
        <v>2</v>
      </c>
      <c r="D61" s="235">
        <v>0.9</v>
      </c>
      <c r="E61" s="41" t="s">
        <v>130</v>
      </c>
      <c r="F61" s="235">
        <v>4</v>
      </c>
      <c r="G61" s="41"/>
      <c r="H61" s="41"/>
      <c r="I61" s="237"/>
    </row>
    <row r="62" spans="1:9" ht="15">
      <c r="A62" t="str">
        <f>+'Sch 11, p 2'!A69</f>
        <v>Dominion Resources</v>
      </c>
      <c r="C62" s="41">
        <v>2</v>
      </c>
      <c r="D62" s="235">
        <v>0.75</v>
      </c>
      <c r="E62" s="41" t="s">
        <v>128</v>
      </c>
      <c r="F62" s="235">
        <v>3.67</v>
      </c>
      <c r="G62" s="41"/>
      <c r="H62" s="41"/>
      <c r="I62" s="237"/>
    </row>
    <row r="63" spans="1:9" ht="15">
      <c r="A63" t="str">
        <f>+'Sch 11, p 2'!A70</f>
        <v>DPL Inc</v>
      </c>
      <c r="C63" s="41">
        <v>3</v>
      </c>
      <c r="D63" s="235">
        <v>0.75</v>
      </c>
      <c r="E63" s="41" t="s">
        <v>450</v>
      </c>
      <c r="F63" s="235">
        <v>3</v>
      </c>
      <c r="G63" s="41"/>
      <c r="H63" s="41"/>
      <c r="I63" s="237"/>
    </row>
    <row r="64" spans="1:9" ht="15">
      <c r="A64" t="str">
        <f>+'Sch 11, p 2'!A71</f>
        <v>DTE Energy</v>
      </c>
      <c r="C64" s="41">
        <f>+C32</f>
        <v>3</v>
      </c>
      <c r="D64" s="235">
        <f>+D32</f>
        <v>0.75</v>
      </c>
      <c r="E64" s="41" t="str">
        <f>+E32</f>
        <v>B+</v>
      </c>
      <c r="F64" s="41">
        <f>+F32</f>
        <v>3.33</v>
      </c>
      <c r="G64" s="41"/>
      <c r="H64" s="41"/>
      <c r="I64" s="237"/>
    </row>
    <row r="65" spans="1:9" ht="15">
      <c r="A65" t="str">
        <f>+'Sch 11, p 2'!A72</f>
        <v>Energy East</v>
      </c>
      <c r="C65" s="41">
        <f>+C35</f>
        <v>2</v>
      </c>
      <c r="D65" s="41">
        <f>+D35</f>
        <v>0.75</v>
      </c>
      <c r="E65" s="41" t="str">
        <f>+E35</f>
        <v>B++</v>
      </c>
      <c r="F65" s="41">
        <f>+F35</f>
        <v>3.67</v>
      </c>
      <c r="G65" s="41"/>
      <c r="H65" s="41"/>
      <c r="I65" s="237"/>
    </row>
    <row r="66" spans="1:9" ht="15">
      <c r="A66" t="str">
        <f>+'Sch 11, p 2'!A73</f>
        <v>Exelon</v>
      </c>
      <c r="C66" s="41">
        <v>1</v>
      </c>
      <c r="D66" s="235">
        <v>0.85</v>
      </c>
      <c r="E66" s="41" t="s">
        <v>449</v>
      </c>
      <c r="F66" s="41">
        <v>4.33</v>
      </c>
      <c r="G66" s="41"/>
      <c r="H66" s="41"/>
      <c r="I66" s="237"/>
    </row>
    <row r="67" spans="1:9" ht="15">
      <c r="A67" t="str">
        <f>+'Sch 11, p 2'!A74</f>
        <v>FirstEnergy Corp</v>
      </c>
      <c r="C67" s="75">
        <f>+C37</f>
        <v>2</v>
      </c>
      <c r="D67" s="235">
        <f>+D37</f>
        <v>0.8</v>
      </c>
      <c r="E67" s="235" t="str">
        <f>+E37</f>
        <v>A</v>
      </c>
      <c r="F67" s="235">
        <f>+F37</f>
        <v>4</v>
      </c>
      <c r="G67" s="41"/>
      <c r="H67" s="41"/>
      <c r="I67" s="237"/>
    </row>
    <row r="68" spans="1:9" ht="15">
      <c r="A68" t="str">
        <f>+'Sch 11, p 2'!A75</f>
        <v>IDACORP</v>
      </c>
      <c r="C68" s="41">
        <f>+C40</f>
        <v>3</v>
      </c>
      <c r="D68" s="235">
        <f>+D40</f>
        <v>0.9</v>
      </c>
      <c r="E68" s="235" t="str">
        <f>+E40</f>
        <v>B+</v>
      </c>
      <c r="F68" s="235">
        <f>+F40</f>
        <v>3.33</v>
      </c>
      <c r="G68" s="41"/>
      <c r="H68" s="41"/>
      <c r="I68" s="237"/>
    </row>
    <row r="69" spans="1:9" ht="15">
      <c r="A69" t="str">
        <f>+'Sch 11, p 2'!A76</f>
        <v>NiSource</v>
      </c>
      <c r="C69" s="41">
        <v>3</v>
      </c>
      <c r="D69" s="235">
        <v>0.9</v>
      </c>
      <c r="E69" s="41" t="s">
        <v>83</v>
      </c>
      <c r="F69" s="235">
        <v>3.33</v>
      </c>
      <c r="G69" s="41"/>
      <c r="H69" s="41"/>
      <c r="I69" s="237"/>
    </row>
    <row r="70" spans="1:9" ht="15">
      <c r="A70" t="str">
        <f>+'Sch 11, p 2'!A77</f>
        <v>OGE Energy</v>
      </c>
      <c r="C70" s="41">
        <v>2</v>
      </c>
      <c r="D70" s="235">
        <v>0.8</v>
      </c>
      <c r="E70" s="41" t="s">
        <v>130</v>
      </c>
      <c r="F70" s="235">
        <v>4</v>
      </c>
      <c r="G70" s="41"/>
      <c r="H70" s="41"/>
      <c r="I70" s="237"/>
    </row>
    <row r="71" spans="1:9" ht="15">
      <c r="A71" t="str">
        <f>+'Sch 11, p 2'!A78</f>
        <v>PPL Corp</v>
      </c>
      <c r="C71" s="41">
        <f>+C46</f>
        <v>2</v>
      </c>
      <c r="D71" s="235">
        <v>0.9</v>
      </c>
      <c r="E71" s="41" t="str">
        <f>+E46</f>
        <v>B++</v>
      </c>
      <c r="F71" s="41">
        <f>+F46</f>
        <v>3.67</v>
      </c>
      <c r="G71" s="41"/>
      <c r="H71" s="41"/>
      <c r="I71" s="237"/>
    </row>
    <row r="72" spans="1:9" ht="15">
      <c r="A72" t="str">
        <f>+'Sch 11, p 2'!A79</f>
        <v>Progress Energy</v>
      </c>
      <c r="C72" s="41">
        <f>+C46</f>
        <v>2</v>
      </c>
      <c r="D72" s="235">
        <f>+D46</f>
        <v>0.8</v>
      </c>
      <c r="E72" s="235" t="str">
        <f>+E46</f>
        <v>B++</v>
      </c>
      <c r="F72" s="235">
        <f>+F46</f>
        <v>3.67</v>
      </c>
      <c r="G72" s="41"/>
      <c r="H72" s="41"/>
      <c r="I72" s="237"/>
    </row>
    <row r="73" spans="1:9" ht="15">
      <c r="A73" t="str">
        <f>+'Sch 11, p 2'!A80</f>
        <v>Public Service Enterprise</v>
      </c>
      <c r="C73" s="41">
        <v>3</v>
      </c>
      <c r="D73" s="235">
        <v>0.9</v>
      </c>
      <c r="E73" s="41" t="s">
        <v>128</v>
      </c>
      <c r="F73" s="41">
        <v>3.67</v>
      </c>
      <c r="G73" s="41"/>
      <c r="H73" s="41"/>
      <c r="I73" s="237"/>
    </row>
    <row r="74" spans="1:9" ht="15">
      <c r="A74" t="str">
        <f>+'Sch 11, p 2'!A81</f>
        <v>Southern Company</v>
      </c>
      <c r="C74" s="41">
        <f aca="true" t="shared" si="1" ref="C74:F75">+C48</f>
        <v>1</v>
      </c>
      <c r="D74" s="235">
        <f t="shared" si="1"/>
        <v>0.7</v>
      </c>
      <c r="E74" s="235" t="str">
        <f t="shared" si="1"/>
        <v>A</v>
      </c>
      <c r="F74" s="235">
        <f t="shared" si="1"/>
        <v>4</v>
      </c>
      <c r="G74" s="41"/>
      <c r="H74" s="41"/>
      <c r="I74" s="237"/>
    </row>
    <row r="75" spans="1:9" ht="15">
      <c r="A75" t="str">
        <f>+'Sch 11, p 2'!A82</f>
        <v>TECO Energy</v>
      </c>
      <c r="C75" s="41">
        <f t="shared" si="1"/>
        <v>3</v>
      </c>
      <c r="D75" s="235">
        <f t="shared" si="1"/>
        <v>0.85</v>
      </c>
      <c r="E75" s="235" t="str">
        <f t="shared" si="1"/>
        <v>B</v>
      </c>
      <c r="F75" s="235">
        <f t="shared" si="1"/>
        <v>3</v>
      </c>
      <c r="G75" s="41"/>
      <c r="H75" s="41"/>
      <c r="I75" s="237"/>
    </row>
    <row r="76" spans="1:9" ht="15">
      <c r="A76" t="str">
        <f>+'Sch 11, p 2'!A83</f>
        <v>Xcel Energy Inc.</v>
      </c>
      <c r="C76" s="41">
        <f>+C51</f>
        <v>2</v>
      </c>
      <c r="D76" s="235">
        <f>+D51</f>
        <v>0.8</v>
      </c>
      <c r="E76" s="235" t="str">
        <f>+E51</f>
        <v>B++</v>
      </c>
      <c r="F76" s="235">
        <f>+F51</f>
        <v>3.67</v>
      </c>
      <c r="G76" s="41"/>
      <c r="H76" s="41"/>
      <c r="I76" s="237"/>
    </row>
    <row r="77" spans="3:9" ht="15">
      <c r="C77" s="41"/>
      <c r="D77" s="235"/>
      <c r="E77" s="41"/>
      <c r="F77" s="235"/>
      <c r="G77" s="41"/>
      <c r="H77" s="41"/>
      <c r="I77" s="237"/>
    </row>
    <row r="78" spans="1:9" ht="15">
      <c r="A78" t="s">
        <v>95</v>
      </c>
      <c r="C78" s="238">
        <f>AVERAGE(C58:C75)</f>
        <v>2.111111111111111</v>
      </c>
      <c r="D78" s="235">
        <f>AVERAGE(D58:D75)</f>
        <v>0.8222222222222224</v>
      </c>
      <c r="E78" s="235" t="s">
        <v>128</v>
      </c>
      <c r="F78" s="235">
        <f>AVERAGE(F58:F75)</f>
        <v>3.722777777777777</v>
      </c>
      <c r="G78" s="41"/>
      <c r="H78" s="41"/>
      <c r="I78" s="237"/>
    </row>
    <row r="79" spans="3:9" ht="15">
      <c r="C79" s="41"/>
      <c r="D79" s="235"/>
      <c r="E79" s="41"/>
      <c r="F79" s="235"/>
      <c r="G79" s="41"/>
      <c r="H79" s="41"/>
      <c r="I79" s="237"/>
    </row>
    <row r="80" spans="3:9" ht="15">
      <c r="C80" s="41"/>
      <c r="D80" s="235"/>
      <c r="E80" s="41"/>
      <c r="F80" s="235"/>
      <c r="G80" s="41"/>
      <c r="H80" s="41"/>
      <c r="I80" s="41"/>
    </row>
    <row r="81" spans="3:9" ht="15">
      <c r="C81" s="41"/>
      <c r="D81" s="235"/>
      <c r="E81" s="41"/>
      <c r="F81" s="41"/>
      <c r="G81" s="41"/>
      <c r="H81" s="41"/>
      <c r="I81" s="41"/>
    </row>
    <row r="82" spans="3:9" ht="15">
      <c r="C82" s="41"/>
      <c r="D82" s="235"/>
      <c r="E82" s="41"/>
      <c r="F82" s="41"/>
      <c r="G82" s="41"/>
      <c r="H82" s="41"/>
      <c r="I82" s="41"/>
    </row>
    <row r="83" spans="3:9" ht="15">
      <c r="C83" s="41"/>
      <c r="D83" s="235"/>
      <c r="E83" s="41"/>
      <c r="F83" s="41"/>
      <c r="G83" s="41"/>
      <c r="H83" s="41"/>
      <c r="I83" s="41"/>
    </row>
    <row r="84" spans="3:9" ht="15">
      <c r="C84" s="41"/>
      <c r="D84" s="235"/>
      <c r="E84" s="41"/>
      <c r="F84" s="41"/>
      <c r="G84" s="41"/>
      <c r="H84" s="41"/>
      <c r="I84" s="41"/>
    </row>
    <row r="85" spans="3:9" ht="15">
      <c r="C85" s="41"/>
      <c r="D85" s="235"/>
      <c r="E85" s="41"/>
      <c r="F85" s="41"/>
      <c r="G85" s="41"/>
      <c r="H85" s="41"/>
      <c r="I85" s="41"/>
    </row>
    <row r="86" spans="3:9" ht="15">
      <c r="C86" s="41"/>
      <c r="D86" s="235"/>
      <c r="E86" s="41"/>
      <c r="F86" s="41"/>
      <c r="G86" s="41"/>
      <c r="H86" s="41"/>
      <c r="I86" s="41"/>
    </row>
    <row r="87" ht="15">
      <c r="D87" s="240"/>
    </row>
    <row r="88" ht="15">
      <c r="D88" s="240"/>
    </row>
  </sheetData>
  <sheetProtection/>
  <mergeCells count="2">
    <mergeCell ref="C6:F6"/>
    <mergeCell ref="H6:I6"/>
  </mergeCells>
  <printOptions/>
  <pageMargins left="0.75" right="0.75" top="1" bottom="1" header="0.5" footer="0.5"/>
  <pageSetup fitToHeight="1" fitToWidth="1" horizontalDpi="600" verticalDpi="600" orientation="portrait" scale="5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showOutlineSymbols="0" zoomScale="87" zoomScaleNormal="87" zoomScalePageLayoutView="0" workbookViewId="0" topLeftCell="A1">
      <selection activeCell="F23" sqref="F23"/>
    </sheetView>
  </sheetViews>
  <sheetFormatPr defaultColWidth="9.77734375" defaultRowHeight="15"/>
  <cols>
    <col min="1" max="1" width="2.77734375" style="34" customWidth="1"/>
    <col min="2" max="2" width="23.77734375" style="34" customWidth="1"/>
    <col min="3" max="3" width="1.77734375" style="34" customWidth="1"/>
    <col min="4" max="6" width="12.77734375" style="34" customWidth="1"/>
    <col min="7" max="7" width="14.77734375" style="34" customWidth="1"/>
    <col min="8" max="8" width="12.77734375" style="34" customWidth="1"/>
    <col min="9" max="16384" width="9.77734375" style="34" customWidth="1"/>
  </cols>
  <sheetData>
    <row r="1" ht="15.75">
      <c r="G1" s="33" t="str">
        <f>+'Sch 12'!F1</f>
        <v>Exhibit___(DCP-2)</v>
      </c>
    </row>
    <row r="2" spans="3:7" ht="15.75">
      <c r="C2" s="95"/>
      <c r="D2" s="95"/>
      <c r="E2" s="95"/>
      <c r="G2" s="33" t="s">
        <v>336</v>
      </c>
    </row>
    <row r="3" spans="3:7" ht="15.75">
      <c r="C3" s="95"/>
      <c r="D3" s="95"/>
      <c r="E3" s="95"/>
      <c r="G3" s="33"/>
    </row>
    <row r="5" spans="3:6" ht="15">
      <c r="C5" s="95"/>
      <c r="D5" s="95"/>
      <c r="E5" s="95"/>
      <c r="F5" s="95"/>
    </row>
    <row r="6" spans="3:6" ht="15">
      <c r="C6" s="95"/>
      <c r="D6" s="95"/>
      <c r="E6" s="95"/>
      <c r="F6" s="95"/>
    </row>
    <row r="7" spans="2:7" ht="20.25">
      <c r="B7" s="126" t="s">
        <v>131</v>
      </c>
      <c r="C7" s="97"/>
      <c r="D7" s="83"/>
      <c r="E7" s="97"/>
      <c r="F7" s="97"/>
      <c r="G7" s="83"/>
    </row>
    <row r="8" spans="3:6" ht="15">
      <c r="C8" s="95"/>
      <c r="D8" s="95"/>
      <c r="E8" s="95"/>
      <c r="F8" s="95"/>
    </row>
    <row r="10" spans="2:7" ht="15">
      <c r="B10" s="85"/>
      <c r="C10" s="85"/>
      <c r="D10" s="86" t="s">
        <v>84</v>
      </c>
      <c r="E10" s="86" t="s">
        <v>84</v>
      </c>
      <c r="F10" s="86" t="s">
        <v>84</v>
      </c>
      <c r="G10" s="86" t="s">
        <v>64</v>
      </c>
    </row>
    <row r="11" spans="2:7" ht="15">
      <c r="B11" s="87" t="s">
        <v>132</v>
      </c>
      <c r="D11" s="87" t="s">
        <v>85</v>
      </c>
      <c r="E11" s="87" t="s">
        <v>112</v>
      </c>
      <c r="F11" s="87" t="s">
        <v>143</v>
      </c>
      <c r="G11" s="87" t="s">
        <v>144</v>
      </c>
    </row>
    <row r="12" spans="2:7" ht="15">
      <c r="B12" s="88"/>
      <c r="C12" s="88"/>
      <c r="D12" s="88"/>
      <c r="E12" s="88"/>
      <c r="F12" s="88"/>
      <c r="G12" s="88"/>
    </row>
    <row r="13" ht="15">
      <c r="B13" s="34" t="s">
        <v>133</v>
      </c>
    </row>
    <row r="14" spans="2:7" ht="15">
      <c r="B14" s="34" t="s">
        <v>134</v>
      </c>
      <c r="D14" s="87">
        <v>2.6</v>
      </c>
      <c r="E14" s="121">
        <v>1.05</v>
      </c>
      <c r="F14" s="87" t="s">
        <v>128</v>
      </c>
      <c r="G14" s="87" t="s">
        <v>83</v>
      </c>
    </row>
    <row r="15" ht="15">
      <c r="E15" s="96"/>
    </row>
    <row r="16" spans="2:7" ht="15">
      <c r="B16" s="34" t="str">
        <f>+'Sch 13 WP'!A11</f>
        <v>Comparison Group</v>
      </c>
      <c r="D16" s="127">
        <f>+'Sch 13 WP'!C21</f>
        <v>2.2857142857142856</v>
      </c>
      <c r="E16" s="121">
        <f>+'Sch 13 WP'!D21</f>
        <v>0.8571428571428571</v>
      </c>
      <c r="F16" s="87" t="str">
        <f>+'Sch 13 WP'!E21</f>
        <v>B+/B++</v>
      </c>
      <c r="G16" s="87"/>
    </row>
    <row r="17" spans="4:7" ht="15">
      <c r="D17" s="127"/>
      <c r="E17" s="121"/>
      <c r="F17" s="87"/>
      <c r="G17" s="87"/>
    </row>
    <row r="18" spans="2:7" ht="15">
      <c r="B18" s="34" t="s">
        <v>458</v>
      </c>
      <c r="D18" s="127">
        <f>+'Sch 13 WP'!C53</f>
        <v>2.2</v>
      </c>
      <c r="E18" s="121">
        <f>+'Sch 13 WP'!D53</f>
        <v>0.8280000000000001</v>
      </c>
      <c r="F18" s="121" t="str">
        <f>+'Sch 13 WP'!E53</f>
        <v>B++</v>
      </c>
      <c r="G18" s="121"/>
    </row>
    <row r="19" spans="4:7" ht="15">
      <c r="D19" s="127"/>
      <c r="E19" s="121"/>
      <c r="F19" s="121"/>
      <c r="G19" s="121"/>
    </row>
    <row r="20" spans="2:7" ht="15">
      <c r="B20" s="34" t="str">
        <f>+'Sch 13 WP'!A56</f>
        <v>Moody's Electric Utilities</v>
      </c>
      <c r="D20" s="127">
        <f>+'Sch 13 WP'!C78</f>
        <v>2.111111111111111</v>
      </c>
      <c r="E20" s="121">
        <f>+'Sch 13 WP'!D78</f>
        <v>0.8222222222222224</v>
      </c>
      <c r="F20" s="121" t="str">
        <f>+'Sch 13 WP'!E78</f>
        <v>B++</v>
      </c>
      <c r="G20" s="121"/>
    </row>
    <row r="21" spans="4:7" ht="15">
      <c r="D21" s="127"/>
      <c r="E21" s="121"/>
      <c r="F21" s="121"/>
      <c r="G21" s="121"/>
    </row>
    <row r="22" spans="2:7" ht="15">
      <c r="B22" s="34" t="s">
        <v>194</v>
      </c>
      <c r="D22" s="127">
        <f>+'Sch 13 WP'!C47</f>
        <v>3</v>
      </c>
      <c r="E22" s="121">
        <f>+'Sch 13 WP'!D47</f>
        <v>0.9</v>
      </c>
      <c r="F22" s="87" t="str">
        <f>+'Sch 13 WP'!E47</f>
        <v>B+ </v>
      </c>
      <c r="G22" s="87"/>
    </row>
    <row r="24" spans="2:7" ht="15">
      <c r="B24" s="88"/>
      <c r="C24" s="88"/>
      <c r="D24" s="88"/>
      <c r="E24" s="88"/>
      <c r="F24" s="88"/>
      <c r="G24" s="88"/>
    </row>
    <row r="25" ht="15">
      <c r="B25" s="34" t="s">
        <v>135</v>
      </c>
    </row>
    <row r="27" ht="15">
      <c r="B27" s="34" t="s">
        <v>136</v>
      </c>
    </row>
    <row r="29" ht="15">
      <c r="B29" s="34" t="s">
        <v>137</v>
      </c>
    </row>
    <row r="31" ht="15">
      <c r="B31" s="34" t="s">
        <v>138</v>
      </c>
    </row>
    <row r="32" ht="15">
      <c r="B32" s="34" t="s">
        <v>139</v>
      </c>
    </row>
    <row r="33" ht="15">
      <c r="B33" s="34" t="s">
        <v>140</v>
      </c>
    </row>
    <row r="35" ht="15">
      <c r="B35" s="34" t="s">
        <v>141</v>
      </c>
    </row>
    <row r="37" ht="15">
      <c r="B37" s="34" t="s">
        <v>142</v>
      </c>
    </row>
  </sheetData>
  <sheetProtection/>
  <printOptions horizontalCentered="1"/>
  <pageMargins left="0.5" right="0.5" top="0.5" bottom="0.55" header="0" footer="0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OutlineSymbols="0" zoomScale="87" zoomScaleNormal="87" zoomScalePageLayoutView="0" workbookViewId="0" topLeftCell="A1">
      <selection activeCell="F42" sqref="F42"/>
    </sheetView>
  </sheetViews>
  <sheetFormatPr defaultColWidth="9.77734375" defaultRowHeight="15"/>
  <cols>
    <col min="1" max="1" width="18.77734375" style="34" customWidth="1"/>
    <col min="2" max="2" width="12.77734375" style="34" customWidth="1"/>
    <col min="3" max="4" width="9.77734375" style="34" customWidth="1"/>
    <col min="5" max="6" width="11.77734375" style="34" customWidth="1"/>
    <col min="7" max="7" width="3.77734375" style="34" customWidth="1"/>
    <col min="8" max="16384" width="9.77734375" style="34" customWidth="1"/>
  </cols>
  <sheetData>
    <row r="1" spans="5:6" ht="15.75">
      <c r="E1" s="33"/>
      <c r="F1" s="33" t="str">
        <f>+'Sch 1'!G1</f>
        <v>Exhibit___(DCP-2)</v>
      </c>
    </row>
    <row r="2" ht="15.75">
      <c r="F2" s="33" t="s">
        <v>223</v>
      </c>
    </row>
    <row r="3" ht="15.75">
      <c r="E3" s="33"/>
    </row>
    <row r="6" spans="2:6" ht="20.25">
      <c r="B6" s="82" t="s">
        <v>462</v>
      </c>
      <c r="C6" s="82"/>
      <c r="D6" s="82"/>
      <c r="E6" s="82"/>
      <c r="F6" s="82"/>
    </row>
    <row r="7" spans="2:6" ht="20.25">
      <c r="B7" s="82" t="s">
        <v>149</v>
      </c>
      <c r="C7" s="83"/>
      <c r="D7" s="83"/>
      <c r="E7" s="83"/>
      <c r="F7" s="83"/>
    </row>
    <row r="8" spans="2:6" ht="20.25">
      <c r="B8" s="245"/>
      <c r="C8" s="245"/>
      <c r="D8" s="245"/>
      <c r="E8" s="245"/>
      <c r="F8" s="245"/>
    </row>
    <row r="10" spans="4:6" ht="15">
      <c r="D10" s="87" t="s">
        <v>147</v>
      </c>
      <c r="E10" s="103" t="s">
        <v>154</v>
      </c>
      <c r="F10" s="87" t="s">
        <v>156</v>
      </c>
    </row>
    <row r="11" spans="1:6" ht="15">
      <c r="A11" s="34" t="s">
        <v>145</v>
      </c>
      <c r="C11" s="87" t="s">
        <v>82</v>
      </c>
      <c r="D11" s="87" t="s">
        <v>35</v>
      </c>
      <c r="E11" s="87" t="s">
        <v>147</v>
      </c>
      <c r="F11" s="87" t="s">
        <v>147</v>
      </c>
    </row>
    <row r="12" spans="1:6" ht="15">
      <c r="A12" s="88"/>
      <c r="B12" s="88"/>
      <c r="C12" s="88"/>
      <c r="D12" s="88"/>
      <c r="E12" s="88"/>
      <c r="F12" s="88"/>
    </row>
    <row r="13" spans="1:6" ht="15">
      <c r="A13" s="34" t="str">
        <f>+'Sch 1'!A13</f>
        <v>Short-Term Debt</v>
      </c>
      <c r="C13" s="100">
        <f>+'Sch 1'!B13</f>
        <v>0.0493</v>
      </c>
      <c r="D13" s="100">
        <f>+'Sch 1'!D13</f>
        <v>0.0592</v>
      </c>
      <c r="E13" s="100">
        <f>C13*D13</f>
        <v>0.0029185599999999997</v>
      </c>
      <c r="F13" s="100">
        <f>E13</f>
        <v>0.0029185599999999997</v>
      </c>
    </row>
    <row r="14" spans="3:6" ht="15">
      <c r="C14" s="100"/>
      <c r="D14" s="35"/>
      <c r="E14" s="100"/>
      <c r="F14" s="100"/>
    </row>
    <row r="15" spans="1:6" ht="15">
      <c r="A15" s="34" t="str">
        <f>+'Sch 1'!A15</f>
        <v>Long-Term Debt </v>
      </c>
      <c r="C15" s="100">
        <f>+'Sch 1'!B15</f>
        <v>0.5004</v>
      </c>
      <c r="D15" s="100">
        <f>+'Sch 1'!D15</f>
        <v>0.069</v>
      </c>
      <c r="E15" s="100">
        <f>C15*D15</f>
        <v>0.0345276</v>
      </c>
      <c r="F15" s="100">
        <f>+E15</f>
        <v>0.0345276</v>
      </c>
    </row>
    <row r="16" spans="3:6" ht="15">
      <c r="C16" s="100"/>
      <c r="D16" s="100"/>
      <c r="E16" s="100"/>
      <c r="F16" s="100"/>
    </row>
    <row r="17" spans="1:6" ht="15">
      <c r="A17" s="34" t="str">
        <f>+'Sch 1'!A17</f>
        <v>Preferred Stock</v>
      </c>
      <c r="C17" s="100">
        <f>+'Sch 1'!B17</f>
        <v>0.0003</v>
      </c>
      <c r="D17" s="100">
        <f>+'Sch 1'!D17</f>
        <v>0.0861</v>
      </c>
      <c r="E17" s="100">
        <f>C17*D17</f>
        <v>2.5829999999999995E-05</v>
      </c>
      <c r="F17" s="100">
        <f>E17/0.65</f>
        <v>3.973846153846153E-05</v>
      </c>
    </row>
    <row r="18" spans="3:6" ht="15">
      <c r="C18" s="100"/>
      <c r="D18" s="35"/>
      <c r="E18" s="100"/>
      <c r="F18" s="100"/>
    </row>
    <row r="19" spans="1:7" ht="15">
      <c r="A19" s="34" t="s">
        <v>76</v>
      </c>
      <c r="C19" s="100">
        <f>+'Sch 1'!B19</f>
        <v>0.45</v>
      </c>
      <c r="D19" s="100">
        <v>0.1</v>
      </c>
      <c r="E19" s="100">
        <f>C19*D19</f>
        <v>0.045000000000000005</v>
      </c>
      <c r="F19" s="100">
        <f>E19/0.65</f>
        <v>0.06923076923076923</v>
      </c>
      <c r="G19" s="34" t="s">
        <v>78</v>
      </c>
    </row>
    <row r="20" spans="3:6" ht="15">
      <c r="C20" s="134"/>
      <c r="D20" s="35"/>
      <c r="E20" s="134"/>
      <c r="F20" s="134"/>
    </row>
    <row r="21" spans="3:6" ht="15">
      <c r="C21" s="100"/>
      <c r="D21" s="35"/>
      <c r="E21" s="100"/>
      <c r="F21" s="100"/>
    </row>
    <row r="22" spans="1:6" ht="15">
      <c r="A22" s="34" t="s">
        <v>148</v>
      </c>
      <c r="C22" s="100">
        <f>SUM(C13:C19)</f>
        <v>1</v>
      </c>
      <c r="D22" s="35"/>
      <c r="E22" s="100">
        <f>SUM(E13:E19)</f>
        <v>0.08247199</v>
      </c>
      <c r="F22" s="100">
        <f>SUM(F13:F19)</f>
        <v>0.1067166676923077</v>
      </c>
    </row>
    <row r="23" spans="3:6" ht="15">
      <c r="C23" s="35"/>
      <c r="D23" s="35"/>
      <c r="E23" s="35"/>
      <c r="F23" s="35"/>
    </row>
    <row r="24" spans="2:6" ht="15">
      <c r="B24" s="34" t="s">
        <v>215</v>
      </c>
      <c r="C24" s="35"/>
      <c r="D24" s="35"/>
      <c r="E24" s="35"/>
      <c r="F24" s="35"/>
    </row>
    <row r="25" spans="3:6" ht="15">
      <c r="C25" s="35"/>
      <c r="D25" s="35"/>
      <c r="E25" s="35"/>
      <c r="F25" s="35"/>
    </row>
    <row r="26" spans="2:6" ht="15">
      <c r="B26" s="34" t="s">
        <v>150</v>
      </c>
      <c r="C26" s="35"/>
      <c r="D26" s="36" t="s">
        <v>464</v>
      </c>
      <c r="E26" s="35"/>
      <c r="F26" s="35"/>
    </row>
    <row r="27" spans="3:6" ht="15.75">
      <c r="C27" s="35"/>
      <c r="D27" s="104">
        <f>+F22/(F13+F15)</f>
        <v>2.84986945770428</v>
      </c>
      <c r="E27" s="38" t="s">
        <v>155</v>
      </c>
      <c r="F27" s="35"/>
    </row>
    <row r="28" spans="3:6" ht="15">
      <c r="C28" s="35"/>
      <c r="D28" s="35"/>
      <c r="E28" s="35"/>
      <c r="F28" s="35"/>
    </row>
    <row r="29" spans="2:6" ht="15">
      <c r="B29" s="34" t="s">
        <v>151</v>
      </c>
      <c r="C29" s="35"/>
      <c r="D29" s="35"/>
      <c r="E29" s="35"/>
      <c r="F29" s="35"/>
    </row>
    <row r="30" spans="3:6" ht="15">
      <c r="C30" s="35"/>
      <c r="D30" s="35"/>
      <c r="E30" s="35"/>
      <c r="F30" s="35"/>
    </row>
    <row r="31" spans="3:6" ht="15">
      <c r="C31" s="35"/>
      <c r="E31" s="115"/>
      <c r="F31" s="100" t="s">
        <v>65</v>
      </c>
    </row>
    <row r="32" spans="3:6" ht="15">
      <c r="C32" s="35"/>
      <c r="D32" s="35"/>
      <c r="E32" s="114"/>
      <c r="F32" s="37"/>
    </row>
    <row r="33" spans="2:6" ht="15">
      <c r="B33" s="34" t="s">
        <v>152</v>
      </c>
      <c r="C33" s="35"/>
      <c r="D33" s="35"/>
      <c r="E33" s="35"/>
      <c r="F33" s="35"/>
    </row>
    <row r="34" spans="2:6" ht="15">
      <c r="B34" s="105" t="s">
        <v>153</v>
      </c>
      <c r="C34" s="35"/>
      <c r="D34" s="35"/>
      <c r="E34" s="100"/>
      <c r="F34" s="100"/>
    </row>
    <row r="35" spans="2:6" ht="15">
      <c r="B35" s="87">
        <v>4</v>
      </c>
      <c r="C35" s="35"/>
      <c r="D35" s="35"/>
      <c r="E35" s="100"/>
      <c r="F35" s="100" t="s">
        <v>468</v>
      </c>
    </row>
    <row r="36" spans="2:6" ht="15">
      <c r="B36" s="87"/>
      <c r="C36" s="35"/>
      <c r="D36" s="35"/>
      <c r="E36" s="100"/>
      <c r="F36" s="100"/>
    </row>
    <row r="37" spans="2:6" ht="15">
      <c r="B37" s="87"/>
      <c r="C37" s="35"/>
      <c r="D37" s="35"/>
      <c r="E37" s="100"/>
      <c r="F37" s="100"/>
    </row>
    <row r="38" ht="15">
      <c r="B38" s="34" t="s">
        <v>165</v>
      </c>
    </row>
    <row r="39" ht="15">
      <c r="B39" s="34" t="s">
        <v>160</v>
      </c>
    </row>
    <row r="40" spans="2:6" ht="15">
      <c r="B40" s="87"/>
      <c r="E40" s="87"/>
      <c r="F40" s="87"/>
    </row>
    <row r="41" spans="2:6" ht="15">
      <c r="B41" s="87">
        <v>4</v>
      </c>
      <c r="E41" s="106"/>
      <c r="F41" s="87" t="s">
        <v>469</v>
      </c>
    </row>
    <row r="42" spans="2:6" ht="15">
      <c r="B42" s="87"/>
      <c r="C42" s="35"/>
      <c r="E42" s="87"/>
      <c r="F42" s="87"/>
    </row>
    <row r="43" spans="2:6" ht="15">
      <c r="B43" s="105" t="s">
        <v>229</v>
      </c>
      <c r="C43" s="35"/>
      <c r="E43" s="87"/>
      <c r="F43" s="87"/>
    </row>
    <row r="44" spans="2:6" ht="15">
      <c r="B44" s="139" t="s">
        <v>230</v>
      </c>
      <c r="C44" s="35"/>
      <c r="E44" s="87"/>
      <c r="F44" s="87"/>
    </row>
    <row r="45" spans="2:6" ht="15">
      <c r="B45" s="105" t="s">
        <v>231</v>
      </c>
      <c r="C45" s="35"/>
      <c r="E45" s="87"/>
      <c r="F45" s="87"/>
    </row>
    <row r="46" ht="15">
      <c r="B46" s="105"/>
    </row>
  </sheetData>
  <sheetProtection/>
  <mergeCells count="1">
    <mergeCell ref="B8:F8"/>
  </mergeCells>
  <printOptions horizontalCentered="1"/>
  <pageMargins left="0.5" right="0.5" top="0.5" bottom="0.55" header="0" footer="0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="87" zoomScaleNormal="87" zoomScalePageLayoutView="0" workbookViewId="0" topLeftCell="A1">
      <selection activeCell="M48" sqref="M48"/>
    </sheetView>
  </sheetViews>
  <sheetFormatPr defaultColWidth="8.88671875" defaultRowHeight="15"/>
  <cols>
    <col min="3" max="3" width="2.10546875" style="0" customWidth="1"/>
    <col min="4" max="4" width="8.4453125" style="0" customWidth="1"/>
    <col min="5" max="5" width="2.10546875" style="0" customWidth="1"/>
    <col min="6" max="6" width="11.88671875" style="0" bestFit="1" customWidth="1"/>
    <col min="7" max="7" width="3.77734375" style="0" customWidth="1"/>
    <col min="9" max="9" width="2.10546875" style="0" customWidth="1"/>
    <col min="10" max="10" width="9.6640625" style="0" bestFit="1" customWidth="1"/>
    <col min="11" max="11" width="2.10546875" style="0" customWidth="1"/>
    <col min="12" max="12" width="12.10546875" style="0" customWidth="1"/>
  </cols>
  <sheetData>
    <row r="1" ht="15.75">
      <c r="K1" s="44" t="str">
        <f>+'Sch 14'!F1</f>
        <v>Exhibit___(DCP-2)</v>
      </c>
    </row>
    <row r="2" spans="2:11" ht="15.75">
      <c r="B2" s="45"/>
      <c r="C2" s="45"/>
      <c r="D2" s="45"/>
      <c r="E2" s="45"/>
      <c r="F2" s="45"/>
      <c r="K2" s="44" t="s">
        <v>337</v>
      </c>
    </row>
    <row r="3" spans="2:7" ht="15">
      <c r="B3" s="45"/>
      <c r="C3" s="45"/>
      <c r="D3" s="45"/>
      <c r="E3" s="45"/>
      <c r="F3" s="45"/>
      <c r="G3" s="45"/>
    </row>
    <row r="4" spans="2:12" ht="18">
      <c r="B4" s="258" t="s">
        <v>227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2:12" ht="18">
      <c r="B5" s="258" t="s">
        <v>457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2:12" ht="15.75" thickBot="1"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2:12" ht="15.75" thickTop="1">
      <c r="B7" s="45"/>
      <c r="C7" s="45"/>
      <c r="D7" s="45"/>
      <c r="E7" s="45"/>
      <c r="F7" s="45"/>
      <c r="H7" s="45"/>
      <c r="I7" s="45"/>
      <c r="J7" s="45"/>
      <c r="K7" s="45"/>
      <c r="L7" s="45"/>
    </row>
    <row r="8" spans="4:12" ht="15">
      <c r="D8" s="256" t="s">
        <v>228</v>
      </c>
      <c r="F8" s="256" t="s">
        <v>335</v>
      </c>
      <c r="J8" s="256" t="s">
        <v>228</v>
      </c>
      <c r="L8" s="256" t="s">
        <v>335</v>
      </c>
    </row>
    <row r="9" spans="2:12" ht="15">
      <c r="B9" s="41" t="s">
        <v>63</v>
      </c>
      <c r="D9" s="256"/>
      <c r="F9" s="256"/>
      <c r="H9" s="41" t="s">
        <v>63</v>
      </c>
      <c r="J9" s="256"/>
      <c r="L9" s="256"/>
    </row>
    <row r="10" spans="2:12" ht="15.75" thickBot="1">
      <c r="B10" s="192"/>
      <c r="C10" s="203"/>
      <c r="D10" s="203"/>
      <c r="E10" s="203"/>
      <c r="F10" s="203"/>
      <c r="H10" s="192"/>
      <c r="I10" s="203"/>
      <c r="J10" s="203"/>
      <c r="K10" s="203"/>
      <c r="L10" s="203"/>
    </row>
    <row r="11" spans="2:6" ht="15.75" thickTop="1">
      <c r="B11" s="130"/>
      <c r="C11" s="45"/>
      <c r="D11" s="45"/>
      <c r="E11" s="45"/>
      <c r="F11" s="45"/>
    </row>
    <row r="12" spans="2:10" ht="15">
      <c r="B12" s="41">
        <v>1932</v>
      </c>
      <c r="D12" s="65">
        <v>-0.2132</v>
      </c>
      <c r="H12" s="41">
        <f>+B49+1</f>
        <v>1970</v>
      </c>
      <c r="J12" s="65">
        <v>-0.0093</v>
      </c>
    </row>
    <row r="13" spans="2:10" ht="15">
      <c r="B13" s="41">
        <f aca="true" t="shared" si="0" ref="B13:B46">+B12+1</f>
        <v>1933</v>
      </c>
      <c r="D13" s="65">
        <v>-0.2279</v>
      </c>
      <c r="H13" s="41">
        <f aca="true" t="shared" si="1" ref="H13:H47">+H12+1</f>
        <v>1971</v>
      </c>
      <c r="J13" s="65">
        <v>-0.1038</v>
      </c>
    </row>
    <row r="14" spans="2:10" ht="15">
      <c r="B14" s="41">
        <f t="shared" si="0"/>
        <v>1934</v>
      </c>
      <c r="D14" s="65">
        <v>-0.3159</v>
      </c>
      <c r="H14" s="41">
        <f t="shared" si="1"/>
        <v>1972</v>
      </c>
      <c r="J14" s="65">
        <v>-0.0227</v>
      </c>
    </row>
    <row r="15" spans="2:10" ht="15">
      <c r="B15" s="41">
        <f t="shared" si="0"/>
        <v>1935</v>
      </c>
      <c r="D15" s="65">
        <v>0.7201</v>
      </c>
      <c r="H15" s="41">
        <f t="shared" si="1"/>
        <v>1973</v>
      </c>
      <c r="J15" s="65">
        <v>-0.1387</v>
      </c>
    </row>
    <row r="16" spans="2:10" ht="15">
      <c r="B16" s="41">
        <f t="shared" si="0"/>
        <v>1936</v>
      </c>
      <c r="D16" s="65">
        <v>0.1427</v>
      </c>
      <c r="H16" s="41">
        <f t="shared" si="1"/>
        <v>1974</v>
      </c>
      <c r="J16" s="65">
        <v>-0.2822</v>
      </c>
    </row>
    <row r="17" spans="2:10" ht="15">
      <c r="B17" s="41">
        <f t="shared" si="0"/>
        <v>1937</v>
      </c>
      <c r="D17" s="65">
        <v>-0.3748</v>
      </c>
      <c r="H17" s="41">
        <f t="shared" si="1"/>
        <v>1975</v>
      </c>
      <c r="J17" s="65">
        <v>0.4415</v>
      </c>
    </row>
    <row r="18" spans="2:10" ht="15">
      <c r="B18" s="41">
        <f t="shared" si="0"/>
        <v>1938</v>
      </c>
      <c r="D18" s="65">
        <v>0.1362</v>
      </c>
      <c r="H18" s="41">
        <f t="shared" si="1"/>
        <v>1976</v>
      </c>
      <c r="J18" s="65">
        <v>0.1166</v>
      </c>
    </row>
    <row r="19" spans="2:10" ht="15">
      <c r="B19" s="41">
        <f t="shared" si="0"/>
        <v>1939</v>
      </c>
      <c r="D19" s="65">
        <v>0.0351</v>
      </c>
      <c r="F19" s="65">
        <f>AVERAGE(D12:D19)</f>
        <v>-0.012212500000000012</v>
      </c>
      <c r="H19" s="41">
        <f t="shared" si="1"/>
        <v>1977</v>
      </c>
      <c r="J19" s="65">
        <v>0.1232</v>
      </c>
    </row>
    <row r="20" spans="2:10" ht="15">
      <c r="B20" s="41">
        <f t="shared" si="0"/>
        <v>1940</v>
      </c>
      <c r="D20" s="65">
        <v>-0.2508</v>
      </c>
      <c r="H20" s="41">
        <f t="shared" si="1"/>
        <v>1978</v>
      </c>
      <c r="J20" s="65">
        <v>-0.0288</v>
      </c>
    </row>
    <row r="21" spans="2:12" ht="15">
      <c r="B21" s="41">
        <f t="shared" si="0"/>
        <v>1941</v>
      </c>
      <c r="D21" s="65">
        <v>-0.3406</v>
      </c>
      <c r="H21" s="41">
        <f t="shared" si="1"/>
        <v>1979</v>
      </c>
      <c r="J21" s="65">
        <v>0.0574</v>
      </c>
      <c r="L21" s="65">
        <f>AVERAGE(J12:J21)</f>
        <v>0.015320000000000004</v>
      </c>
    </row>
    <row r="22" spans="2:10" ht="15">
      <c r="B22" s="41">
        <f t="shared" si="0"/>
        <v>1942</v>
      </c>
      <c r="D22" s="65">
        <v>0.2033</v>
      </c>
      <c r="H22" s="41">
        <f t="shared" si="1"/>
        <v>1980</v>
      </c>
      <c r="J22" s="65">
        <v>0.1225</v>
      </c>
    </row>
    <row r="23" spans="2:10" ht="15">
      <c r="B23" s="41">
        <f t="shared" si="0"/>
        <v>1943</v>
      </c>
      <c r="D23" s="65">
        <v>0.551</v>
      </c>
      <c r="H23" s="41">
        <f t="shared" si="1"/>
        <v>1981</v>
      </c>
      <c r="J23" s="65">
        <v>0.1563</v>
      </c>
    </row>
    <row r="24" spans="2:10" ht="15">
      <c r="B24" s="41">
        <f t="shared" si="0"/>
        <v>1944</v>
      </c>
      <c r="D24" s="65">
        <v>0.0401</v>
      </c>
      <c r="H24" s="41">
        <f t="shared" si="1"/>
        <v>1982</v>
      </c>
      <c r="J24" s="65">
        <v>0.0361</v>
      </c>
    </row>
    <row r="25" spans="2:10" ht="15">
      <c r="B25" s="41">
        <f t="shared" si="0"/>
        <v>1945</v>
      </c>
      <c r="D25" s="65">
        <v>0.4397</v>
      </c>
      <c r="H25" s="41">
        <f t="shared" si="1"/>
        <v>1983</v>
      </c>
      <c r="J25" s="65">
        <v>0.1064</v>
      </c>
    </row>
    <row r="26" spans="2:10" ht="15">
      <c r="B26" s="41">
        <f t="shared" si="0"/>
        <v>1946</v>
      </c>
      <c r="D26" s="65">
        <v>0.0991</v>
      </c>
      <c r="H26" s="41">
        <f t="shared" si="1"/>
        <v>1984</v>
      </c>
      <c r="J26" s="65">
        <v>0.0887</v>
      </c>
    </row>
    <row r="27" spans="2:10" ht="15">
      <c r="B27" s="41">
        <f t="shared" si="0"/>
        <v>1947</v>
      </c>
      <c r="D27" s="65">
        <v>-0.1414</v>
      </c>
      <c r="H27" s="41">
        <f t="shared" si="1"/>
        <v>1985</v>
      </c>
      <c r="J27" s="65">
        <v>-0.0127</v>
      </c>
    </row>
    <row r="28" spans="2:10" ht="15">
      <c r="B28" s="41">
        <f t="shared" si="0"/>
        <v>1948</v>
      </c>
      <c r="D28" s="65">
        <v>0.0533</v>
      </c>
      <c r="H28" s="41">
        <f t="shared" si="1"/>
        <v>1986</v>
      </c>
      <c r="J28" s="65">
        <v>0.0289</v>
      </c>
    </row>
    <row r="29" spans="2:10" ht="15">
      <c r="B29" s="41">
        <f t="shared" si="0"/>
        <v>1949</v>
      </c>
      <c r="D29" s="65">
        <v>0.1616</v>
      </c>
      <c r="F29" s="65">
        <f>AVERAGE(D20:D29)</f>
        <v>0.08153</v>
      </c>
      <c r="H29" s="41">
        <f t="shared" si="1"/>
        <v>1987</v>
      </c>
      <c r="J29" s="65">
        <v>-0.0507</v>
      </c>
    </row>
    <row r="30" spans="2:10" ht="15">
      <c r="B30" s="41">
        <f t="shared" si="0"/>
        <v>1950</v>
      </c>
      <c r="D30" s="65">
        <v>0.0715</v>
      </c>
      <c r="H30" s="41">
        <f t="shared" si="1"/>
        <v>1988</v>
      </c>
      <c r="J30" s="65">
        <v>0.0697</v>
      </c>
    </row>
    <row r="31" spans="2:12" ht="15">
      <c r="B31" s="41">
        <f t="shared" si="0"/>
        <v>1951</v>
      </c>
      <c r="D31" s="65">
        <v>0.2072</v>
      </c>
      <c r="H31" s="41">
        <f t="shared" si="1"/>
        <v>1989</v>
      </c>
      <c r="J31" s="65">
        <v>0.1099</v>
      </c>
      <c r="L31" s="65">
        <f>AVERAGE(J22:J31)</f>
        <v>0.06551</v>
      </c>
    </row>
    <row r="32" spans="2:10" ht="15">
      <c r="B32" s="41">
        <f t="shared" si="0"/>
        <v>1952</v>
      </c>
      <c r="D32" s="65">
        <v>0.1632</v>
      </c>
      <c r="H32" s="41">
        <f t="shared" si="1"/>
        <v>1990</v>
      </c>
      <c r="J32" s="65">
        <v>-0.022</v>
      </c>
    </row>
    <row r="33" spans="2:10" ht="15">
      <c r="B33" s="41">
        <f t="shared" si="0"/>
        <v>1953</v>
      </c>
      <c r="D33" s="65">
        <v>0.0662</v>
      </c>
      <c r="H33" s="41">
        <f t="shared" si="1"/>
        <v>1991</v>
      </c>
      <c r="J33" s="65">
        <v>0.0961</v>
      </c>
    </row>
    <row r="34" spans="2:10" ht="15">
      <c r="B34" s="41">
        <f t="shared" si="0"/>
        <v>1954</v>
      </c>
      <c r="D34" s="65">
        <v>0.2243</v>
      </c>
      <c r="H34" s="41">
        <f t="shared" si="1"/>
        <v>1992</v>
      </c>
      <c r="J34" s="65">
        <v>-0.0365</v>
      </c>
    </row>
    <row r="35" spans="2:10" ht="15">
      <c r="B35" s="41">
        <f t="shared" si="0"/>
        <v>1955</v>
      </c>
      <c r="D35" s="65">
        <v>0.0927</v>
      </c>
      <c r="H35" s="41">
        <f t="shared" si="1"/>
        <v>1993</v>
      </c>
      <c r="J35" s="65">
        <v>-0.0482</v>
      </c>
    </row>
    <row r="36" spans="2:10" ht="15">
      <c r="B36" s="41">
        <f t="shared" si="0"/>
        <v>1956</v>
      </c>
      <c r="D36" s="65">
        <v>0.0824</v>
      </c>
      <c r="H36" s="41">
        <f t="shared" si="1"/>
        <v>1994</v>
      </c>
      <c r="J36" s="65">
        <v>-0.0731</v>
      </c>
    </row>
    <row r="37" spans="2:10" ht="15">
      <c r="B37" s="41">
        <f t="shared" si="0"/>
        <v>1957</v>
      </c>
      <c r="D37" s="65">
        <v>0.0109</v>
      </c>
      <c r="H37" s="41">
        <f t="shared" si="1"/>
        <v>1995</v>
      </c>
      <c r="J37" s="65">
        <v>0.0098</v>
      </c>
    </row>
    <row r="38" spans="2:10" ht="15">
      <c r="B38" s="41">
        <f t="shared" si="0"/>
        <v>1958</v>
      </c>
      <c r="D38" s="65">
        <v>0.4203</v>
      </c>
      <c r="H38" s="41">
        <f t="shared" si="1"/>
        <v>1996</v>
      </c>
      <c r="J38" s="65">
        <v>0.0311</v>
      </c>
    </row>
    <row r="39" spans="2:10" ht="15">
      <c r="B39" s="41">
        <f t="shared" si="0"/>
        <v>1959</v>
      </c>
      <c r="D39" s="65">
        <v>0.0779</v>
      </c>
      <c r="F39" s="65">
        <f>AVERAGE(D30:D39)</f>
        <v>0.14166</v>
      </c>
      <c r="H39" s="41">
        <f t="shared" si="1"/>
        <v>1997</v>
      </c>
      <c r="J39" s="65">
        <v>0.0625</v>
      </c>
    </row>
    <row r="40" spans="2:10" ht="15">
      <c r="B40" s="41">
        <f t="shared" si="0"/>
        <v>1960</v>
      </c>
      <c r="D40" s="65">
        <v>0.0717</v>
      </c>
      <c r="H40" s="41">
        <f t="shared" si="1"/>
        <v>1998</v>
      </c>
      <c r="J40" s="65">
        <v>0.0862</v>
      </c>
    </row>
    <row r="41" spans="2:12" ht="15">
      <c r="B41" s="41">
        <f t="shared" si="0"/>
        <v>1961</v>
      </c>
      <c r="D41" s="65">
        <v>0.3394</v>
      </c>
      <c r="H41" s="41">
        <f t="shared" si="1"/>
        <v>1999</v>
      </c>
      <c r="J41" s="65">
        <v>-0.1032</v>
      </c>
      <c r="L41" s="65">
        <f>AVERAGE(J32:J41)</f>
        <v>0.0002700000000000008</v>
      </c>
    </row>
    <row r="42" spans="2:10" ht="15">
      <c r="B42" s="41">
        <f t="shared" si="0"/>
        <v>1962</v>
      </c>
      <c r="D42" s="65">
        <v>-0.0666</v>
      </c>
      <c r="H42" s="41">
        <f t="shared" si="1"/>
        <v>2000</v>
      </c>
      <c r="J42" s="65">
        <v>0.5009</v>
      </c>
    </row>
    <row r="43" spans="2:10" ht="15">
      <c r="B43" s="41">
        <f t="shared" si="0"/>
        <v>1963</v>
      </c>
      <c r="D43" s="65">
        <v>0.085</v>
      </c>
      <c r="H43" s="41">
        <f t="shared" si="1"/>
        <v>2001</v>
      </c>
      <c r="J43" s="65">
        <v>-0.1134</v>
      </c>
    </row>
    <row r="44" spans="2:10" ht="15">
      <c r="B44" s="41">
        <f t="shared" si="0"/>
        <v>1964</v>
      </c>
      <c r="D44" s="65">
        <v>0.1316</v>
      </c>
      <c r="H44" s="41">
        <f t="shared" si="1"/>
        <v>2002</v>
      </c>
      <c r="J44" s="65">
        <v>-0.2838</v>
      </c>
    </row>
    <row r="45" spans="2:10" ht="15">
      <c r="B45" s="41">
        <f t="shared" si="0"/>
        <v>1965</v>
      </c>
      <c r="D45" s="65">
        <v>0.022</v>
      </c>
      <c r="H45" s="41">
        <f t="shared" si="1"/>
        <v>2003</v>
      </c>
      <c r="J45" s="65">
        <v>0.213</v>
      </c>
    </row>
    <row r="46" spans="2:10" ht="15">
      <c r="B46" s="41">
        <f t="shared" si="0"/>
        <v>1966</v>
      </c>
      <c r="D46" s="65">
        <v>-0.0793</v>
      </c>
      <c r="H46" s="41">
        <f t="shared" si="1"/>
        <v>2004</v>
      </c>
      <c r="J46" s="65">
        <v>0.1664</v>
      </c>
    </row>
    <row r="47" spans="2:10" ht="15">
      <c r="B47" s="41">
        <f>+B46+1</f>
        <v>1967</v>
      </c>
      <c r="D47" s="65">
        <v>0.0438</v>
      </c>
      <c r="H47" s="41">
        <f t="shared" si="1"/>
        <v>2005</v>
      </c>
      <c r="J47" s="65">
        <v>0.09</v>
      </c>
    </row>
    <row r="48" spans="2:12" ht="15">
      <c r="B48" s="41">
        <f>+B47+1</f>
        <v>1968</v>
      </c>
      <c r="D48" s="65">
        <v>0.0992</v>
      </c>
      <c r="H48" s="41"/>
      <c r="J48" s="65"/>
      <c r="L48" s="65">
        <f>AVERAGE(J42:J48)</f>
        <v>0.09551666666666665</v>
      </c>
    </row>
    <row r="49" spans="2:10" ht="15">
      <c r="B49" s="41">
        <f>+B48+1</f>
        <v>1969</v>
      </c>
      <c r="D49" s="65">
        <v>-0.106</v>
      </c>
      <c r="F49" s="65">
        <f>AVERAGE(D40:D46,D47:D49)</f>
        <v>0.05407999999999998</v>
      </c>
      <c r="H49" s="41"/>
      <c r="J49" s="65"/>
    </row>
    <row r="50" spans="2:4" ht="15">
      <c r="B50" s="41"/>
      <c r="D50" s="65"/>
    </row>
    <row r="51" spans="2:12" ht="21.75" customHeight="1">
      <c r="B51" s="261" t="s">
        <v>467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</row>
    <row r="52" spans="2:12" ht="15">
      <c r="B52" s="201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2:12" ht="15">
      <c r="B53" s="130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ht="15">
      <c r="B54" s="41"/>
    </row>
    <row r="55" ht="15">
      <c r="B55" s="41"/>
    </row>
    <row r="56" ht="15">
      <c r="B56" s="41"/>
    </row>
    <row r="57" ht="15">
      <c r="B57" s="41"/>
    </row>
    <row r="58" ht="15">
      <c r="B58" s="41"/>
    </row>
    <row r="59" ht="15">
      <c r="B59" s="41"/>
    </row>
    <row r="60" ht="15">
      <c r="B60" s="41"/>
    </row>
    <row r="61" ht="15">
      <c r="B61" s="41"/>
    </row>
    <row r="62" ht="15">
      <c r="B62" s="41"/>
    </row>
    <row r="63" ht="15">
      <c r="B63" s="41"/>
    </row>
    <row r="64" ht="15">
      <c r="B64" s="41"/>
    </row>
    <row r="65" ht="15">
      <c r="B65" s="41"/>
    </row>
    <row r="66" ht="15">
      <c r="B66" s="41"/>
    </row>
    <row r="67" ht="15">
      <c r="B67" s="41"/>
    </row>
    <row r="68" ht="15">
      <c r="B68" s="41"/>
    </row>
    <row r="69" ht="15">
      <c r="B69" s="41"/>
    </row>
    <row r="70" ht="15">
      <c r="B70" s="41"/>
    </row>
    <row r="71" ht="15">
      <c r="B71" s="41"/>
    </row>
    <row r="72" ht="15">
      <c r="B72" s="41"/>
    </row>
    <row r="73" ht="15">
      <c r="B73" s="41"/>
    </row>
    <row r="74" ht="15">
      <c r="B74" s="41"/>
    </row>
    <row r="75" ht="15">
      <c r="B75" s="41"/>
    </row>
    <row r="76" ht="15">
      <c r="B76" s="41"/>
    </row>
    <row r="77" ht="15">
      <c r="B77" s="41"/>
    </row>
    <row r="78" ht="15">
      <c r="B78" s="41"/>
    </row>
    <row r="79" ht="15">
      <c r="B79" s="41"/>
    </row>
    <row r="80" ht="15">
      <c r="B80" s="41"/>
    </row>
  </sheetData>
  <sheetProtection/>
  <mergeCells count="7">
    <mergeCell ref="B51:L51"/>
    <mergeCell ref="B4:L4"/>
    <mergeCell ref="D8:D9"/>
    <mergeCell ref="J8:J9"/>
    <mergeCell ref="F8:F9"/>
    <mergeCell ref="L8:L9"/>
    <mergeCell ref="B5:L5"/>
  </mergeCells>
  <printOptions horizontalCentered="1"/>
  <pageMargins left="0.75" right="0.75" top="0.94" bottom="1" header="0.5" footer="0.5"/>
  <pageSetup fitToHeight="1" fitToWidth="1" horizontalDpi="600" verticalDpi="600" orientation="portrait" scale="84" r:id="rId1"/>
  <headerFooter alignWithMargins="0">
    <oddHeader>&amp;R&amp;"Arial,Bold"Exhibit __(DCP-1)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SheetLayoutView="100" zoomScalePageLayoutView="0" workbookViewId="0" topLeftCell="A28">
      <selection activeCell="H52" sqref="H52"/>
    </sheetView>
  </sheetViews>
  <sheetFormatPr defaultColWidth="8.88671875" defaultRowHeight="15"/>
  <cols>
    <col min="1" max="2" width="9.77734375" style="34" customWidth="1"/>
    <col min="3" max="3" width="2.77734375" style="34" customWidth="1"/>
    <col min="4" max="4" width="9.77734375" style="34" customWidth="1"/>
    <col min="5" max="5" width="2.77734375" style="34" customWidth="1"/>
    <col min="6" max="6" width="9.77734375" style="34" customWidth="1"/>
    <col min="7" max="7" width="2.77734375" style="34" customWidth="1"/>
    <col min="8" max="8" width="9.77734375" style="34" customWidth="1"/>
    <col min="9" max="9" width="2.77734375" style="34" customWidth="1"/>
    <col min="10" max="10" width="9.77734375" style="34" customWidth="1"/>
    <col min="11" max="11" width="7.6640625" style="167" customWidth="1"/>
    <col min="12" max="16384" width="8.88671875" style="34" customWidth="1"/>
  </cols>
  <sheetData>
    <row r="1" spans="8:9" ht="15.75">
      <c r="H1" s="33" t="str">
        <f>+'Sch 2, p 1'!H1</f>
        <v>Exhibit___(DCP-2)</v>
      </c>
      <c r="I1" s="33"/>
    </row>
    <row r="2" spans="8:9" ht="15.75">
      <c r="H2" s="33" t="str">
        <f>+'[20]Sch 2, p 1'!H2</f>
        <v>Schedule 2</v>
      </c>
      <c r="I2" s="33"/>
    </row>
    <row r="3" spans="8:9" ht="15.75">
      <c r="H3" s="33" t="s">
        <v>301</v>
      </c>
      <c r="I3" s="33"/>
    </row>
    <row r="5" spans="1:11" ht="20.25">
      <c r="A5" s="82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168"/>
    </row>
    <row r="6" ht="8.25" customHeight="1"/>
    <row r="7" ht="8.25" customHeight="1" thickBot="1"/>
    <row r="8" spans="1:10" ht="16.5" customHeight="1" thickTop="1">
      <c r="A8" s="169"/>
      <c r="B8" s="169"/>
      <c r="C8" s="169"/>
      <c r="D8" s="169"/>
      <c r="E8" s="169"/>
      <c r="F8" s="169"/>
      <c r="G8" s="169"/>
      <c r="H8" s="169"/>
      <c r="I8" s="169"/>
      <c r="J8" s="169"/>
    </row>
    <row r="9" spans="1:10" ht="15.75">
      <c r="A9" s="167"/>
      <c r="B9" s="170" t="s">
        <v>289</v>
      </c>
      <c r="C9" s="167"/>
      <c r="D9" s="170" t="s">
        <v>290</v>
      </c>
      <c r="E9" s="167"/>
      <c r="F9" s="171" t="s">
        <v>291</v>
      </c>
      <c r="G9" s="167"/>
      <c r="H9" s="167"/>
      <c r="I9" s="167"/>
      <c r="J9" s="167"/>
    </row>
    <row r="10" spans="1:10" ht="15.75">
      <c r="A10" s="167"/>
      <c r="B10" s="170" t="s">
        <v>32</v>
      </c>
      <c r="C10" s="167"/>
      <c r="D10" s="170" t="s">
        <v>292</v>
      </c>
      <c r="E10" s="167"/>
      <c r="F10" s="170" t="s">
        <v>293</v>
      </c>
      <c r="G10" s="167"/>
      <c r="H10" s="171" t="s">
        <v>294</v>
      </c>
      <c r="I10" s="167"/>
      <c r="J10" s="170" t="s">
        <v>295</v>
      </c>
    </row>
    <row r="11" spans="1:10" ht="15.75">
      <c r="A11" s="170" t="s">
        <v>63</v>
      </c>
      <c r="B11" s="170" t="s">
        <v>296</v>
      </c>
      <c r="C11" s="167"/>
      <c r="D11" s="170" t="s">
        <v>297</v>
      </c>
      <c r="E11" s="167"/>
      <c r="F11" s="170" t="s">
        <v>298</v>
      </c>
      <c r="G11" s="167"/>
      <c r="H11" s="170" t="s">
        <v>299</v>
      </c>
      <c r="I11" s="167"/>
      <c r="J11" s="170" t="str">
        <f>+H11</f>
        <v>Price Index</v>
      </c>
    </row>
    <row r="12" spans="1:10" ht="16.5" thickBot="1">
      <c r="A12" s="172"/>
      <c r="B12" s="172"/>
      <c r="C12" s="173"/>
      <c r="D12" s="172"/>
      <c r="E12" s="173"/>
      <c r="F12" s="172"/>
      <c r="G12" s="173"/>
      <c r="H12" s="172"/>
      <c r="I12" s="173"/>
      <c r="J12" s="172"/>
    </row>
    <row r="13" spans="1:11" ht="15.75" thickTop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0" ht="9.75" customHeight="1">
      <c r="A14" s="87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.75">
      <c r="A15" s="92">
        <v>2002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>
      <c r="A16" s="87" t="s">
        <v>27</v>
      </c>
      <c r="B16" s="72">
        <v>0.027</v>
      </c>
      <c r="C16" s="72"/>
      <c r="D16" s="72">
        <v>-0.038</v>
      </c>
      <c r="E16" s="72"/>
      <c r="F16" s="72">
        <v>0.056</v>
      </c>
      <c r="G16" s="72"/>
      <c r="H16" s="72">
        <v>0.028</v>
      </c>
      <c r="I16" s="72"/>
      <c r="J16" s="72">
        <v>0.044</v>
      </c>
    </row>
    <row r="17" spans="1:10" ht="15">
      <c r="A17" s="87" t="s">
        <v>28</v>
      </c>
      <c r="B17" s="72">
        <v>0.022</v>
      </c>
      <c r="C17" s="72"/>
      <c r="D17" s="72">
        <v>-0.012</v>
      </c>
      <c r="E17" s="72"/>
      <c r="F17" s="72">
        <v>0.059</v>
      </c>
      <c r="G17" s="72"/>
      <c r="H17" s="72">
        <v>0.009</v>
      </c>
      <c r="I17" s="72"/>
      <c r="J17" s="72">
        <v>-0.02</v>
      </c>
    </row>
    <row r="18" spans="1:10" ht="15">
      <c r="A18" s="87" t="s">
        <v>29</v>
      </c>
      <c r="B18" s="72">
        <v>0.024</v>
      </c>
      <c r="C18" s="72"/>
      <c r="D18" s="72">
        <v>0.008</v>
      </c>
      <c r="E18" s="72"/>
      <c r="F18" s="72">
        <v>0.058</v>
      </c>
      <c r="G18" s="72"/>
      <c r="H18" s="72">
        <v>0.024</v>
      </c>
      <c r="I18" s="72"/>
      <c r="J18" s="72">
        <v>0.012</v>
      </c>
    </row>
    <row r="19" spans="1:10" ht="15">
      <c r="A19" s="87" t="s">
        <v>30</v>
      </c>
      <c r="B19" s="72">
        <v>0.002</v>
      </c>
      <c r="C19" s="72"/>
      <c r="D19" s="72">
        <v>0.014</v>
      </c>
      <c r="E19" s="72"/>
      <c r="F19" s="72">
        <v>0.059</v>
      </c>
      <c r="G19" s="72"/>
      <c r="H19" s="72">
        <v>0.016</v>
      </c>
      <c r="I19" s="72"/>
      <c r="J19" s="72">
        <v>0.004</v>
      </c>
    </row>
    <row r="20" spans="1:10" ht="9.75" customHeight="1">
      <c r="A20" s="87"/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>
      <c r="A21" s="92">
        <v>2003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15">
      <c r="A22" s="87" t="s">
        <v>27</v>
      </c>
      <c r="B22" s="72">
        <v>0.012</v>
      </c>
      <c r="C22" s="72"/>
      <c r="D22" s="72">
        <v>0.011</v>
      </c>
      <c r="E22" s="72"/>
      <c r="F22" s="72">
        <v>0.058</v>
      </c>
      <c r="G22" s="72"/>
      <c r="H22" s="72">
        <v>0.048</v>
      </c>
      <c r="I22" s="72"/>
      <c r="J22" s="72">
        <v>0.056</v>
      </c>
    </row>
    <row r="23" spans="1:10" ht="15">
      <c r="A23" s="87" t="s">
        <v>28</v>
      </c>
      <c r="B23" s="72">
        <v>0.035</v>
      </c>
      <c r="C23" s="72"/>
      <c r="D23" s="72">
        <v>-0.009</v>
      </c>
      <c r="E23" s="72"/>
      <c r="F23" s="72">
        <v>0.062</v>
      </c>
      <c r="G23" s="72"/>
      <c r="H23" s="72">
        <v>0</v>
      </c>
      <c r="I23" s="72"/>
      <c r="J23" s="72">
        <v>-0.005</v>
      </c>
    </row>
    <row r="24" spans="1:10" ht="15">
      <c r="A24" s="87" t="s">
        <v>29</v>
      </c>
      <c r="B24" s="72">
        <v>0.075</v>
      </c>
      <c r="C24" s="72"/>
      <c r="D24" s="72">
        <v>-0.009</v>
      </c>
      <c r="E24" s="72"/>
      <c r="F24" s="72">
        <v>0.061</v>
      </c>
      <c r="G24" s="72"/>
      <c r="H24" s="72">
        <v>0.032</v>
      </c>
      <c r="I24" s="72"/>
      <c r="J24" s="72">
        <v>0.032</v>
      </c>
    </row>
    <row r="25" spans="1:10" ht="15">
      <c r="A25" s="87" t="s">
        <v>30</v>
      </c>
      <c r="B25" s="72">
        <v>0.027</v>
      </c>
      <c r="C25" s="72"/>
      <c r="D25" s="72">
        <v>0.015</v>
      </c>
      <c r="E25" s="72"/>
      <c r="F25" s="72">
        <v>0.059</v>
      </c>
      <c r="G25" s="72"/>
      <c r="H25" s="72">
        <v>-0.003</v>
      </c>
      <c r="I25" s="72"/>
      <c r="J25" s="72">
        <v>0.028</v>
      </c>
    </row>
    <row r="26" spans="1:10" ht="9.75" customHeight="1">
      <c r="A26" s="87"/>
      <c r="B26" s="72"/>
      <c r="C26" s="72"/>
      <c r="D26" s="72"/>
      <c r="E26" s="72"/>
      <c r="F26" s="72"/>
      <c r="G26" s="72"/>
      <c r="H26" s="72"/>
      <c r="I26" s="72"/>
      <c r="J26" s="72"/>
    </row>
    <row r="27" spans="1:10" ht="15.75">
      <c r="A27" s="92">
        <v>2004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>
      <c r="A28" s="87" t="s">
        <v>27</v>
      </c>
      <c r="B28" s="72">
        <v>0.03</v>
      </c>
      <c r="C28" s="72"/>
      <c r="D28" s="72">
        <v>0.028</v>
      </c>
      <c r="E28" s="72"/>
      <c r="F28" s="72">
        <v>0.056</v>
      </c>
      <c r="G28" s="72"/>
      <c r="H28" s="72">
        <v>0.052</v>
      </c>
      <c r="I28" s="72"/>
      <c r="J28" s="72">
        <v>0.052</v>
      </c>
    </row>
    <row r="29" spans="1:10" ht="15">
      <c r="A29" s="87" t="s">
        <v>28</v>
      </c>
      <c r="B29" s="72">
        <v>0.035</v>
      </c>
      <c r="C29" s="72"/>
      <c r="D29" s="72">
        <v>0.049</v>
      </c>
      <c r="E29" s="72"/>
      <c r="F29" s="72">
        <v>0.056</v>
      </c>
      <c r="G29" s="72"/>
      <c r="H29" s="72">
        <v>0.044</v>
      </c>
      <c r="I29" s="72"/>
      <c r="J29" s="72">
        <v>0.044</v>
      </c>
    </row>
    <row r="30" spans="1:10" ht="15">
      <c r="A30" s="87" t="s">
        <v>29</v>
      </c>
      <c r="B30" s="72">
        <v>0.036</v>
      </c>
      <c r="C30" s="72"/>
      <c r="D30" s="72">
        <v>0.046</v>
      </c>
      <c r="E30" s="72"/>
      <c r="F30" s="72">
        <v>0.054</v>
      </c>
      <c r="G30" s="72"/>
      <c r="H30" s="72">
        <v>0.008</v>
      </c>
      <c r="I30" s="72"/>
      <c r="J30" s="72">
        <v>0.008</v>
      </c>
    </row>
    <row r="31" spans="1:10" ht="15">
      <c r="A31" s="87" t="s">
        <v>30</v>
      </c>
      <c r="B31" s="72">
        <v>0.025</v>
      </c>
      <c r="C31" s="72"/>
      <c r="D31" s="72">
        <v>0.043</v>
      </c>
      <c r="E31" s="72"/>
      <c r="F31" s="72">
        <v>0.054</v>
      </c>
      <c r="G31" s="72"/>
      <c r="H31" s="72">
        <v>0.036</v>
      </c>
      <c r="I31" s="72"/>
      <c r="J31" s="72">
        <v>0.072</v>
      </c>
    </row>
    <row r="32" spans="1:10" ht="9.75" customHeight="1">
      <c r="A32" s="87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>
      <c r="A33" s="92">
        <v>2005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5">
      <c r="A34" s="87" t="s">
        <v>27</v>
      </c>
      <c r="B34" s="72">
        <v>0.031</v>
      </c>
      <c r="C34" s="72"/>
      <c r="D34" s="72">
        <v>0.038</v>
      </c>
      <c r="E34" s="72"/>
      <c r="F34" s="72">
        <v>0.053</v>
      </c>
      <c r="G34" s="72"/>
      <c r="H34" s="72">
        <v>0.044</v>
      </c>
      <c r="I34" s="72"/>
      <c r="J34" s="72">
        <v>0.056</v>
      </c>
    </row>
    <row r="35" spans="1:10" ht="15">
      <c r="A35" s="87" t="s">
        <v>28</v>
      </c>
      <c r="B35" s="72">
        <v>0.028</v>
      </c>
      <c r="C35" s="72"/>
      <c r="D35" s="72">
        <v>0.03</v>
      </c>
      <c r="E35" s="72"/>
      <c r="F35" s="72">
        <v>0.051</v>
      </c>
      <c r="G35" s="72"/>
      <c r="H35" s="72">
        <v>0.016</v>
      </c>
      <c r="I35" s="72"/>
      <c r="J35" s="72">
        <v>-0.004</v>
      </c>
    </row>
    <row r="36" spans="1:10" ht="15">
      <c r="A36" s="87" t="s">
        <v>29</v>
      </c>
      <c r="B36" s="72">
        <v>0.045</v>
      </c>
      <c r="C36" s="72"/>
      <c r="D36" s="72">
        <v>0.027</v>
      </c>
      <c r="E36" s="72"/>
      <c r="F36" s="72">
        <v>0.05</v>
      </c>
      <c r="G36" s="72"/>
      <c r="H36" s="72">
        <v>0.088</v>
      </c>
      <c r="I36" s="72"/>
      <c r="J36" s="72">
        <v>0.14</v>
      </c>
    </row>
    <row r="37" spans="1:10" ht="15">
      <c r="A37" s="87" t="s">
        <v>30</v>
      </c>
      <c r="B37" s="72">
        <v>0.012</v>
      </c>
      <c r="C37" s="72"/>
      <c r="D37" s="72">
        <v>0.029</v>
      </c>
      <c r="E37" s="72"/>
      <c r="F37" s="72">
        <v>0.049</v>
      </c>
      <c r="G37" s="72"/>
      <c r="H37" s="72">
        <v>-0.02</v>
      </c>
      <c r="I37" s="72"/>
      <c r="J37" s="72">
        <v>0.04</v>
      </c>
    </row>
    <row r="38" spans="1:10" ht="9.75" customHeight="1">
      <c r="A38" s="87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15.75">
      <c r="A39" s="92">
        <v>2006</v>
      </c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15">
      <c r="A40" s="87" t="s">
        <v>27</v>
      </c>
      <c r="B40" s="72">
        <v>0.048</v>
      </c>
      <c r="C40" s="72"/>
      <c r="D40" s="72">
        <v>0.034</v>
      </c>
      <c r="E40" s="72"/>
      <c r="F40" s="72">
        <v>0.047</v>
      </c>
      <c r="G40" s="72"/>
      <c r="H40" s="72">
        <v>0.048</v>
      </c>
      <c r="I40" s="72"/>
      <c r="J40" s="72">
        <v>-0.002</v>
      </c>
    </row>
    <row r="41" spans="1:10" ht="15">
      <c r="A41" s="87" t="s">
        <v>28</v>
      </c>
      <c r="B41" s="72">
        <v>0.024</v>
      </c>
      <c r="C41" s="72"/>
      <c r="D41" s="72">
        <v>0.045</v>
      </c>
      <c r="E41" s="72"/>
      <c r="F41" s="72">
        <v>0.046</v>
      </c>
      <c r="G41" s="72"/>
      <c r="H41" s="72">
        <v>0.048</v>
      </c>
      <c r="I41" s="72"/>
      <c r="J41" s="72">
        <v>0.056</v>
      </c>
    </row>
    <row r="42" spans="1:10" ht="15">
      <c r="A42" s="87" t="s">
        <v>29</v>
      </c>
      <c r="B42" s="72">
        <v>0.011</v>
      </c>
      <c r="C42" s="72"/>
      <c r="D42" s="72">
        <v>0.052</v>
      </c>
      <c r="E42" s="72"/>
      <c r="F42" s="72">
        <v>0.047</v>
      </c>
      <c r="G42" s="72"/>
      <c r="H42" s="72">
        <v>0.004</v>
      </c>
      <c r="I42" s="72"/>
      <c r="J42" s="72">
        <v>-0.044</v>
      </c>
    </row>
    <row r="43" spans="1:10" ht="15">
      <c r="A43" s="87" t="s">
        <v>30</v>
      </c>
      <c r="B43" s="72">
        <v>0.021</v>
      </c>
      <c r="C43" s="72"/>
      <c r="D43" s="72">
        <v>0.035</v>
      </c>
      <c r="E43" s="72"/>
      <c r="F43" s="72">
        <v>0.045</v>
      </c>
      <c r="G43" s="72"/>
      <c r="H43" s="72">
        <v>0</v>
      </c>
      <c r="I43" s="72"/>
      <c r="J43" s="72">
        <v>0.036</v>
      </c>
    </row>
    <row r="44" spans="1:10" ht="15">
      <c r="A44" s="87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5.75">
      <c r="A45" s="92">
        <v>2007</v>
      </c>
      <c r="B45" s="72"/>
      <c r="C45" s="72"/>
      <c r="D45" s="72"/>
      <c r="E45" s="72"/>
      <c r="G45" s="72"/>
      <c r="H45" s="72"/>
      <c r="I45" s="72"/>
      <c r="J45" s="72"/>
    </row>
    <row r="46" spans="1:10" ht="15">
      <c r="A46" s="87" t="s">
        <v>27</v>
      </c>
      <c r="B46" s="72">
        <v>0.006</v>
      </c>
      <c r="C46" s="72"/>
      <c r="D46" s="72">
        <v>0.025</v>
      </c>
      <c r="E46" s="72"/>
      <c r="F46" s="72">
        <v>0.045</v>
      </c>
      <c r="G46" s="72"/>
      <c r="H46" s="72">
        <v>0.048</v>
      </c>
      <c r="I46" s="72"/>
      <c r="J46" s="72">
        <f>1.6%*4</f>
        <v>0.064</v>
      </c>
    </row>
    <row r="47" spans="1:10" ht="15">
      <c r="A47" s="87" t="s">
        <v>28</v>
      </c>
      <c r="B47" s="72">
        <v>0.038</v>
      </c>
      <c r="C47" s="72"/>
      <c r="D47" s="72">
        <v>0.016</v>
      </c>
      <c r="E47" s="72"/>
      <c r="F47" s="72">
        <v>0.045</v>
      </c>
      <c r="G47" s="72"/>
      <c r="H47" s="72">
        <v>0.052</v>
      </c>
      <c r="I47" s="72"/>
      <c r="J47" s="72">
        <f>1.7%*4</f>
        <v>0.068</v>
      </c>
    </row>
    <row r="48" spans="1:10" ht="15">
      <c r="A48" s="87" t="s">
        <v>29</v>
      </c>
      <c r="B48" s="72">
        <v>0.049</v>
      </c>
      <c r="C48" s="72"/>
      <c r="D48" s="72">
        <v>0.018</v>
      </c>
      <c r="E48" s="72"/>
      <c r="F48" s="72">
        <v>0.046</v>
      </c>
      <c r="G48" s="72"/>
      <c r="H48" s="72">
        <v>0.012</v>
      </c>
      <c r="I48" s="72"/>
      <c r="J48" s="72">
        <v>0.012</v>
      </c>
    </row>
    <row r="49" spans="1:10" ht="15">
      <c r="A49" s="87" t="s">
        <v>30</v>
      </c>
      <c r="B49" s="72">
        <v>0.006</v>
      </c>
      <c r="C49" s="72"/>
      <c r="D49" s="72">
        <v>0.017</v>
      </c>
      <c r="E49" s="72"/>
      <c r="F49" s="72">
        <v>0.048</v>
      </c>
      <c r="G49" s="72"/>
      <c r="H49" s="72">
        <v>0.056</v>
      </c>
      <c r="I49" s="72"/>
      <c r="J49" s="72">
        <v>0.128</v>
      </c>
    </row>
    <row r="50" spans="1:10" ht="15">
      <c r="A50" s="87"/>
      <c r="B50" s="72"/>
      <c r="C50" s="72"/>
      <c r="D50" s="72"/>
      <c r="E50" s="72"/>
      <c r="F50" s="72"/>
      <c r="G50" s="72"/>
      <c r="H50" s="72"/>
      <c r="I50" s="72"/>
      <c r="J50" s="72"/>
    </row>
    <row r="51" spans="1:10" ht="15.75">
      <c r="A51" s="92">
        <v>2008</v>
      </c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15">
      <c r="A52" s="87" t="s">
        <v>27</v>
      </c>
      <c r="B52" s="72"/>
      <c r="C52" s="72"/>
      <c r="D52" s="72"/>
      <c r="E52" s="72"/>
      <c r="F52" s="72">
        <v>0.049</v>
      </c>
      <c r="G52" s="72"/>
      <c r="H52" s="72"/>
      <c r="I52" s="72"/>
      <c r="J52" s="72"/>
    </row>
    <row r="53" spans="2:10" ht="15">
      <c r="B53" s="72"/>
      <c r="C53" s="72"/>
      <c r="D53" s="72"/>
      <c r="E53" s="72"/>
      <c r="F53" s="72"/>
      <c r="G53" s="72"/>
      <c r="H53" s="72"/>
      <c r="I53" s="72"/>
      <c r="J53" s="72"/>
    </row>
    <row r="54" spans="1:11" ht="15">
      <c r="A54" s="88"/>
      <c r="B54" s="98"/>
      <c r="C54" s="98"/>
      <c r="D54" s="98"/>
      <c r="E54" s="98"/>
      <c r="F54" s="98"/>
      <c r="G54" s="98"/>
      <c r="H54" s="98"/>
      <c r="I54" s="98"/>
      <c r="J54" s="98"/>
      <c r="K54" s="91"/>
    </row>
    <row r="55" spans="1:10" ht="15">
      <c r="A55" s="34" t="s">
        <v>31</v>
      </c>
      <c r="B55" s="72"/>
      <c r="C55" s="72"/>
      <c r="D55" s="72"/>
      <c r="E55" s="72"/>
      <c r="F55" s="72"/>
      <c r="G55" s="72"/>
      <c r="H55" s="72"/>
      <c r="I55" s="72"/>
      <c r="J55" s="72"/>
    </row>
    <row r="56" spans="2:10" ht="15">
      <c r="B56" s="72"/>
      <c r="C56" s="72"/>
      <c r="D56" s="72"/>
      <c r="E56" s="72"/>
      <c r="F56" s="72"/>
      <c r="G56" s="72"/>
      <c r="H56" s="72"/>
      <c r="I56" s="72"/>
      <c r="J56" s="72"/>
    </row>
    <row r="57" spans="2:10" ht="15">
      <c r="B57" s="72"/>
      <c r="C57" s="72"/>
      <c r="D57" s="72"/>
      <c r="E57" s="72"/>
      <c r="F57" s="72"/>
      <c r="G57" s="72"/>
      <c r="H57" s="72"/>
      <c r="I57" s="72"/>
      <c r="J57" s="72"/>
    </row>
    <row r="58" spans="2:10" ht="15.75">
      <c r="B58" s="72"/>
      <c r="C58" s="72"/>
      <c r="D58" s="72"/>
      <c r="E58" s="72"/>
      <c r="F58" s="72"/>
      <c r="G58" s="72"/>
      <c r="H58" s="32"/>
      <c r="I58" s="72"/>
      <c r="J58" s="32"/>
    </row>
    <row r="59" spans="2:10" ht="15.75">
      <c r="B59" s="72"/>
      <c r="C59" s="72"/>
      <c r="D59" s="32"/>
      <c r="E59" s="72"/>
      <c r="F59" s="72"/>
      <c r="G59" s="72"/>
      <c r="H59" s="32"/>
      <c r="I59" s="72"/>
      <c r="J59" s="32"/>
    </row>
    <row r="60" spans="2:10" ht="15.75">
      <c r="B60" s="72"/>
      <c r="C60" s="72"/>
      <c r="D60" s="32"/>
      <c r="E60" s="72"/>
      <c r="F60" s="32"/>
      <c r="G60" s="72"/>
      <c r="H60" s="32"/>
      <c r="I60" s="72"/>
      <c r="J60" s="32"/>
    </row>
    <row r="61" spans="2:10" ht="15">
      <c r="B61" s="72"/>
      <c r="C61" s="72"/>
      <c r="D61" s="72"/>
      <c r="E61" s="72"/>
      <c r="F61" s="72"/>
      <c r="G61" s="72"/>
      <c r="H61" s="72"/>
      <c r="I61" s="72"/>
      <c r="J61" s="72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"/>
  <sheetViews>
    <sheetView zoomScaleSheetLayoutView="85" zoomScalePageLayoutView="0" workbookViewId="0" topLeftCell="A10">
      <selection activeCell="L2" sqref="L2"/>
    </sheetView>
  </sheetViews>
  <sheetFormatPr defaultColWidth="9.77734375" defaultRowHeight="15"/>
  <cols>
    <col min="1" max="1" width="9.77734375" style="34" customWidth="1"/>
    <col min="2" max="2" width="7.77734375" style="34" customWidth="1"/>
    <col min="3" max="3" width="2.77734375" style="34" customWidth="1"/>
    <col min="4" max="4" width="10.77734375" style="34" customWidth="1"/>
    <col min="5" max="5" width="2.77734375" style="34" customWidth="1"/>
    <col min="6" max="6" width="10.77734375" style="34" customWidth="1"/>
    <col min="7" max="7" width="2.77734375" style="34" customWidth="1"/>
    <col min="8" max="8" width="7.77734375" style="34" customWidth="1"/>
    <col min="9" max="9" width="2.77734375" style="34" customWidth="1"/>
    <col min="10" max="10" width="7.77734375" style="34" customWidth="1"/>
    <col min="11" max="11" width="2.77734375" style="34" customWidth="1"/>
    <col min="12" max="12" width="7.77734375" style="34" customWidth="1"/>
    <col min="13" max="13" width="2.77734375" style="34" customWidth="1"/>
    <col min="14" max="14" width="7.77734375" style="34" customWidth="1"/>
    <col min="15" max="15" width="2.77734375" style="167" customWidth="1"/>
    <col min="16" max="16384" width="9.77734375" style="34" customWidth="1"/>
  </cols>
  <sheetData>
    <row r="1" ht="15.75">
      <c r="L1" s="33" t="str">
        <f>+'Sch 2, p 2'!H1</f>
        <v>Exhibit___(DCP-2)</v>
      </c>
    </row>
    <row r="2" spans="12:16" ht="15.75">
      <c r="L2" s="33" t="str">
        <f>+'[20]Sch 2, p 2'!H2</f>
        <v>Schedule 2</v>
      </c>
      <c r="P2" s="33"/>
    </row>
    <row r="3" spans="12:16" ht="15.75">
      <c r="L3" s="33" t="s">
        <v>302</v>
      </c>
      <c r="P3" s="33"/>
    </row>
    <row r="4" spans="12:16" ht="15.75">
      <c r="L4" s="33"/>
      <c r="P4" s="33"/>
    </row>
    <row r="5" spans="1:15" ht="20.25">
      <c r="A5" s="245" t="s">
        <v>37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168"/>
    </row>
    <row r="6" spans="1:15" ht="10.5" customHeight="1" thickBo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68"/>
    </row>
    <row r="7" spans="1:14" ht="15.75" thickTop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ht="15.75">
      <c r="A8" s="170"/>
      <c r="B8" s="170"/>
      <c r="C8" s="170"/>
      <c r="D8" s="170" t="s">
        <v>303</v>
      </c>
      <c r="E8" s="170"/>
      <c r="F8" s="170" t="s">
        <v>303</v>
      </c>
      <c r="G8" s="170"/>
      <c r="H8" s="170" t="s">
        <v>304</v>
      </c>
      <c r="I8" s="170"/>
      <c r="J8" s="170" t="s">
        <v>304</v>
      </c>
      <c r="K8" s="170"/>
      <c r="L8" s="170" t="s">
        <v>304</v>
      </c>
      <c r="M8" s="170"/>
      <c r="N8" s="170" t="s">
        <v>304</v>
      </c>
    </row>
    <row r="9" spans="1:14" ht="15.75">
      <c r="A9" s="170"/>
      <c r="B9" s="170" t="s">
        <v>305</v>
      </c>
      <c r="C9" s="170"/>
      <c r="D9" s="170" t="s">
        <v>306</v>
      </c>
      <c r="E9" s="170"/>
      <c r="F9" s="170" t="s">
        <v>307</v>
      </c>
      <c r="G9" s="170"/>
      <c r="H9" s="170" t="s">
        <v>308</v>
      </c>
      <c r="I9" s="170"/>
      <c r="J9" s="170" t="s">
        <v>308</v>
      </c>
      <c r="K9" s="170"/>
      <c r="L9" s="170" t="s">
        <v>308</v>
      </c>
      <c r="M9" s="170"/>
      <c r="N9" s="170" t="s">
        <v>308</v>
      </c>
    </row>
    <row r="10" spans="1:14" ht="15.75">
      <c r="A10" s="170" t="s">
        <v>63</v>
      </c>
      <c r="B10" s="170" t="s">
        <v>298</v>
      </c>
      <c r="C10" s="170"/>
      <c r="D10" s="170" t="s">
        <v>309</v>
      </c>
      <c r="E10" s="170"/>
      <c r="F10" s="170" t="s">
        <v>310</v>
      </c>
      <c r="G10" s="170"/>
      <c r="H10" s="171" t="s">
        <v>52</v>
      </c>
      <c r="I10" s="170"/>
      <c r="J10" s="171" t="s">
        <v>53</v>
      </c>
      <c r="K10" s="170"/>
      <c r="L10" s="171" t="s">
        <v>54</v>
      </c>
      <c r="M10" s="170"/>
      <c r="N10" s="171" t="s">
        <v>55</v>
      </c>
    </row>
    <row r="11" spans="1:14" ht="16.5" thickBo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</row>
    <row r="12" spans="1:15" ht="15.75" thickTop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5.75">
      <c r="A13" s="244" t="s">
        <v>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168"/>
    </row>
    <row r="14" spans="1:14" ht="15">
      <c r="A14" s="87" t="s">
        <v>3</v>
      </c>
      <c r="B14" s="100">
        <v>0.0786</v>
      </c>
      <c r="C14" s="100"/>
      <c r="D14" s="100">
        <v>0.0584</v>
      </c>
      <c r="E14" s="100"/>
      <c r="F14" s="100">
        <v>0.0799</v>
      </c>
      <c r="G14" s="100"/>
      <c r="H14" s="100">
        <v>0.0903</v>
      </c>
      <c r="I14" s="100"/>
      <c r="J14" s="100">
        <v>0.0944</v>
      </c>
      <c r="K14" s="100"/>
      <c r="L14" s="100">
        <v>0.1009</v>
      </c>
      <c r="M14" s="100"/>
      <c r="N14" s="100">
        <v>0.1096</v>
      </c>
    </row>
    <row r="15" spans="1:14" ht="15">
      <c r="A15" s="87" t="s">
        <v>4</v>
      </c>
      <c r="B15" s="100">
        <v>0.0684</v>
      </c>
      <c r="C15" s="100"/>
      <c r="D15" s="100">
        <v>0.0499</v>
      </c>
      <c r="E15" s="100"/>
      <c r="F15" s="100">
        <v>0.0761</v>
      </c>
      <c r="G15" s="100"/>
      <c r="H15" s="100">
        <v>0.0863</v>
      </c>
      <c r="I15" s="100"/>
      <c r="J15" s="100">
        <v>0.0892</v>
      </c>
      <c r="K15" s="100"/>
      <c r="L15" s="100">
        <v>0.0929</v>
      </c>
      <c r="M15" s="100"/>
      <c r="N15" s="100">
        <v>0.0982</v>
      </c>
    </row>
    <row r="16" spans="1:14" ht="15">
      <c r="A16" s="87" t="s">
        <v>5</v>
      </c>
      <c r="B16" s="100">
        <v>0.0683</v>
      </c>
      <c r="C16" s="100"/>
      <c r="D16" s="100">
        <v>0.0527</v>
      </c>
      <c r="E16" s="100"/>
      <c r="F16" s="100">
        <v>0.0742</v>
      </c>
      <c r="G16" s="100"/>
      <c r="H16" s="100">
        <v>0.0819</v>
      </c>
      <c r="I16" s="100"/>
      <c r="J16" s="100">
        <v>0.0843</v>
      </c>
      <c r="K16" s="100"/>
      <c r="L16" s="100">
        <v>0.0861</v>
      </c>
      <c r="M16" s="100"/>
      <c r="N16" s="100">
        <v>0.0906</v>
      </c>
    </row>
    <row r="17" spans="1:14" ht="15">
      <c r="A17" s="87" t="s">
        <v>6</v>
      </c>
      <c r="B17" s="100">
        <v>0.0906</v>
      </c>
      <c r="C17" s="100"/>
      <c r="D17" s="100">
        <v>0.0722</v>
      </c>
      <c r="E17" s="100"/>
      <c r="F17" s="100">
        <v>0.0841</v>
      </c>
      <c r="G17" s="100"/>
      <c r="H17" s="100">
        <v>0.0887</v>
      </c>
      <c r="I17" s="100"/>
      <c r="J17" s="100">
        <v>0.091</v>
      </c>
      <c r="K17" s="100"/>
      <c r="L17" s="100">
        <v>0.0929</v>
      </c>
      <c r="M17" s="100"/>
      <c r="N17" s="100">
        <v>0.0962</v>
      </c>
    </row>
    <row r="18" spans="1:14" ht="15">
      <c r="A18" s="87" t="s">
        <v>7</v>
      </c>
      <c r="B18" s="100">
        <v>0.1267</v>
      </c>
      <c r="C18" s="100"/>
      <c r="D18" s="100">
        <v>0.1004</v>
      </c>
      <c r="E18" s="100"/>
      <c r="F18" s="100">
        <v>0.0944</v>
      </c>
      <c r="G18" s="100"/>
      <c r="H18" s="100">
        <v>0.0986</v>
      </c>
      <c r="I18" s="100"/>
      <c r="J18" s="100">
        <v>0.1022</v>
      </c>
      <c r="K18" s="100"/>
      <c r="L18" s="100">
        <v>0.1049</v>
      </c>
      <c r="M18" s="100"/>
      <c r="N18" s="100">
        <v>0.1096</v>
      </c>
    </row>
    <row r="19" spans="1:14" ht="15">
      <c r="A19" s="87" t="s">
        <v>8</v>
      </c>
      <c r="B19" s="100">
        <v>0.1527</v>
      </c>
      <c r="C19" s="100"/>
      <c r="D19" s="100">
        <v>0.1151</v>
      </c>
      <c r="E19" s="100"/>
      <c r="F19" s="100">
        <v>0.1146</v>
      </c>
      <c r="G19" s="100"/>
      <c r="H19" s="100">
        <v>0.123</v>
      </c>
      <c r="I19" s="100"/>
      <c r="J19" s="100">
        <v>0.13</v>
      </c>
      <c r="K19" s="100"/>
      <c r="L19" s="100">
        <v>0.1334</v>
      </c>
      <c r="M19" s="100"/>
      <c r="N19" s="100">
        <v>0.1395</v>
      </c>
    </row>
    <row r="20" spans="1:14" ht="15">
      <c r="A20" s="87" t="s">
        <v>9</v>
      </c>
      <c r="B20" s="100">
        <v>0.1889</v>
      </c>
      <c r="C20" s="100"/>
      <c r="D20" s="100">
        <v>0.1403</v>
      </c>
      <c r="E20" s="100"/>
      <c r="F20" s="100">
        <v>0.1393</v>
      </c>
      <c r="G20" s="100"/>
      <c r="H20" s="100">
        <v>0.1464</v>
      </c>
      <c r="I20" s="100"/>
      <c r="J20" s="100">
        <v>0.153</v>
      </c>
      <c r="K20" s="100"/>
      <c r="L20" s="100">
        <v>0.1595</v>
      </c>
      <c r="M20" s="100"/>
      <c r="N20" s="100">
        <v>0.166</v>
      </c>
    </row>
    <row r="21" spans="1:14" ht="15">
      <c r="A21" s="87" t="s">
        <v>10</v>
      </c>
      <c r="B21" s="100">
        <v>0.1486</v>
      </c>
      <c r="C21" s="100"/>
      <c r="D21" s="100">
        <v>0.1069</v>
      </c>
      <c r="E21" s="100"/>
      <c r="F21" s="100">
        <v>0.13</v>
      </c>
      <c r="G21" s="100"/>
      <c r="H21" s="100">
        <v>0.1422</v>
      </c>
      <c r="I21" s="100"/>
      <c r="J21" s="100">
        <v>0.1479</v>
      </c>
      <c r="K21" s="100"/>
      <c r="L21" s="100">
        <v>0.1586</v>
      </c>
      <c r="M21" s="100"/>
      <c r="N21" s="100">
        <v>0.1645</v>
      </c>
    </row>
    <row r="22" spans="1:15" ht="20.25" customHeight="1">
      <c r="A22" s="247" t="s">
        <v>11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168"/>
    </row>
    <row r="23" spans="1:14" ht="15">
      <c r="A23" s="87" t="s">
        <v>12</v>
      </c>
      <c r="B23" s="100">
        <v>0.1079</v>
      </c>
      <c r="C23" s="100"/>
      <c r="D23" s="100">
        <v>0.0863</v>
      </c>
      <c r="E23" s="100"/>
      <c r="F23" s="100">
        <v>0.111</v>
      </c>
      <c r="G23" s="100"/>
      <c r="H23" s="100">
        <v>0.1252</v>
      </c>
      <c r="I23" s="100"/>
      <c r="J23" s="100">
        <v>0.1283</v>
      </c>
      <c r="K23" s="100"/>
      <c r="L23" s="100">
        <v>0.1366</v>
      </c>
      <c r="M23" s="100"/>
      <c r="N23" s="100">
        <v>0.142</v>
      </c>
    </row>
    <row r="24" spans="1:14" ht="15">
      <c r="A24" s="87" t="s">
        <v>13</v>
      </c>
      <c r="B24" s="100">
        <v>0.1204</v>
      </c>
      <c r="C24" s="100"/>
      <c r="D24" s="100">
        <v>0.0958</v>
      </c>
      <c r="E24" s="100"/>
      <c r="F24" s="100">
        <v>0.1244</v>
      </c>
      <c r="G24" s="100"/>
      <c r="H24" s="100">
        <v>0.1272</v>
      </c>
      <c r="I24" s="100"/>
      <c r="J24" s="100">
        <v>0.1366</v>
      </c>
      <c r="K24" s="100"/>
      <c r="L24" s="100">
        <v>0.1403</v>
      </c>
      <c r="M24" s="100"/>
      <c r="N24" s="100">
        <v>0.1453</v>
      </c>
    </row>
    <row r="25" spans="1:14" ht="15">
      <c r="A25" s="87" t="s">
        <v>14</v>
      </c>
      <c r="B25" s="100">
        <v>0.0993</v>
      </c>
      <c r="C25" s="100"/>
      <c r="D25" s="100">
        <v>0.0748</v>
      </c>
      <c r="E25" s="100"/>
      <c r="F25" s="100">
        <v>0.1062</v>
      </c>
      <c r="G25" s="100"/>
      <c r="H25" s="100">
        <v>0.1168</v>
      </c>
      <c r="I25" s="100"/>
      <c r="J25" s="100">
        <v>0.1206</v>
      </c>
      <c r="K25" s="100"/>
      <c r="L25" s="100">
        <v>0.1247</v>
      </c>
      <c r="M25" s="100"/>
      <c r="N25" s="100">
        <v>0.1296</v>
      </c>
    </row>
    <row r="26" spans="1:14" ht="15">
      <c r="A26" s="87" t="s">
        <v>15</v>
      </c>
      <c r="B26" s="100">
        <v>0.0833</v>
      </c>
      <c r="C26" s="100"/>
      <c r="D26" s="100">
        <v>0.0598</v>
      </c>
      <c r="E26" s="100"/>
      <c r="F26" s="100">
        <v>0.0768</v>
      </c>
      <c r="G26" s="100"/>
      <c r="H26" s="100">
        <v>0.0892</v>
      </c>
      <c r="I26" s="100"/>
      <c r="J26" s="100">
        <v>0.093</v>
      </c>
      <c r="K26" s="100"/>
      <c r="L26" s="100">
        <v>0.0958</v>
      </c>
      <c r="M26" s="100"/>
      <c r="N26" s="100">
        <v>0.1</v>
      </c>
    </row>
    <row r="27" spans="1:14" ht="15">
      <c r="A27" s="87" t="s">
        <v>16</v>
      </c>
      <c r="B27" s="100">
        <v>0.0821</v>
      </c>
      <c r="C27" s="100"/>
      <c r="D27" s="100">
        <v>0.0582</v>
      </c>
      <c r="E27" s="100"/>
      <c r="F27" s="100">
        <v>0.0839</v>
      </c>
      <c r="G27" s="100"/>
      <c r="H27" s="100">
        <v>0.0952</v>
      </c>
      <c r="I27" s="100"/>
      <c r="J27" s="100">
        <v>0.0977</v>
      </c>
      <c r="K27" s="100"/>
      <c r="L27" s="100">
        <v>0.101</v>
      </c>
      <c r="M27" s="100"/>
      <c r="N27" s="100">
        <v>0.1053</v>
      </c>
    </row>
    <row r="28" spans="1:14" ht="15">
      <c r="A28" s="87" t="s">
        <v>17</v>
      </c>
      <c r="B28" s="100">
        <v>0.0932</v>
      </c>
      <c r="C28" s="100"/>
      <c r="D28" s="100">
        <v>0.0669</v>
      </c>
      <c r="E28" s="100"/>
      <c r="F28" s="100">
        <v>0.0885</v>
      </c>
      <c r="G28" s="100"/>
      <c r="H28" s="100">
        <v>0.1005</v>
      </c>
      <c r="I28" s="100"/>
      <c r="J28" s="100">
        <v>0.1026</v>
      </c>
      <c r="K28" s="100"/>
      <c r="L28" s="100">
        <v>0.1049</v>
      </c>
      <c r="M28" s="100"/>
      <c r="N28" s="100">
        <v>0.11</v>
      </c>
    </row>
    <row r="29" spans="1:14" ht="15">
      <c r="A29" s="87" t="s">
        <v>18</v>
      </c>
      <c r="B29" s="100">
        <v>0.1087</v>
      </c>
      <c r="C29" s="100"/>
      <c r="D29" s="100">
        <v>0.0812</v>
      </c>
      <c r="E29" s="100"/>
      <c r="F29" s="100">
        <v>0.0849</v>
      </c>
      <c r="G29" s="100"/>
      <c r="H29" s="100">
        <v>0.0932</v>
      </c>
      <c r="I29" s="100"/>
      <c r="J29" s="100">
        <v>0.0956</v>
      </c>
      <c r="K29" s="100"/>
      <c r="L29" s="100">
        <v>0.0977</v>
      </c>
      <c r="M29" s="100"/>
      <c r="N29" s="100">
        <v>0.0997</v>
      </c>
    </row>
    <row r="30" spans="1:14" ht="15">
      <c r="A30" s="87" t="s">
        <v>19</v>
      </c>
      <c r="B30" s="100">
        <v>0.1001</v>
      </c>
      <c r="C30" s="100"/>
      <c r="D30" s="100">
        <v>0.0751</v>
      </c>
      <c r="E30" s="100"/>
      <c r="F30" s="100">
        <v>0.0855</v>
      </c>
      <c r="G30" s="100"/>
      <c r="H30" s="100">
        <v>0.0945</v>
      </c>
      <c r="I30" s="100"/>
      <c r="J30" s="100">
        <v>0.0965</v>
      </c>
      <c r="K30" s="100"/>
      <c r="L30" s="100">
        <v>0.0986</v>
      </c>
      <c r="M30" s="100"/>
      <c r="N30" s="100">
        <v>0.1006</v>
      </c>
    </row>
    <row r="31" spans="1:14" ht="15">
      <c r="A31" s="87" t="s">
        <v>20</v>
      </c>
      <c r="B31" s="100">
        <v>0.0846</v>
      </c>
      <c r="C31" s="100"/>
      <c r="D31" s="100">
        <v>0.0542</v>
      </c>
      <c r="E31" s="100"/>
      <c r="F31" s="100">
        <v>0.0786</v>
      </c>
      <c r="G31" s="100"/>
      <c r="H31" s="100">
        <v>0.0885</v>
      </c>
      <c r="I31" s="100"/>
      <c r="J31" s="100">
        <v>0.0909</v>
      </c>
      <c r="K31" s="100"/>
      <c r="L31" s="100">
        <v>0.0936</v>
      </c>
      <c r="M31" s="100"/>
      <c r="N31" s="100">
        <v>0.0955</v>
      </c>
    </row>
    <row r="32" spans="1:15" ht="24" customHeight="1">
      <c r="A32" s="244" t="s">
        <v>161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168"/>
    </row>
    <row r="33" spans="1:14" ht="15">
      <c r="A33" s="87" t="s">
        <v>21</v>
      </c>
      <c r="B33" s="100">
        <v>0.0625</v>
      </c>
      <c r="C33" s="100"/>
      <c r="D33" s="100">
        <v>0.0345</v>
      </c>
      <c r="E33" s="100"/>
      <c r="F33" s="100">
        <v>0.0701</v>
      </c>
      <c r="G33" s="100"/>
      <c r="H33" s="100">
        <v>0.0819</v>
      </c>
      <c r="I33" s="100"/>
      <c r="J33" s="100">
        <v>0.0855</v>
      </c>
      <c r="K33" s="100"/>
      <c r="L33" s="100">
        <v>0.0869</v>
      </c>
      <c r="M33" s="100"/>
      <c r="N33" s="100">
        <v>0.0886</v>
      </c>
    </row>
    <row r="34" spans="1:14" ht="15">
      <c r="A34" s="87" t="s">
        <v>22</v>
      </c>
      <c r="B34" s="100">
        <v>0.06</v>
      </c>
      <c r="C34" s="100"/>
      <c r="D34" s="100">
        <v>0.0302</v>
      </c>
      <c r="E34" s="100"/>
      <c r="F34" s="100">
        <v>0.0587</v>
      </c>
      <c r="G34" s="100"/>
      <c r="H34" s="100">
        <v>0.0729</v>
      </c>
      <c r="I34" s="100"/>
      <c r="J34" s="100">
        <v>0.0744</v>
      </c>
      <c r="K34" s="100"/>
      <c r="L34" s="100">
        <v>0.0759</v>
      </c>
      <c r="M34" s="100"/>
      <c r="N34" s="100">
        <v>0.0791</v>
      </c>
    </row>
    <row r="35" spans="1:14" ht="15">
      <c r="A35" s="87" t="s">
        <v>23</v>
      </c>
      <c r="B35" s="100">
        <v>0.0715</v>
      </c>
      <c r="C35" s="100"/>
      <c r="D35" s="100">
        <v>0.0429</v>
      </c>
      <c r="E35" s="100"/>
      <c r="F35" s="100">
        <v>0.0709</v>
      </c>
      <c r="G35" s="100"/>
      <c r="H35" s="100">
        <v>0.0807</v>
      </c>
      <c r="I35" s="100"/>
      <c r="J35" s="100">
        <v>0.0821</v>
      </c>
      <c r="K35" s="100"/>
      <c r="L35" s="100">
        <v>0.0831</v>
      </c>
      <c r="M35" s="100"/>
      <c r="N35" s="100">
        <v>0.0863</v>
      </c>
    </row>
    <row r="36" spans="1:14" ht="15">
      <c r="A36" s="87" t="s">
        <v>24</v>
      </c>
      <c r="B36" s="100">
        <v>0.0883</v>
      </c>
      <c r="C36" s="100"/>
      <c r="D36" s="100">
        <v>0.0551</v>
      </c>
      <c r="E36" s="100"/>
      <c r="F36" s="100">
        <v>0.0657</v>
      </c>
      <c r="G36" s="100"/>
      <c r="H36" s="100">
        <v>0.0768</v>
      </c>
      <c r="I36" s="100"/>
      <c r="J36" s="100">
        <v>0.0777</v>
      </c>
      <c r="K36" s="100"/>
      <c r="L36" s="100">
        <v>0.0789</v>
      </c>
      <c r="M36" s="100"/>
      <c r="N36" s="100">
        <v>0.0829</v>
      </c>
    </row>
    <row r="37" spans="1:14" ht="15">
      <c r="A37" s="87" t="s">
        <v>25</v>
      </c>
      <c r="B37" s="100">
        <v>0.0827</v>
      </c>
      <c r="C37" s="100"/>
      <c r="D37" s="100">
        <v>0.0502</v>
      </c>
      <c r="E37" s="100"/>
      <c r="F37" s="100">
        <v>0.0644</v>
      </c>
      <c r="G37" s="100"/>
      <c r="H37" s="100">
        <v>0.0748</v>
      </c>
      <c r="I37" s="100"/>
      <c r="J37" s="100">
        <v>0.0757</v>
      </c>
      <c r="K37" s="100"/>
      <c r="L37" s="100">
        <v>0.0775</v>
      </c>
      <c r="M37" s="100"/>
      <c r="N37" s="100">
        <v>0.0816</v>
      </c>
    </row>
    <row r="38" spans="1:14" ht="15">
      <c r="A38" s="87" t="s">
        <v>26</v>
      </c>
      <c r="B38" s="100">
        <v>0.0844</v>
      </c>
      <c r="C38" s="100"/>
      <c r="D38" s="100">
        <v>0.0507</v>
      </c>
      <c r="E38" s="100"/>
      <c r="F38" s="100">
        <v>0.0635</v>
      </c>
      <c r="G38" s="100"/>
      <c r="H38" s="100">
        <v>0.0743</v>
      </c>
      <c r="I38" s="100"/>
      <c r="J38" s="100">
        <v>0.0754</v>
      </c>
      <c r="K38" s="100"/>
      <c r="L38" s="100">
        <v>0.076</v>
      </c>
      <c r="M38" s="100"/>
      <c r="N38" s="100">
        <v>0.0795</v>
      </c>
    </row>
    <row r="39" spans="1:14" ht="15">
      <c r="A39" s="87">
        <v>1998</v>
      </c>
      <c r="B39" s="100">
        <v>0.0835</v>
      </c>
      <c r="C39" s="100"/>
      <c r="D39" s="100">
        <v>0.0481</v>
      </c>
      <c r="E39" s="100"/>
      <c r="F39" s="100">
        <v>0.0526</v>
      </c>
      <c r="G39" s="100"/>
      <c r="H39" s="100">
        <v>0.0677</v>
      </c>
      <c r="I39" s="100"/>
      <c r="J39" s="100">
        <v>0.0691</v>
      </c>
      <c r="K39" s="100"/>
      <c r="L39" s="100">
        <v>0.0704</v>
      </c>
      <c r="M39" s="100"/>
      <c r="N39" s="100">
        <v>0.0726</v>
      </c>
    </row>
    <row r="40" spans="1:14" ht="15">
      <c r="A40" s="87">
        <v>1999</v>
      </c>
      <c r="B40" s="100">
        <v>0.08</v>
      </c>
      <c r="C40" s="100"/>
      <c r="D40" s="100">
        <v>0.0466</v>
      </c>
      <c r="E40" s="100"/>
      <c r="F40" s="100">
        <v>0.0565</v>
      </c>
      <c r="G40" s="100"/>
      <c r="H40" s="100">
        <v>0.0721</v>
      </c>
      <c r="I40" s="100"/>
      <c r="J40" s="100">
        <v>0.0751</v>
      </c>
      <c r="K40" s="100"/>
      <c r="L40" s="100">
        <v>0.0762</v>
      </c>
      <c r="M40" s="100"/>
      <c r="N40" s="100">
        <v>0.0788</v>
      </c>
    </row>
    <row r="41" spans="1:14" ht="15">
      <c r="A41" s="87">
        <v>2000</v>
      </c>
      <c r="B41" s="100">
        <v>0.0923</v>
      </c>
      <c r="C41" s="100"/>
      <c r="D41" s="100">
        <v>0.0585</v>
      </c>
      <c r="E41" s="100"/>
      <c r="F41" s="100">
        <v>0.0603</v>
      </c>
      <c r="G41" s="100"/>
      <c r="H41" s="100">
        <v>0.0788</v>
      </c>
      <c r="I41" s="100"/>
      <c r="J41" s="100">
        <v>0.0806</v>
      </c>
      <c r="K41" s="100"/>
      <c r="L41" s="100">
        <v>0.0824</v>
      </c>
      <c r="M41" s="100"/>
      <c r="N41" s="100">
        <v>0.0836</v>
      </c>
    </row>
    <row r="42" spans="1:14" ht="15">
      <c r="A42" s="87">
        <v>2001</v>
      </c>
      <c r="B42" s="100">
        <v>0.0691</v>
      </c>
      <c r="C42" s="100"/>
      <c r="D42" s="100">
        <v>0.0345</v>
      </c>
      <c r="E42" s="100"/>
      <c r="F42" s="100">
        <v>0.0502</v>
      </c>
      <c r="G42" s="100"/>
      <c r="H42" s="100">
        <v>0.0747</v>
      </c>
      <c r="I42" s="100"/>
      <c r="J42" s="100">
        <v>0.0759</v>
      </c>
      <c r="K42" s="100"/>
      <c r="L42" s="100">
        <v>0.0778</v>
      </c>
      <c r="M42" s="100"/>
      <c r="N42" s="100">
        <v>0.0802</v>
      </c>
    </row>
    <row r="43" spans="1:14" ht="21.75" customHeight="1">
      <c r="A43" s="244" t="s">
        <v>208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14" ht="15">
      <c r="A44" s="87">
        <v>2002</v>
      </c>
      <c r="B44" s="100">
        <v>0.0467</v>
      </c>
      <c r="C44" s="100"/>
      <c r="D44" s="100">
        <v>0.0162</v>
      </c>
      <c r="E44" s="100"/>
      <c r="F44" s="100">
        <v>0.0461</v>
      </c>
      <c r="G44" s="100"/>
      <c r="H44" s="100"/>
      <c r="I44" s="100" t="s">
        <v>311</v>
      </c>
      <c r="J44" s="100">
        <v>0.0719</v>
      </c>
      <c r="K44" s="100"/>
      <c r="L44" s="100">
        <v>0.0737</v>
      </c>
      <c r="M44" s="100"/>
      <c r="N44" s="100">
        <v>0.0802</v>
      </c>
    </row>
    <row r="45" spans="1:14" ht="15">
      <c r="A45" s="87">
        <v>2003</v>
      </c>
      <c r="B45" s="100">
        <v>0.0412</v>
      </c>
      <c r="C45" s="100"/>
      <c r="D45" s="100">
        <v>0.0102</v>
      </c>
      <c r="E45" s="100"/>
      <c r="F45" s="100">
        <v>0.0401</v>
      </c>
      <c r="G45" s="100"/>
      <c r="H45" s="100"/>
      <c r="I45" s="100"/>
      <c r="J45" s="100">
        <v>0.064</v>
      </c>
      <c r="K45" s="100"/>
      <c r="L45" s="100">
        <v>0.0658</v>
      </c>
      <c r="M45" s="100"/>
      <c r="N45" s="100">
        <v>0.0684</v>
      </c>
    </row>
    <row r="46" spans="1:14" ht="15">
      <c r="A46" s="87">
        <v>2004</v>
      </c>
      <c r="B46" s="100">
        <v>0.0434</v>
      </c>
      <c r="C46" s="100"/>
      <c r="D46" s="100">
        <v>0.0138</v>
      </c>
      <c r="E46" s="100"/>
      <c r="F46" s="100">
        <v>0.0427</v>
      </c>
      <c r="G46" s="100"/>
      <c r="H46" s="100"/>
      <c r="I46" s="100"/>
      <c r="J46" s="100">
        <v>0.0604</v>
      </c>
      <c r="K46" s="100"/>
      <c r="L46" s="100">
        <v>0.0616</v>
      </c>
      <c r="M46" s="100"/>
      <c r="N46" s="100">
        <v>0.064</v>
      </c>
    </row>
    <row r="47" spans="1:14" ht="15">
      <c r="A47" s="87">
        <v>2005</v>
      </c>
      <c r="B47" s="100">
        <v>0.0619</v>
      </c>
      <c r="C47" s="100"/>
      <c r="D47" s="100">
        <v>0.0316</v>
      </c>
      <c r="E47" s="100"/>
      <c r="F47" s="100">
        <v>0.0429</v>
      </c>
      <c r="G47" s="100"/>
      <c r="H47" s="100"/>
      <c r="I47" s="100"/>
      <c r="J47" s="100">
        <v>0.0544</v>
      </c>
      <c r="K47" s="100"/>
      <c r="L47" s="100">
        <v>0.0565</v>
      </c>
      <c r="M47" s="100"/>
      <c r="N47" s="100">
        <v>0.0593</v>
      </c>
    </row>
    <row r="48" spans="1:14" ht="15">
      <c r="A48" s="87">
        <v>2006</v>
      </c>
      <c r="B48" s="100">
        <v>0.0796</v>
      </c>
      <c r="C48" s="100"/>
      <c r="D48" s="100">
        <v>0.0473</v>
      </c>
      <c r="E48" s="100"/>
      <c r="F48" s="100">
        <v>0.048</v>
      </c>
      <c r="G48" s="100"/>
      <c r="H48" s="100"/>
      <c r="I48" s="100"/>
      <c r="J48" s="100">
        <v>0.0584</v>
      </c>
      <c r="K48" s="100"/>
      <c r="L48" s="100">
        <v>0.0607</v>
      </c>
      <c r="M48" s="100"/>
      <c r="N48" s="100">
        <v>0.0632</v>
      </c>
    </row>
    <row r="49" spans="1:14" ht="15">
      <c r="A49" s="87">
        <v>2007</v>
      </c>
      <c r="B49" s="100">
        <v>0.0805</v>
      </c>
      <c r="C49" s="100"/>
      <c r="D49" s="100">
        <v>0.0441</v>
      </c>
      <c r="E49" s="100"/>
      <c r="F49" s="100">
        <v>0.0463</v>
      </c>
      <c r="G49" s="100"/>
      <c r="H49" s="100"/>
      <c r="I49" s="100"/>
      <c r="J49" s="100">
        <v>0.0594</v>
      </c>
      <c r="K49" s="100"/>
      <c r="L49" s="100">
        <v>0.0607</v>
      </c>
      <c r="M49" s="100"/>
      <c r="N49" s="100">
        <v>0.0633</v>
      </c>
    </row>
    <row r="50" spans="1:14" ht="21.75" customHeight="1" hidden="1">
      <c r="A50" s="92">
        <v>2003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ht="15" hidden="1">
      <c r="A51" s="87" t="s">
        <v>38</v>
      </c>
      <c r="B51" s="100">
        <v>0.0425</v>
      </c>
      <c r="C51" s="100"/>
      <c r="D51" s="100">
        <v>0.0117</v>
      </c>
      <c r="E51" s="100"/>
      <c r="F51" s="100">
        <v>0.0405</v>
      </c>
      <c r="G51" s="100"/>
      <c r="H51" s="100"/>
      <c r="I51" s="100"/>
      <c r="J51" s="100">
        <v>0.0687</v>
      </c>
      <c r="K51" s="100"/>
      <c r="L51" s="100">
        <v>0.0706</v>
      </c>
      <c r="M51" s="100"/>
      <c r="N51" s="100">
        <v>0.0747</v>
      </c>
    </row>
    <row r="52" spans="1:14" ht="15" hidden="1">
      <c r="A52" s="87" t="s">
        <v>39</v>
      </c>
      <c r="B52" s="100">
        <v>0.0425</v>
      </c>
      <c r="C52" s="100"/>
      <c r="D52" s="100">
        <v>0.0116</v>
      </c>
      <c r="E52" s="100"/>
      <c r="F52" s="100">
        <v>0.039</v>
      </c>
      <c r="G52" s="100"/>
      <c r="H52" s="100"/>
      <c r="I52" s="100"/>
      <c r="J52" s="100">
        <v>0.0666</v>
      </c>
      <c r="K52" s="100"/>
      <c r="L52" s="100">
        <v>0.0693</v>
      </c>
      <c r="M52" s="100"/>
      <c r="N52" s="100">
        <v>0.0717</v>
      </c>
    </row>
    <row r="53" spans="1:14" ht="15" hidden="1">
      <c r="A53" s="87" t="s">
        <v>40</v>
      </c>
      <c r="B53" s="100">
        <v>0.0425</v>
      </c>
      <c r="C53" s="100"/>
      <c r="D53" s="100">
        <v>0.0113</v>
      </c>
      <c r="E53" s="100"/>
      <c r="F53" s="100">
        <v>0.0381</v>
      </c>
      <c r="G53" s="100"/>
      <c r="H53" s="100"/>
      <c r="I53" s="100"/>
      <c r="J53" s="100">
        <v>0.0656</v>
      </c>
      <c r="K53" s="100"/>
      <c r="L53" s="100">
        <v>0.0679</v>
      </c>
      <c r="M53" s="100"/>
      <c r="N53" s="100">
        <v>0.0705</v>
      </c>
    </row>
    <row r="54" spans="1:14" ht="15" hidden="1">
      <c r="A54" s="87" t="s">
        <v>41</v>
      </c>
      <c r="B54" s="100">
        <v>0.0425</v>
      </c>
      <c r="C54" s="100"/>
      <c r="D54" s="100">
        <v>0.0114</v>
      </c>
      <c r="E54" s="100"/>
      <c r="F54" s="100">
        <v>0.0396</v>
      </c>
      <c r="G54" s="100"/>
      <c r="H54" s="100"/>
      <c r="I54" s="100"/>
      <c r="J54" s="100">
        <v>0.0647</v>
      </c>
      <c r="K54" s="100"/>
      <c r="L54" s="100">
        <v>0.0664</v>
      </c>
      <c r="M54" s="100"/>
      <c r="N54" s="100">
        <v>0.0694</v>
      </c>
    </row>
    <row r="55" spans="1:14" ht="15" hidden="1">
      <c r="A55" s="87" t="s">
        <v>42</v>
      </c>
      <c r="B55" s="100">
        <v>0.0425</v>
      </c>
      <c r="C55" s="100"/>
      <c r="D55" s="100">
        <v>0.0108</v>
      </c>
      <c r="E55" s="100"/>
      <c r="F55" s="100">
        <v>0.0357</v>
      </c>
      <c r="G55" s="100"/>
      <c r="H55" s="100"/>
      <c r="I55" s="100"/>
      <c r="J55" s="100">
        <v>0.062</v>
      </c>
      <c r="K55" s="100"/>
      <c r="L55" s="100">
        <v>0.0636</v>
      </c>
      <c r="M55" s="100"/>
      <c r="N55" s="100">
        <v>0.0647</v>
      </c>
    </row>
    <row r="56" spans="1:14" ht="15" hidden="1">
      <c r="A56" s="87" t="s">
        <v>43</v>
      </c>
      <c r="B56" s="100">
        <v>0.04</v>
      </c>
      <c r="C56" s="100"/>
      <c r="D56" s="100">
        <v>0.0095</v>
      </c>
      <c r="E56" s="100"/>
      <c r="F56" s="100">
        <v>0.0333</v>
      </c>
      <c r="G56" s="100"/>
      <c r="H56" s="100"/>
      <c r="I56" s="100"/>
      <c r="J56" s="100">
        <v>0.0612</v>
      </c>
      <c r="K56" s="100"/>
      <c r="L56" s="100">
        <v>0.0621</v>
      </c>
      <c r="M56" s="100"/>
      <c r="N56" s="100">
        <v>0.063</v>
      </c>
    </row>
    <row r="57" spans="1:14" ht="15" hidden="1">
      <c r="A57" s="87" t="s">
        <v>44</v>
      </c>
      <c r="B57" s="100">
        <v>0.04</v>
      </c>
      <c r="C57" s="100"/>
      <c r="D57" s="100">
        <v>0.009</v>
      </c>
      <c r="E57" s="100"/>
      <c r="F57" s="100">
        <v>0.0398</v>
      </c>
      <c r="G57" s="100"/>
      <c r="H57" s="100"/>
      <c r="I57" s="100"/>
      <c r="J57" s="100">
        <v>0.0637</v>
      </c>
      <c r="K57" s="100"/>
      <c r="L57" s="100">
        <v>0.0657</v>
      </c>
      <c r="M57" s="100"/>
      <c r="N57" s="100">
        <v>0.0667</v>
      </c>
    </row>
    <row r="58" spans="1:14" ht="15" hidden="1">
      <c r="A58" s="87" t="s">
        <v>45</v>
      </c>
      <c r="B58" s="100">
        <v>0.04</v>
      </c>
      <c r="C58" s="100"/>
      <c r="D58" s="100">
        <v>0.0096</v>
      </c>
      <c r="E58" s="100"/>
      <c r="F58" s="100">
        <v>0.0445</v>
      </c>
      <c r="G58" s="100"/>
      <c r="H58" s="100"/>
      <c r="I58" s="100"/>
      <c r="J58" s="100">
        <v>0.0648</v>
      </c>
      <c r="K58" s="100"/>
      <c r="L58" s="100">
        <v>0.0678</v>
      </c>
      <c r="M58" s="100"/>
      <c r="N58" s="100">
        <v>0.0708</v>
      </c>
    </row>
    <row r="59" spans="1:14" ht="15" hidden="1">
      <c r="A59" s="87" t="s">
        <v>46</v>
      </c>
      <c r="B59" s="100">
        <v>0.04</v>
      </c>
      <c r="C59" s="100"/>
      <c r="D59" s="100">
        <v>0.0095</v>
      </c>
      <c r="E59" s="100"/>
      <c r="F59" s="100">
        <v>0.0427</v>
      </c>
      <c r="G59" s="100"/>
      <c r="H59" s="100"/>
      <c r="I59" s="100"/>
      <c r="J59" s="100">
        <v>0.063</v>
      </c>
      <c r="K59" s="100"/>
      <c r="L59" s="100">
        <v>0.0656</v>
      </c>
      <c r="M59" s="100"/>
      <c r="N59" s="100">
        <v>0.0687</v>
      </c>
    </row>
    <row r="60" spans="1:14" ht="15" hidden="1">
      <c r="A60" s="87" t="s">
        <v>47</v>
      </c>
      <c r="B60" s="100">
        <v>0.04</v>
      </c>
      <c r="C60" s="100"/>
      <c r="D60" s="100">
        <v>0.0093</v>
      </c>
      <c r="E60" s="100"/>
      <c r="F60" s="100">
        <v>0.0429</v>
      </c>
      <c r="G60" s="100"/>
      <c r="H60" s="100"/>
      <c r="I60" s="100"/>
      <c r="J60" s="100">
        <v>0.0628</v>
      </c>
      <c r="K60" s="100"/>
      <c r="L60" s="100">
        <v>0.0643</v>
      </c>
      <c r="M60" s="100"/>
      <c r="N60" s="100">
        <v>0.0679</v>
      </c>
    </row>
    <row r="61" spans="1:14" ht="15" hidden="1">
      <c r="A61" s="87" t="s">
        <v>48</v>
      </c>
      <c r="B61" s="100">
        <v>0.04</v>
      </c>
      <c r="C61" s="100"/>
      <c r="D61" s="100">
        <v>0.0094</v>
      </c>
      <c r="E61" s="100"/>
      <c r="F61" s="100">
        <v>0.043</v>
      </c>
      <c r="G61" s="100"/>
      <c r="H61" s="100"/>
      <c r="I61" s="100"/>
      <c r="J61" s="100">
        <v>0.0626</v>
      </c>
      <c r="K61" s="100"/>
      <c r="L61" s="100">
        <v>0.0637</v>
      </c>
      <c r="M61" s="100"/>
      <c r="N61" s="100">
        <v>0.0669</v>
      </c>
    </row>
    <row r="62" spans="1:14" ht="15" hidden="1">
      <c r="A62" s="87" t="s">
        <v>49</v>
      </c>
      <c r="B62" s="100">
        <v>0.04</v>
      </c>
      <c r="C62" s="100"/>
      <c r="D62" s="100">
        <v>0.009</v>
      </c>
      <c r="E62" s="100"/>
      <c r="F62" s="100">
        <v>0.0427</v>
      </c>
      <c r="G62" s="100"/>
      <c r="H62" s="100"/>
      <c r="I62" s="100"/>
      <c r="J62" s="100">
        <v>0.0618</v>
      </c>
      <c r="K62" s="100"/>
      <c r="L62" s="100">
        <v>0.0627</v>
      </c>
      <c r="M62" s="100"/>
      <c r="N62" s="100">
        <v>0.0661</v>
      </c>
    </row>
    <row r="63" spans="1:14" ht="21.75" customHeight="1" hidden="1">
      <c r="A63" s="92">
        <v>2004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5" hidden="1">
      <c r="A64" s="87" t="s">
        <v>38</v>
      </c>
      <c r="B64" s="100">
        <v>0.04</v>
      </c>
      <c r="C64" s="100"/>
      <c r="D64" s="100">
        <v>0.0089</v>
      </c>
      <c r="E64" s="100"/>
      <c r="F64" s="100">
        <v>0.0415</v>
      </c>
      <c r="G64" s="100"/>
      <c r="H64" s="100"/>
      <c r="I64" s="100"/>
      <c r="J64" s="100">
        <v>0.0606</v>
      </c>
      <c r="K64" s="100"/>
      <c r="L64" s="100">
        <v>0.0615</v>
      </c>
      <c r="M64" s="100"/>
      <c r="N64" s="100">
        <v>0.0647</v>
      </c>
    </row>
    <row r="65" spans="1:14" ht="15" hidden="1">
      <c r="A65" s="87" t="s">
        <v>39</v>
      </c>
      <c r="B65" s="100">
        <v>0.04</v>
      </c>
      <c r="C65" s="100"/>
      <c r="D65" s="100">
        <v>0.0092</v>
      </c>
      <c r="E65" s="100"/>
      <c r="F65" s="100">
        <v>0.0408</v>
      </c>
      <c r="G65" s="100"/>
      <c r="H65" s="100"/>
      <c r="I65" s="100"/>
      <c r="J65" s="100">
        <v>0.061</v>
      </c>
      <c r="K65" s="100"/>
      <c r="L65" s="100">
        <v>0.0615</v>
      </c>
      <c r="M65" s="100"/>
      <c r="N65" s="100">
        <v>0.0628</v>
      </c>
    </row>
    <row r="66" spans="1:14" ht="15" hidden="1">
      <c r="A66" s="87" t="s">
        <v>40</v>
      </c>
      <c r="B66" s="100">
        <v>0.04</v>
      </c>
      <c r="C66" s="100"/>
      <c r="D66" s="100">
        <v>0.0094</v>
      </c>
      <c r="E66" s="100"/>
      <c r="F66" s="100">
        <v>0.0383</v>
      </c>
      <c r="G66" s="100"/>
      <c r="H66" s="100"/>
      <c r="I66" s="100"/>
      <c r="J66" s="100">
        <v>0.0593</v>
      </c>
      <c r="K66" s="100"/>
      <c r="L66" s="100">
        <v>0.0597</v>
      </c>
      <c r="M66" s="100"/>
      <c r="N66" s="100">
        <v>0.0612</v>
      </c>
    </row>
    <row r="67" spans="1:14" ht="15" hidden="1">
      <c r="A67" s="87" t="s">
        <v>41</v>
      </c>
      <c r="B67" s="100">
        <v>0.04</v>
      </c>
      <c r="C67" s="100"/>
      <c r="D67" s="100">
        <v>0.0094</v>
      </c>
      <c r="E67" s="100"/>
      <c r="F67" s="100">
        <v>0.0435</v>
      </c>
      <c r="G67" s="100"/>
      <c r="H67" s="100"/>
      <c r="I67" s="100"/>
      <c r="J67" s="100">
        <v>0.0633</v>
      </c>
      <c r="K67" s="100"/>
      <c r="L67" s="100">
        <v>0.0635</v>
      </c>
      <c r="M67" s="100"/>
      <c r="N67" s="100">
        <v>0.0646</v>
      </c>
    </row>
    <row r="68" spans="1:14" ht="15" hidden="1">
      <c r="A68" s="87" t="s">
        <v>42</v>
      </c>
      <c r="B68" s="100">
        <v>0.04</v>
      </c>
      <c r="C68" s="100"/>
      <c r="D68" s="100">
        <v>0.0104</v>
      </c>
      <c r="E68" s="100"/>
      <c r="F68" s="100">
        <v>0.0472</v>
      </c>
      <c r="G68" s="100"/>
      <c r="H68" s="100"/>
      <c r="I68" s="100"/>
      <c r="J68" s="100">
        <v>0.0666</v>
      </c>
      <c r="K68" s="100"/>
      <c r="L68" s="100">
        <v>0.0662</v>
      </c>
      <c r="M68" s="100"/>
      <c r="N68" s="100">
        <v>0.0675</v>
      </c>
    </row>
    <row r="69" spans="1:14" ht="15" hidden="1">
      <c r="A69" s="87" t="s">
        <v>43</v>
      </c>
      <c r="B69" s="100">
        <v>0.04</v>
      </c>
      <c r="C69" s="100"/>
      <c r="D69" s="100">
        <v>0.0127</v>
      </c>
      <c r="E69" s="100"/>
      <c r="F69" s="100">
        <v>0.0473</v>
      </c>
      <c r="G69" s="100"/>
      <c r="H69" s="100"/>
      <c r="I69" s="100"/>
      <c r="J69" s="100">
        <v>0.063</v>
      </c>
      <c r="K69" s="100"/>
      <c r="L69" s="100">
        <v>0.0646</v>
      </c>
      <c r="M69" s="100"/>
      <c r="N69" s="100">
        <v>0.0684</v>
      </c>
    </row>
    <row r="70" spans="1:14" ht="15" hidden="1">
      <c r="A70" s="87" t="s">
        <v>44</v>
      </c>
      <c r="B70" s="100">
        <v>0.0425</v>
      </c>
      <c r="C70" s="100"/>
      <c r="D70" s="100">
        <v>0.0135</v>
      </c>
      <c r="E70" s="100"/>
      <c r="F70" s="100">
        <v>0.045</v>
      </c>
      <c r="G70" s="100"/>
      <c r="H70" s="100"/>
      <c r="I70" s="100"/>
      <c r="J70" s="100">
        <v>0.0609</v>
      </c>
      <c r="K70" s="100"/>
      <c r="L70" s="100">
        <v>0.0627</v>
      </c>
      <c r="M70" s="100"/>
      <c r="N70" s="100">
        <v>0.0667</v>
      </c>
    </row>
    <row r="71" spans="1:14" ht="15" hidden="1">
      <c r="A71" s="87" t="s">
        <v>45</v>
      </c>
      <c r="B71" s="100">
        <v>0.045</v>
      </c>
      <c r="C71" s="100"/>
      <c r="D71" s="100">
        <v>0.0148</v>
      </c>
      <c r="E71" s="100"/>
      <c r="F71" s="100">
        <v>0.0428</v>
      </c>
      <c r="G71" s="100"/>
      <c r="H71" s="100"/>
      <c r="I71" s="100"/>
      <c r="J71" s="100">
        <v>0.0595</v>
      </c>
      <c r="K71" s="100"/>
      <c r="L71" s="100">
        <v>0.0614</v>
      </c>
      <c r="M71" s="100"/>
      <c r="N71" s="100">
        <v>0.0645</v>
      </c>
    </row>
    <row r="72" spans="1:14" ht="15" hidden="1">
      <c r="A72" s="87" t="s">
        <v>46</v>
      </c>
      <c r="B72" s="100">
        <v>0.0475</v>
      </c>
      <c r="C72" s="100"/>
      <c r="D72" s="100">
        <v>0.0165</v>
      </c>
      <c r="E72" s="100"/>
      <c r="F72" s="100">
        <v>0.0413</v>
      </c>
      <c r="G72" s="100"/>
      <c r="H72" s="100"/>
      <c r="I72" s="100"/>
      <c r="J72" s="100">
        <v>0.0579</v>
      </c>
      <c r="K72" s="100"/>
      <c r="L72" s="100">
        <v>0.0598</v>
      </c>
      <c r="M72" s="100"/>
      <c r="N72" s="100">
        <v>0.0627</v>
      </c>
    </row>
    <row r="73" spans="1:14" ht="15" hidden="1">
      <c r="A73" s="87" t="s">
        <v>47</v>
      </c>
      <c r="B73" s="100">
        <v>0.0475</v>
      </c>
      <c r="C73" s="100"/>
      <c r="D73" s="100">
        <v>0.0175</v>
      </c>
      <c r="E73" s="100"/>
      <c r="F73" s="100">
        <v>0.041</v>
      </c>
      <c r="G73" s="100"/>
      <c r="H73" s="100"/>
      <c r="I73" s="100"/>
      <c r="J73" s="100">
        <v>0.0574</v>
      </c>
      <c r="K73" s="100"/>
      <c r="L73" s="100">
        <v>0.0594</v>
      </c>
      <c r="M73" s="100"/>
      <c r="N73" s="100">
        <v>0.0617</v>
      </c>
    </row>
    <row r="74" spans="1:14" ht="15" hidden="1">
      <c r="A74" s="87" t="s">
        <v>48</v>
      </c>
      <c r="B74" s="100">
        <v>0.05</v>
      </c>
      <c r="C74" s="100"/>
      <c r="D74" s="100">
        <v>0.0206</v>
      </c>
      <c r="E74" s="100"/>
      <c r="F74" s="100">
        <v>0.0419</v>
      </c>
      <c r="G74" s="100"/>
      <c r="H74" s="100"/>
      <c r="I74" s="100"/>
      <c r="J74" s="100">
        <v>0.0579</v>
      </c>
      <c r="K74" s="100"/>
      <c r="L74" s="100">
        <v>0.0597</v>
      </c>
      <c r="M74" s="100"/>
      <c r="N74" s="100">
        <v>0.0616</v>
      </c>
    </row>
    <row r="75" spans="1:14" ht="15" hidden="1">
      <c r="A75" s="87" t="s">
        <v>49</v>
      </c>
      <c r="B75" s="100">
        <v>0.0525</v>
      </c>
      <c r="C75" s="100"/>
      <c r="D75" s="100">
        <v>0.022</v>
      </c>
      <c r="E75" s="100"/>
      <c r="F75" s="100">
        <v>0.0423</v>
      </c>
      <c r="G75" s="100"/>
      <c r="H75" s="100"/>
      <c r="I75" s="100"/>
      <c r="J75" s="100">
        <v>0.0578</v>
      </c>
      <c r="K75" s="100"/>
      <c r="L75" s="100">
        <v>0.0592</v>
      </c>
      <c r="M75" s="100"/>
      <c r="N75" s="100">
        <v>0.061</v>
      </c>
    </row>
    <row r="76" spans="1:14" ht="21.75" customHeight="1" hidden="1">
      <c r="A76" s="92">
        <v>2005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5" hidden="1">
      <c r="A77" s="87" t="s">
        <v>38</v>
      </c>
      <c r="B77" s="100">
        <v>0.0525</v>
      </c>
      <c r="C77" s="100"/>
      <c r="D77" s="100">
        <v>0.0232</v>
      </c>
      <c r="E77" s="100"/>
      <c r="F77" s="100">
        <v>0.0422</v>
      </c>
      <c r="G77" s="100"/>
      <c r="H77" s="100"/>
      <c r="I77" s="100"/>
      <c r="J77" s="100">
        <v>0.0568</v>
      </c>
      <c r="K77" s="100"/>
      <c r="L77" s="100">
        <v>0.0578</v>
      </c>
      <c r="M77" s="100"/>
      <c r="N77" s="100">
        <v>0.0595</v>
      </c>
    </row>
    <row r="78" spans="1:14" ht="15" hidden="1">
      <c r="A78" s="87" t="s">
        <v>39</v>
      </c>
      <c r="B78" s="100">
        <v>0.055</v>
      </c>
      <c r="C78" s="100"/>
      <c r="D78" s="100">
        <v>0.0253</v>
      </c>
      <c r="E78" s="100"/>
      <c r="F78" s="100">
        <v>0.0417</v>
      </c>
      <c r="G78" s="100"/>
      <c r="H78" s="100"/>
      <c r="I78" s="100"/>
      <c r="J78" s="100">
        <v>0.0555</v>
      </c>
      <c r="K78" s="100"/>
      <c r="L78" s="100">
        <v>0.0561</v>
      </c>
      <c r="M78" s="100"/>
      <c r="N78" s="100">
        <v>0.0576</v>
      </c>
    </row>
    <row r="79" spans="1:14" ht="15" hidden="1">
      <c r="A79" s="87" t="s">
        <v>40</v>
      </c>
      <c r="B79" s="100">
        <v>0.0575</v>
      </c>
      <c r="C79" s="100"/>
      <c r="D79" s="100">
        <v>0.0275</v>
      </c>
      <c r="E79" s="100"/>
      <c r="F79" s="100">
        <v>0.045</v>
      </c>
      <c r="G79" s="100"/>
      <c r="H79" s="100"/>
      <c r="I79" s="100"/>
      <c r="J79" s="100">
        <v>0.0576</v>
      </c>
      <c r="K79" s="100"/>
      <c r="L79" s="100">
        <v>0.0583</v>
      </c>
      <c r="M79" s="100"/>
      <c r="N79" s="100">
        <v>0.0601</v>
      </c>
    </row>
    <row r="80" spans="1:14" ht="15" hidden="1">
      <c r="A80" s="87" t="s">
        <v>41</v>
      </c>
      <c r="B80" s="100">
        <v>0.0575</v>
      </c>
      <c r="C80" s="100"/>
      <c r="D80" s="100">
        <v>0.0279</v>
      </c>
      <c r="E80" s="100"/>
      <c r="F80" s="100">
        <v>0.0434</v>
      </c>
      <c r="G80" s="100"/>
      <c r="H80" s="100"/>
      <c r="I80" s="100"/>
      <c r="J80" s="100">
        <v>0.0556</v>
      </c>
      <c r="K80" s="100"/>
      <c r="L80" s="100">
        <v>0.0564</v>
      </c>
      <c r="M80" s="100"/>
      <c r="N80" s="100">
        <v>0.0595</v>
      </c>
    </row>
    <row r="81" spans="1:14" ht="15" hidden="1">
      <c r="A81" s="87" t="s">
        <v>42</v>
      </c>
      <c r="B81" s="100">
        <v>0.06</v>
      </c>
      <c r="C81" s="100"/>
      <c r="D81" s="100">
        <v>0.0286</v>
      </c>
      <c r="E81" s="100"/>
      <c r="F81" s="100">
        <v>0.0414</v>
      </c>
      <c r="G81" s="100"/>
      <c r="H81" s="100"/>
      <c r="I81" s="100"/>
      <c r="J81" s="100">
        <v>0.0539</v>
      </c>
      <c r="K81" s="100"/>
      <c r="L81" s="100">
        <v>0.0553</v>
      </c>
      <c r="M81" s="100"/>
      <c r="N81" s="100">
        <v>0.0588</v>
      </c>
    </row>
    <row r="82" spans="1:14" ht="15" hidden="1">
      <c r="A82" s="87" t="s">
        <v>43</v>
      </c>
      <c r="B82" s="100">
        <v>0.0625</v>
      </c>
      <c r="C82" s="100"/>
      <c r="D82" s="100">
        <v>0.0299</v>
      </c>
      <c r="E82" s="100"/>
      <c r="F82" s="100">
        <v>0.04</v>
      </c>
      <c r="G82" s="100"/>
      <c r="H82" s="100"/>
      <c r="I82" s="100"/>
      <c r="J82" s="100">
        <v>0.0505</v>
      </c>
      <c r="K82" s="100"/>
      <c r="L82" s="100">
        <v>0.054</v>
      </c>
      <c r="M82" s="100"/>
      <c r="N82" s="100">
        <v>0.057</v>
      </c>
    </row>
    <row r="83" spans="1:14" ht="15" hidden="1">
      <c r="A83" s="87" t="s">
        <v>44</v>
      </c>
      <c r="B83" s="100">
        <v>0.0625</v>
      </c>
      <c r="C83" s="100"/>
      <c r="D83" s="100">
        <v>0.0322</v>
      </c>
      <c r="E83" s="100"/>
      <c r="F83" s="100">
        <v>0.0418</v>
      </c>
      <c r="G83" s="100"/>
      <c r="H83" s="100"/>
      <c r="I83" s="100"/>
      <c r="J83" s="100">
        <v>0.0518</v>
      </c>
      <c r="K83" s="100"/>
      <c r="L83" s="100">
        <v>0.0551</v>
      </c>
      <c r="M83" s="100"/>
      <c r="N83" s="100">
        <v>0.0581</v>
      </c>
    </row>
    <row r="84" spans="1:14" ht="15" hidden="1">
      <c r="A84" s="87" t="s">
        <v>45</v>
      </c>
      <c r="B84" s="100">
        <v>0.065</v>
      </c>
      <c r="C84" s="100"/>
      <c r="D84" s="100">
        <v>0.0345</v>
      </c>
      <c r="E84" s="100"/>
      <c r="F84" s="100">
        <v>0.0426</v>
      </c>
      <c r="G84" s="100"/>
      <c r="H84" s="100"/>
      <c r="I84" s="100"/>
      <c r="J84" s="100">
        <v>0.0523</v>
      </c>
      <c r="K84" s="100"/>
      <c r="L84" s="100">
        <v>0.055</v>
      </c>
      <c r="M84" s="100"/>
      <c r="N84" s="100">
        <v>0.058</v>
      </c>
    </row>
    <row r="85" spans="1:14" ht="15" hidden="1">
      <c r="A85" s="87" t="s">
        <v>46</v>
      </c>
      <c r="B85" s="100">
        <v>0.0675</v>
      </c>
      <c r="C85" s="100"/>
      <c r="D85" s="100">
        <v>0.0347</v>
      </c>
      <c r="E85" s="100"/>
      <c r="F85" s="100">
        <v>0.042</v>
      </c>
      <c r="G85" s="100"/>
      <c r="H85" s="100"/>
      <c r="I85" s="100"/>
      <c r="J85" s="100">
        <v>0.0527</v>
      </c>
      <c r="K85" s="100"/>
      <c r="L85" s="100">
        <v>0.0552</v>
      </c>
      <c r="M85" s="100"/>
      <c r="N85" s="100">
        <v>0.0583</v>
      </c>
    </row>
    <row r="86" spans="1:14" ht="15" hidden="1">
      <c r="A86" s="87" t="s">
        <v>47</v>
      </c>
      <c r="B86" s="100">
        <v>0.0675</v>
      </c>
      <c r="C86" s="100"/>
      <c r="D86" s="100">
        <v>0.037</v>
      </c>
      <c r="E86" s="100"/>
      <c r="F86" s="100">
        <v>0.0446</v>
      </c>
      <c r="G86" s="100"/>
      <c r="H86" s="100"/>
      <c r="I86" s="100"/>
      <c r="J86" s="100">
        <v>0.055</v>
      </c>
      <c r="K86" s="100"/>
      <c r="L86" s="100">
        <v>0.0579</v>
      </c>
      <c r="M86" s="100"/>
      <c r="N86" s="100">
        <v>0.0608</v>
      </c>
    </row>
    <row r="87" spans="1:14" ht="15" hidden="1">
      <c r="A87" s="87" t="s">
        <v>48</v>
      </c>
      <c r="B87" s="100">
        <v>0.07</v>
      </c>
      <c r="C87" s="100"/>
      <c r="D87" s="100">
        <v>0.039</v>
      </c>
      <c r="E87" s="100"/>
      <c r="F87" s="100">
        <v>0.0454</v>
      </c>
      <c r="G87" s="100"/>
      <c r="H87" s="100"/>
      <c r="I87" s="100"/>
      <c r="J87" s="100">
        <v>0.0559</v>
      </c>
      <c r="K87" s="100"/>
      <c r="L87" s="100">
        <v>0.0588</v>
      </c>
      <c r="M87" s="100"/>
      <c r="N87" s="100">
        <v>0.0619</v>
      </c>
    </row>
    <row r="88" spans="1:14" ht="15" hidden="1">
      <c r="A88" s="87" t="s">
        <v>49</v>
      </c>
      <c r="B88" s="100">
        <v>0.0725</v>
      </c>
      <c r="C88" s="100"/>
      <c r="D88" s="100">
        <v>0.0389</v>
      </c>
      <c r="E88" s="100"/>
      <c r="F88" s="100">
        <v>0.0447</v>
      </c>
      <c r="G88" s="100"/>
      <c r="H88" s="100"/>
      <c r="I88" s="100"/>
      <c r="J88" s="100">
        <v>0.0555</v>
      </c>
      <c r="K88" s="100"/>
      <c r="L88" s="100">
        <v>0.058</v>
      </c>
      <c r="M88" s="100"/>
      <c r="N88" s="100">
        <v>0.0614</v>
      </c>
    </row>
    <row r="89" spans="1:14" ht="21.75" customHeight="1" hidden="1">
      <c r="A89" s="92">
        <v>2006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15" hidden="1">
      <c r="A90" s="87" t="s">
        <v>38</v>
      </c>
      <c r="B90" s="100">
        <v>0.075</v>
      </c>
      <c r="C90" s="100"/>
      <c r="D90" s="100">
        <v>0.042</v>
      </c>
      <c r="E90" s="100"/>
      <c r="F90" s="100">
        <v>0.0442</v>
      </c>
      <c r="G90" s="100"/>
      <c r="H90" s="100"/>
      <c r="I90" s="100"/>
      <c r="J90" s="100">
        <v>0.055</v>
      </c>
      <c r="K90" s="100"/>
      <c r="L90" s="100">
        <v>0.0575</v>
      </c>
      <c r="M90" s="100"/>
      <c r="N90" s="100">
        <v>0.0606</v>
      </c>
    </row>
    <row r="91" spans="1:14" ht="15" hidden="1">
      <c r="A91" s="87" t="s">
        <v>39</v>
      </c>
      <c r="B91" s="100">
        <v>0.075</v>
      </c>
      <c r="C91" s="100"/>
      <c r="D91" s="100">
        <v>0.0441</v>
      </c>
      <c r="E91" s="100"/>
      <c r="F91" s="100">
        <v>0.0457</v>
      </c>
      <c r="G91" s="100"/>
      <c r="H91" s="100"/>
      <c r="I91" s="100"/>
      <c r="J91" s="100">
        <v>0.0555</v>
      </c>
      <c r="K91" s="100"/>
      <c r="L91" s="100">
        <v>0.0582</v>
      </c>
      <c r="M91" s="100"/>
      <c r="N91" s="100">
        <v>0.0611</v>
      </c>
    </row>
    <row r="92" spans="1:14" ht="15" hidden="1">
      <c r="A92" s="87" t="s">
        <v>40</v>
      </c>
      <c r="B92" s="100">
        <v>0.0775</v>
      </c>
      <c r="C92" s="100"/>
      <c r="D92" s="100">
        <v>0.0451</v>
      </c>
      <c r="E92" s="100"/>
      <c r="F92" s="100">
        <v>0.0472</v>
      </c>
      <c r="G92" s="100"/>
      <c r="H92" s="100"/>
      <c r="I92" s="100"/>
      <c r="J92" s="100">
        <v>0.0571</v>
      </c>
      <c r="K92" s="100"/>
      <c r="L92" s="100">
        <v>0.0598</v>
      </c>
      <c r="M92" s="100"/>
      <c r="N92" s="100">
        <v>0.0626</v>
      </c>
    </row>
    <row r="93" spans="1:14" ht="15" hidden="1">
      <c r="A93" s="87" t="s">
        <v>41</v>
      </c>
      <c r="B93" s="100">
        <v>0.0775</v>
      </c>
      <c r="C93" s="100"/>
      <c r="D93" s="100">
        <v>0.0459</v>
      </c>
      <c r="E93" s="100"/>
      <c r="F93" s="100">
        <v>0.0499</v>
      </c>
      <c r="G93" s="100"/>
      <c r="H93" s="100"/>
      <c r="I93" s="100"/>
      <c r="J93" s="100">
        <v>0.0602</v>
      </c>
      <c r="K93" s="100"/>
      <c r="L93" s="100">
        <v>0.0629</v>
      </c>
      <c r="M93" s="100"/>
      <c r="N93" s="100">
        <v>0.0654</v>
      </c>
    </row>
    <row r="94" spans="1:14" ht="15" hidden="1">
      <c r="A94" s="87" t="s">
        <v>42</v>
      </c>
      <c r="B94" s="100">
        <v>0.08</v>
      </c>
      <c r="C94" s="100"/>
      <c r="D94" s="100">
        <v>0.0472</v>
      </c>
      <c r="E94" s="100"/>
      <c r="F94" s="100">
        <v>0.0511</v>
      </c>
      <c r="G94" s="100"/>
      <c r="H94" s="100"/>
      <c r="I94" s="100"/>
      <c r="J94" s="100">
        <v>0.0616</v>
      </c>
      <c r="K94" s="100"/>
      <c r="L94" s="100">
        <v>0.0642</v>
      </c>
      <c r="M94" s="100"/>
      <c r="N94" s="100">
        <v>0.0659</v>
      </c>
    </row>
    <row r="95" spans="1:14" ht="15" hidden="1">
      <c r="A95" s="87" t="s">
        <v>43</v>
      </c>
      <c r="B95" s="100">
        <v>0.0825</v>
      </c>
      <c r="C95" s="100"/>
      <c r="D95" s="100">
        <v>0.0479</v>
      </c>
      <c r="E95" s="100"/>
      <c r="F95" s="100">
        <v>0.0511</v>
      </c>
      <c r="G95" s="100"/>
      <c r="H95" s="100"/>
      <c r="I95" s="100"/>
      <c r="J95" s="100">
        <v>0.0616</v>
      </c>
      <c r="K95" s="100"/>
      <c r="L95" s="100">
        <v>0.064</v>
      </c>
      <c r="M95" s="100"/>
      <c r="N95" s="100">
        <v>0.0661</v>
      </c>
    </row>
    <row r="96" spans="1:14" ht="15" hidden="1">
      <c r="A96" s="87" t="s">
        <v>44</v>
      </c>
      <c r="B96" s="100">
        <v>0.0825</v>
      </c>
      <c r="C96" s="100"/>
      <c r="D96" s="100">
        <v>0.0496</v>
      </c>
      <c r="E96" s="100"/>
      <c r="F96" s="100">
        <v>0.0509</v>
      </c>
      <c r="G96" s="100"/>
      <c r="H96" s="100"/>
      <c r="I96" s="100"/>
      <c r="J96" s="100">
        <v>0.0613</v>
      </c>
      <c r="K96" s="100"/>
      <c r="L96" s="100">
        <v>0.0637</v>
      </c>
      <c r="M96" s="100"/>
      <c r="N96" s="100">
        <v>0.0661</v>
      </c>
    </row>
    <row r="97" spans="1:14" ht="15" hidden="1">
      <c r="A97" s="87" t="s">
        <v>45</v>
      </c>
      <c r="B97" s="100">
        <v>0.0825</v>
      </c>
      <c r="C97" s="100"/>
      <c r="D97" s="100">
        <v>0.0498</v>
      </c>
      <c r="E97" s="100"/>
      <c r="F97" s="100">
        <v>0.0488</v>
      </c>
      <c r="G97" s="100"/>
      <c r="H97" s="100"/>
      <c r="I97" s="100"/>
      <c r="J97" s="100">
        <v>0.0597</v>
      </c>
      <c r="K97" s="100"/>
      <c r="L97" s="100">
        <v>0.062</v>
      </c>
      <c r="M97" s="100"/>
      <c r="N97" s="100">
        <v>0.0643</v>
      </c>
    </row>
    <row r="98" spans="1:14" ht="15" hidden="1">
      <c r="A98" s="87" t="s">
        <v>46</v>
      </c>
      <c r="B98" s="100">
        <v>0.0825</v>
      </c>
      <c r="C98" s="100"/>
      <c r="D98" s="100">
        <v>0.0482</v>
      </c>
      <c r="E98" s="100"/>
      <c r="F98" s="100">
        <v>0.0472</v>
      </c>
      <c r="G98" s="100"/>
      <c r="H98" s="100"/>
      <c r="I98" s="100"/>
      <c r="J98" s="100">
        <v>0.0581</v>
      </c>
      <c r="K98" s="100"/>
      <c r="L98" s="100">
        <v>0.06</v>
      </c>
      <c r="M98" s="100"/>
      <c r="N98" s="100">
        <v>0.0626</v>
      </c>
    </row>
    <row r="99" spans="1:14" ht="15" hidden="1">
      <c r="A99" s="87" t="s">
        <v>47</v>
      </c>
      <c r="B99" s="100">
        <v>0.0825</v>
      </c>
      <c r="C99" s="100"/>
      <c r="D99" s="100">
        <v>0.0489</v>
      </c>
      <c r="E99" s="100"/>
      <c r="F99" s="100">
        <v>0.0473</v>
      </c>
      <c r="G99" s="100"/>
      <c r="H99" s="100"/>
      <c r="I99" s="100"/>
      <c r="J99" s="100">
        <v>0.058</v>
      </c>
      <c r="K99" s="100"/>
      <c r="L99" s="100">
        <v>0.0598</v>
      </c>
      <c r="M99" s="100"/>
      <c r="N99" s="100">
        <v>0.0624</v>
      </c>
    </row>
    <row r="100" spans="1:14" ht="15" hidden="1">
      <c r="A100" s="128" t="s">
        <v>48</v>
      </c>
      <c r="B100" s="115">
        <v>0.0825</v>
      </c>
      <c r="C100" s="115"/>
      <c r="D100" s="115">
        <v>0.0495</v>
      </c>
      <c r="E100" s="115"/>
      <c r="F100" s="115">
        <v>0.046</v>
      </c>
      <c r="G100" s="115"/>
      <c r="H100" s="115"/>
      <c r="I100" s="115"/>
      <c r="J100" s="115">
        <v>0.0561</v>
      </c>
      <c r="K100" s="115"/>
      <c r="L100" s="115">
        <v>0.058</v>
      </c>
      <c r="M100" s="115"/>
      <c r="N100" s="115">
        <v>0.0604</v>
      </c>
    </row>
    <row r="101" spans="1:14" ht="15" hidden="1">
      <c r="A101" s="128" t="s">
        <v>49</v>
      </c>
      <c r="B101" s="115">
        <v>0.0825</v>
      </c>
      <c r="C101" s="115"/>
      <c r="D101" s="115">
        <v>0.0485</v>
      </c>
      <c r="E101" s="115"/>
      <c r="F101" s="115">
        <v>0.0456</v>
      </c>
      <c r="G101" s="115"/>
      <c r="H101" s="115"/>
      <c r="I101" s="115"/>
      <c r="J101" s="115">
        <v>0.0562</v>
      </c>
      <c r="K101" s="115"/>
      <c r="L101" s="115">
        <v>0.0581</v>
      </c>
      <c r="M101" s="115"/>
      <c r="N101" s="115">
        <v>0.0605</v>
      </c>
    </row>
    <row r="102" spans="1:14" ht="15" hidden="1">
      <c r="A102" s="128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1:14" ht="15.75" hidden="1">
      <c r="A103" s="170">
        <v>2007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</row>
    <row r="104" spans="1:14" ht="15" hidden="1">
      <c r="A104" s="87" t="s">
        <v>38</v>
      </c>
      <c r="B104" s="115">
        <v>0.0825</v>
      </c>
      <c r="C104" s="115"/>
      <c r="D104" s="115">
        <v>0.0496</v>
      </c>
      <c r="E104" s="115"/>
      <c r="F104" s="115">
        <v>0.0476</v>
      </c>
      <c r="G104" s="115"/>
      <c r="H104" s="115"/>
      <c r="I104" s="115"/>
      <c r="J104" s="115">
        <v>0.0578</v>
      </c>
      <c r="K104" s="115"/>
      <c r="L104" s="115">
        <v>0.0596</v>
      </c>
      <c r="M104" s="115"/>
      <c r="N104" s="115">
        <v>0.0616</v>
      </c>
    </row>
    <row r="105" spans="1:14" ht="15" hidden="1">
      <c r="A105" s="87" t="s">
        <v>39</v>
      </c>
      <c r="B105" s="115">
        <v>0.0825</v>
      </c>
      <c r="C105" s="115"/>
      <c r="D105" s="115">
        <v>0.0502</v>
      </c>
      <c r="E105" s="115"/>
      <c r="F105" s="115">
        <v>0.0472</v>
      </c>
      <c r="G105" s="115"/>
      <c r="H105" s="115"/>
      <c r="I105" s="115"/>
      <c r="J105" s="115">
        <v>0.0573</v>
      </c>
      <c r="K105" s="115"/>
      <c r="L105" s="115">
        <v>0.059</v>
      </c>
      <c r="M105" s="115"/>
      <c r="N105" s="115">
        <v>0.061</v>
      </c>
    </row>
    <row r="106" spans="1:14" ht="15" hidden="1">
      <c r="A106" s="87" t="s">
        <v>40</v>
      </c>
      <c r="B106" s="115">
        <v>0.0825</v>
      </c>
      <c r="C106" s="115"/>
      <c r="D106" s="115">
        <v>0.0497</v>
      </c>
      <c r="E106" s="115"/>
      <c r="F106" s="115">
        <v>0.0456</v>
      </c>
      <c r="G106" s="115"/>
      <c r="H106" s="115"/>
      <c r="I106" s="115"/>
      <c r="J106" s="115">
        <v>0.0566</v>
      </c>
      <c r="K106" s="115"/>
      <c r="L106" s="115">
        <v>0.0585</v>
      </c>
      <c r="M106" s="115"/>
      <c r="N106" s="115">
        <v>0.061</v>
      </c>
    </row>
    <row r="107" spans="1:14" ht="15">
      <c r="A107" s="90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</row>
    <row r="108" spans="1:14" ht="15">
      <c r="A108" s="167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</row>
    <row r="109" spans="1:14" ht="15">
      <c r="A109" s="167" t="s">
        <v>312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</row>
    <row r="110" spans="1:14" ht="15">
      <c r="A110" s="167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</row>
    <row r="111" spans="1:14" ht="15">
      <c r="A111" s="34" t="s">
        <v>50</v>
      </c>
      <c r="B111" s="96"/>
      <c r="D111" s="96"/>
      <c r="F111" s="96"/>
      <c r="H111" s="96"/>
      <c r="J111" s="96"/>
      <c r="L111" s="96"/>
      <c r="N111" s="96"/>
    </row>
    <row r="112" spans="1:14" ht="15">
      <c r="A112" s="34" t="s">
        <v>51</v>
      </c>
      <c r="B112" s="96"/>
      <c r="D112" s="96"/>
      <c r="F112" s="96"/>
      <c r="H112" s="96"/>
      <c r="J112" s="96"/>
      <c r="L112" s="96"/>
      <c r="N112" s="96"/>
    </row>
    <row r="113" spans="2:14" ht="15">
      <c r="B113" s="96"/>
      <c r="D113" s="96"/>
      <c r="F113" s="96"/>
      <c r="H113" s="96"/>
      <c r="J113" s="96"/>
      <c r="L113" s="96"/>
      <c r="N113" s="96"/>
    </row>
  </sheetData>
  <sheetProtection/>
  <mergeCells count="5">
    <mergeCell ref="A43:N43"/>
    <mergeCell ref="A5:N5"/>
    <mergeCell ref="A13:N13"/>
    <mergeCell ref="A22:N22"/>
    <mergeCell ref="A32:N32"/>
  </mergeCells>
  <printOptions horizontalCentered="1" verticalCentered="1"/>
  <pageMargins left="0.5" right="0.5" top="0.5" bottom="0.5" header="0.5" footer="0.5"/>
  <pageSetup fitToHeight="3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SheetLayoutView="85" zoomScalePageLayoutView="0" workbookViewId="0" topLeftCell="A79">
      <selection activeCell="F120" sqref="F120"/>
    </sheetView>
  </sheetViews>
  <sheetFormatPr defaultColWidth="9.77734375" defaultRowHeight="15"/>
  <cols>
    <col min="1" max="1" width="9.77734375" style="34" customWidth="1"/>
    <col min="2" max="2" width="7.77734375" style="34" customWidth="1"/>
    <col min="3" max="3" width="2.77734375" style="34" customWidth="1"/>
    <col min="4" max="4" width="10.77734375" style="34" customWidth="1"/>
    <col min="5" max="5" width="2.77734375" style="34" customWidth="1"/>
    <col min="6" max="6" width="10.77734375" style="34" customWidth="1"/>
    <col min="7" max="7" width="2.77734375" style="34" customWidth="1"/>
    <col min="8" max="8" width="7.77734375" style="34" customWidth="1"/>
    <col min="9" max="9" width="2.77734375" style="34" customWidth="1"/>
    <col min="10" max="10" width="7.77734375" style="34" customWidth="1"/>
    <col min="11" max="11" width="2.77734375" style="34" customWidth="1"/>
    <col min="12" max="12" width="7.77734375" style="34" customWidth="1"/>
    <col min="13" max="13" width="2.77734375" style="34" customWidth="1"/>
    <col min="14" max="14" width="7.77734375" style="34" customWidth="1"/>
    <col min="15" max="15" width="2.77734375" style="167" customWidth="1"/>
    <col min="16" max="16384" width="9.77734375" style="34" customWidth="1"/>
  </cols>
  <sheetData>
    <row r="1" ht="15.75">
      <c r="L1" s="33" t="str">
        <f>+'Sch 2, p 3'!L1</f>
        <v>Exhibit___(DCP-2)</v>
      </c>
    </row>
    <row r="2" ht="15.75">
      <c r="L2" s="33" t="str">
        <f>+'[20]Sch 2, p 3'!L2</f>
        <v>Schedule 2</v>
      </c>
    </row>
    <row r="3" ht="15.75">
      <c r="L3" s="33" t="s">
        <v>313</v>
      </c>
    </row>
    <row r="4" spans="1:15" ht="20.25">
      <c r="A4" s="82" t="s">
        <v>37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168"/>
    </row>
    <row r="5" spans="1:15" ht="10.5" customHeight="1" thickBo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168"/>
    </row>
    <row r="6" spans="1:14" ht="15.75" thickTop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15.75">
      <c r="A7" s="170"/>
      <c r="B7" s="170"/>
      <c r="C7" s="170"/>
      <c r="D7" s="170" t="s">
        <v>303</v>
      </c>
      <c r="E7" s="170"/>
      <c r="F7" s="170" t="s">
        <v>303</v>
      </c>
      <c r="G7" s="170"/>
      <c r="H7" s="170" t="s">
        <v>304</v>
      </c>
      <c r="I7" s="170"/>
      <c r="J7" s="170" t="s">
        <v>304</v>
      </c>
      <c r="K7" s="170"/>
      <c r="L7" s="170" t="s">
        <v>304</v>
      </c>
      <c r="M7" s="170"/>
      <c r="N7" s="170" t="s">
        <v>304</v>
      </c>
    </row>
    <row r="8" spans="1:14" ht="15.75">
      <c r="A8" s="170"/>
      <c r="B8" s="170" t="s">
        <v>305</v>
      </c>
      <c r="C8" s="170"/>
      <c r="D8" s="170" t="s">
        <v>306</v>
      </c>
      <c r="E8" s="170"/>
      <c r="F8" s="170" t="s">
        <v>307</v>
      </c>
      <c r="G8" s="170"/>
      <c r="H8" s="170" t="s">
        <v>308</v>
      </c>
      <c r="I8" s="170"/>
      <c r="J8" s="170" t="s">
        <v>308</v>
      </c>
      <c r="K8" s="170"/>
      <c r="L8" s="170" t="s">
        <v>308</v>
      </c>
      <c r="M8" s="170"/>
      <c r="N8" s="170" t="s">
        <v>308</v>
      </c>
    </row>
    <row r="9" spans="1:14" ht="15.75">
      <c r="A9" s="170" t="s">
        <v>63</v>
      </c>
      <c r="B9" s="170" t="s">
        <v>298</v>
      </c>
      <c r="C9" s="170"/>
      <c r="D9" s="170" t="s">
        <v>309</v>
      </c>
      <c r="E9" s="170"/>
      <c r="F9" s="170" t="s">
        <v>310</v>
      </c>
      <c r="G9" s="170"/>
      <c r="H9" s="171" t="s">
        <v>52</v>
      </c>
      <c r="I9" s="170" t="s">
        <v>311</v>
      </c>
      <c r="J9" s="170" t="s">
        <v>314</v>
      </c>
      <c r="K9" s="170"/>
      <c r="L9" s="170" t="s">
        <v>130</v>
      </c>
      <c r="M9" s="170"/>
      <c r="N9" s="171" t="s">
        <v>55</v>
      </c>
    </row>
    <row r="10" spans="1:14" ht="16.5" thickBo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15" ht="15.75" thickTop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5.75" hidden="1">
      <c r="A12" s="93" t="s">
        <v>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68"/>
    </row>
    <row r="13" spans="1:14" ht="15" hidden="1">
      <c r="A13" s="87" t="s">
        <v>3</v>
      </c>
      <c r="B13" s="100">
        <v>0.0786</v>
      </c>
      <c r="C13" s="100"/>
      <c r="D13" s="100">
        <v>0.0584</v>
      </c>
      <c r="E13" s="100"/>
      <c r="F13" s="100">
        <v>0.0799</v>
      </c>
      <c r="G13" s="100"/>
      <c r="H13" s="100">
        <v>0.0903</v>
      </c>
      <c r="I13" s="100"/>
      <c r="J13" s="100">
        <v>0.0944</v>
      </c>
      <c r="K13" s="100"/>
      <c r="L13" s="100">
        <v>0.1009</v>
      </c>
      <c r="M13" s="100"/>
      <c r="N13" s="100">
        <v>0.1096</v>
      </c>
    </row>
    <row r="14" spans="1:14" ht="15" hidden="1">
      <c r="A14" s="87" t="s">
        <v>4</v>
      </c>
      <c r="B14" s="100">
        <v>0.0684</v>
      </c>
      <c r="C14" s="100"/>
      <c r="D14" s="100">
        <v>0.0499</v>
      </c>
      <c r="E14" s="100"/>
      <c r="F14" s="100">
        <v>0.0761</v>
      </c>
      <c r="G14" s="100"/>
      <c r="H14" s="100">
        <v>0.0863</v>
      </c>
      <c r="I14" s="100"/>
      <c r="J14" s="100">
        <v>0.0892</v>
      </c>
      <c r="K14" s="100"/>
      <c r="L14" s="100">
        <v>0.0929</v>
      </c>
      <c r="M14" s="100"/>
      <c r="N14" s="100">
        <v>0.0982</v>
      </c>
    </row>
    <row r="15" spans="1:14" ht="15" hidden="1">
      <c r="A15" s="87" t="s">
        <v>5</v>
      </c>
      <c r="B15" s="100">
        <v>0.0683</v>
      </c>
      <c r="C15" s="100"/>
      <c r="D15" s="100">
        <v>0.0527</v>
      </c>
      <c r="E15" s="100"/>
      <c r="F15" s="100">
        <v>0.0742</v>
      </c>
      <c r="G15" s="100"/>
      <c r="H15" s="100">
        <v>0.0819</v>
      </c>
      <c r="I15" s="100"/>
      <c r="J15" s="100">
        <v>0.0843</v>
      </c>
      <c r="K15" s="100"/>
      <c r="L15" s="100">
        <v>0.0861</v>
      </c>
      <c r="M15" s="100"/>
      <c r="N15" s="100">
        <v>0.0906</v>
      </c>
    </row>
    <row r="16" spans="1:14" ht="15" hidden="1">
      <c r="A16" s="87" t="s">
        <v>6</v>
      </c>
      <c r="B16" s="100">
        <v>0.0906</v>
      </c>
      <c r="C16" s="100"/>
      <c r="D16" s="100">
        <v>0.0722</v>
      </c>
      <c r="E16" s="100"/>
      <c r="F16" s="100">
        <v>0.0841</v>
      </c>
      <c r="G16" s="100"/>
      <c r="H16" s="100">
        <v>0.0887</v>
      </c>
      <c r="I16" s="100"/>
      <c r="J16" s="100">
        <v>0.091</v>
      </c>
      <c r="K16" s="100"/>
      <c r="L16" s="100">
        <v>0.0929</v>
      </c>
      <c r="M16" s="100"/>
      <c r="N16" s="100">
        <v>0.0962</v>
      </c>
    </row>
    <row r="17" spans="1:14" ht="15" hidden="1">
      <c r="A17" s="87" t="s">
        <v>7</v>
      </c>
      <c r="B17" s="100">
        <v>0.1267</v>
      </c>
      <c r="C17" s="100"/>
      <c r="D17" s="100">
        <v>0.1004</v>
      </c>
      <c r="E17" s="100"/>
      <c r="F17" s="100">
        <v>0.0944</v>
      </c>
      <c r="G17" s="100"/>
      <c r="H17" s="100">
        <v>0.0986</v>
      </c>
      <c r="I17" s="100"/>
      <c r="J17" s="100">
        <v>0.1022</v>
      </c>
      <c r="K17" s="100"/>
      <c r="L17" s="100">
        <v>0.1049</v>
      </c>
      <c r="M17" s="100"/>
      <c r="N17" s="100">
        <v>0.1096</v>
      </c>
    </row>
    <row r="18" spans="1:14" ht="15" hidden="1">
      <c r="A18" s="87" t="s">
        <v>8</v>
      </c>
      <c r="B18" s="100">
        <v>0.1527</v>
      </c>
      <c r="C18" s="100"/>
      <c r="D18" s="100">
        <v>0.1151</v>
      </c>
      <c r="E18" s="100"/>
      <c r="F18" s="100">
        <v>0.1146</v>
      </c>
      <c r="G18" s="100"/>
      <c r="H18" s="100">
        <v>0.123</v>
      </c>
      <c r="I18" s="100"/>
      <c r="J18" s="100">
        <v>0.13</v>
      </c>
      <c r="K18" s="100"/>
      <c r="L18" s="100">
        <v>0.1334</v>
      </c>
      <c r="M18" s="100"/>
      <c r="N18" s="100">
        <v>0.1395</v>
      </c>
    </row>
    <row r="19" spans="1:14" ht="15" hidden="1">
      <c r="A19" s="87" t="s">
        <v>9</v>
      </c>
      <c r="B19" s="100">
        <v>0.1889</v>
      </c>
      <c r="C19" s="100"/>
      <c r="D19" s="100">
        <v>0.1403</v>
      </c>
      <c r="E19" s="100"/>
      <c r="F19" s="100">
        <v>0.1393</v>
      </c>
      <c r="G19" s="100"/>
      <c r="H19" s="100">
        <v>0.1464</v>
      </c>
      <c r="I19" s="100"/>
      <c r="J19" s="100">
        <v>0.153</v>
      </c>
      <c r="K19" s="100"/>
      <c r="L19" s="100">
        <v>0.1595</v>
      </c>
      <c r="M19" s="100"/>
      <c r="N19" s="100">
        <v>0.166</v>
      </c>
    </row>
    <row r="20" spans="1:14" ht="15" hidden="1">
      <c r="A20" s="87" t="s">
        <v>10</v>
      </c>
      <c r="B20" s="100">
        <v>0.1486</v>
      </c>
      <c r="C20" s="100"/>
      <c r="D20" s="100">
        <v>0.1069</v>
      </c>
      <c r="E20" s="100"/>
      <c r="F20" s="100">
        <v>0.13</v>
      </c>
      <c r="G20" s="100"/>
      <c r="H20" s="100">
        <v>0.1422</v>
      </c>
      <c r="I20" s="100"/>
      <c r="J20" s="100">
        <v>0.1479</v>
      </c>
      <c r="K20" s="100"/>
      <c r="L20" s="100">
        <v>0.1586</v>
      </c>
      <c r="M20" s="100"/>
      <c r="N20" s="100">
        <v>0.1645</v>
      </c>
    </row>
    <row r="21" spans="1:15" ht="24.75" customHeight="1" hidden="1">
      <c r="A21" s="101" t="s">
        <v>11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68"/>
    </row>
    <row r="22" spans="1:14" ht="15" hidden="1">
      <c r="A22" s="87" t="s">
        <v>12</v>
      </c>
      <c r="B22" s="100">
        <v>0.1079</v>
      </c>
      <c r="C22" s="100"/>
      <c r="D22" s="100">
        <v>0.0863</v>
      </c>
      <c r="E22" s="100"/>
      <c r="F22" s="100">
        <v>0.111</v>
      </c>
      <c r="G22" s="100"/>
      <c r="H22" s="100">
        <v>0.1252</v>
      </c>
      <c r="I22" s="100"/>
      <c r="J22" s="100">
        <v>0.1283</v>
      </c>
      <c r="K22" s="100"/>
      <c r="L22" s="100">
        <v>0.1366</v>
      </c>
      <c r="M22" s="100"/>
      <c r="N22" s="100">
        <v>0.142</v>
      </c>
    </row>
    <row r="23" spans="1:14" ht="15" hidden="1">
      <c r="A23" s="87" t="s">
        <v>13</v>
      </c>
      <c r="B23" s="100">
        <v>0.1204</v>
      </c>
      <c r="C23" s="100"/>
      <c r="D23" s="100">
        <v>0.0958</v>
      </c>
      <c r="E23" s="100"/>
      <c r="F23" s="100">
        <v>0.1244</v>
      </c>
      <c r="G23" s="100"/>
      <c r="H23" s="100">
        <v>0.1272</v>
      </c>
      <c r="I23" s="100"/>
      <c r="J23" s="100">
        <v>0.1366</v>
      </c>
      <c r="K23" s="100"/>
      <c r="L23" s="100">
        <v>0.1403</v>
      </c>
      <c r="M23" s="100"/>
      <c r="N23" s="100">
        <v>0.1453</v>
      </c>
    </row>
    <row r="24" spans="1:14" ht="15" hidden="1">
      <c r="A24" s="87" t="s">
        <v>14</v>
      </c>
      <c r="B24" s="100">
        <v>0.0993</v>
      </c>
      <c r="C24" s="100"/>
      <c r="D24" s="100">
        <v>0.0748</v>
      </c>
      <c r="E24" s="100"/>
      <c r="F24" s="100">
        <v>0.1062</v>
      </c>
      <c r="G24" s="100"/>
      <c r="H24" s="100">
        <v>0.1168</v>
      </c>
      <c r="I24" s="100"/>
      <c r="J24" s="100">
        <v>0.1206</v>
      </c>
      <c r="K24" s="100"/>
      <c r="L24" s="100">
        <v>0.1247</v>
      </c>
      <c r="M24" s="100"/>
      <c r="N24" s="100">
        <v>0.1296</v>
      </c>
    </row>
    <row r="25" spans="1:14" ht="15" hidden="1">
      <c r="A25" s="87" t="s">
        <v>15</v>
      </c>
      <c r="B25" s="100">
        <v>0.0833</v>
      </c>
      <c r="C25" s="100"/>
      <c r="D25" s="100">
        <v>0.0598</v>
      </c>
      <c r="E25" s="100"/>
      <c r="F25" s="100">
        <v>0.0768</v>
      </c>
      <c r="G25" s="100"/>
      <c r="H25" s="100">
        <v>0.0892</v>
      </c>
      <c r="I25" s="100"/>
      <c r="J25" s="100">
        <v>0.093</v>
      </c>
      <c r="K25" s="100"/>
      <c r="L25" s="100">
        <v>0.0958</v>
      </c>
      <c r="M25" s="100"/>
      <c r="N25" s="100">
        <v>0.1</v>
      </c>
    </row>
    <row r="26" spans="1:14" ht="15" hidden="1">
      <c r="A26" s="87" t="s">
        <v>16</v>
      </c>
      <c r="B26" s="100">
        <v>0.0821</v>
      </c>
      <c r="C26" s="100"/>
      <c r="D26" s="100">
        <v>0.0582</v>
      </c>
      <c r="E26" s="100"/>
      <c r="F26" s="100">
        <v>0.0839</v>
      </c>
      <c r="G26" s="100"/>
      <c r="H26" s="100">
        <v>0.0952</v>
      </c>
      <c r="I26" s="100"/>
      <c r="J26" s="100">
        <v>0.0977</v>
      </c>
      <c r="K26" s="100"/>
      <c r="L26" s="100">
        <v>0.101</v>
      </c>
      <c r="M26" s="100"/>
      <c r="N26" s="100">
        <v>0.1053</v>
      </c>
    </row>
    <row r="27" spans="1:14" ht="15" hidden="1">
      <c r="A27" s="87" t="s">
        <v>17</v>
      </c>
      <c r="B27" s="100">
        <v>0.0932</v>
      </c>
      <c r="C27" s="100"/>
      <c r="D27" s="100">
        <v>0.0669</v>
      </c>
      <c r="E27" s="100"/>
      <c r="F27" s="100">
        <v>0.0885</v>
      </c>
      <c r="G27" s="100"/>
      <c r="H27" s="100">
        <v>0.1005</v>
      </c>
      <c r="I27" s="100"/>
      <c r="J27" s="100">
        <v>0.1026</v>
      </c>
      <c r="K27" s="100"/>
      <c r="L27" s="100">
        <v>0.1049</v>
      </c>
      <c r="M27" s="100"/>
      <c r="N27" s="100">
        <v>0.11</v>
      </c>
    </row>
    <row r="28" spans="1:14" ht="15" hidden="1">
      <c r="A28" s="87" t="s">
        <v>18</v>
      </c>
      <c r="B28" s="100">
        <v>0.1087</v>
      </c>
      <c r="C28" s="100"/>
      <c r="D28" s="100">
        <v>0.0812</v>
      </c>
      <c r="E28" s="100"/>
      <c r="F28" s="100">
        <v>0.0849</v>
      </c>
      <c r="G28" s="100"/>
      <c r="H28" s="100">
        <v>0.0932</v>
      </c>
      <c r="I28" s="100"/>
      <c r="J28" s="100">
        <v>0.0956</v>
      </c>
      <c r="K28" s="100"/>
      <c r="L28" s="100">
        <v>0.0977</v>
      </c>
      <c r="M28" s="100"/>
      <c r="N28" s="100">
        <v>0.0997</v>
      </c>
    </row>
    <row r="29" spans="1:14" ht="15" hidden="1">
      <c r="A29" s="87" t="s">
        <v>19</v>
      </c>
      <c r="B29" s="100">
        <v>0.1001</v>
      </c>
      <c r="C29" s="100"/>
      <c r="D29" s="100">
        <v>0.0751</v>
      </c>
      <c r="E29" s="100"/>
      <c r="F29" s="100">
        <v>0.0855</v>
      </c>
      <c r="G29" s="100"/>
      <c r="H29" s="100">
        <v>0.0945</v>
      </c>
      <c r="I29" s="100"/>
      <c r="J29" s="100">
        <v>0.0965</v>
      </c>
      <c r="K29" s="100"/>
      <c r="L29" s="100">
        <v>0.0986</v>
      </c>
      <c r="M29" s="100"/>
      <c r="N29" s="100">
        <v>0.1006</v>
      </c>
    </row>
    <row r="30" spans="1:14" ht="15" hidden="1">
      <c r="A30" s="87" t="s">
        <v>20</v>
      </c>
      <c r="B30" s="100">
        <v>0.0846</v>
      </c>
      <c r="C30" s="100"/>
      <c r="D30" s="100">
        <v>0.0542</v>
      </c>
      <c r="E30" s="100"/>
      <c r="F30" s="100">
        <v>0.0786</v>
      </c>
      <c r="G30" s="100"/>
      <c r="H30" s="100">
        <v>0.0885</v>
      </c>
      <c r="I30" s="100"/>
      <c r="J30" s="100">
        <v>0.0909</v>
      </c>
      <c r="K30" s="100"/>
      <c r="L30" s="100">
        <v>0.0936</v>
      </c>
      <c r="M30" s="100"/>
      <c r="N30" s="100">
        <v>0.0955</v>
      </c>
    </row>
    <row r="31" spans="1:15" ht="24.75" customHeight="1" hidden="1">
      <c r="A31" s="93" t="s">
        <v>161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68"/>
    </row>
    <row r="32" spans="1:14" ht="15" hidden="1">
      <c r="A32" s="87" t="s">
        <v>21</v>
      </c>
      <c r="B32" s="100">
        <v>0.0625</v>
      </c>
      <c r="C32" s="100"/>
      <c r="D32" s="100">
        <v>0.0345</v>
      </c>
      <c r="E32" s="100"/>
      <c r="F32" s="100">
        <v>0.0701</v>
      </c>
      <c r="G32" s="100"/>
      <c r="H32" s="100">
        <v>0.0819</v>
      </c>
      <c r="I32" s="100"/>
      <c r="J32" s="100">
        <v>0.0855</v>
      </c>
      <c r="K32" s="100"/>
      <c r="L32" s="100">
        <v>0.0869</v>
      </c>
      <c r="M32" s="100"/>
      <c r="N32" s="100">
        <v>0.0886</v>
      </c>
    </row>
    <row r="33" spans="1:14" ht="15" hidden="1">
      <c r="A33" s="87" t="s">
        <v>22</v>
      </c>
      <c r="B33" s="100">
        <v>0.06</v>
      </c>
      <c r="C33" s="100"/>
      <c r="D33" s="100">
        <v>0.0302</v>
      </c>
      <c r="E33" s="100"/>
      <c r="F33" s="100">
        <v>0.0587</v>
      </c>
      <c r="G33" s="100"/>
      <c r="H33" s="100">
        <v>0.0729</v>
      </c>
      <c r="I33" s="100"/>
      <c r="J33" s="100">
        <v>0.0744</v>
      </c>
      <c r="K33" s="100"/>
      <c r="L33" s="100">
        <v>0.0759</v>
      </c>
      <c r="M33" s="100"/>
      <c r="N33" s="100">
        <v>0.0791</v>
      </c>
    </row>
    <row r="34" spans="1:14" ht="15" hidden="1">
      <c r="A34" s="87" t="s">
        <v>23</v>
      </c>
      <c r="B34" s="100">
        <v>0.0715</v>
      </c>
      <c r="C34" s="100"/>
      <c r="D34" s="100">
        <v>0.0429</v>
      </c>
      <c r="E34" s="100"/>
      <c r="F34" s="100">
        <v>0.0709</v>
      </c>
      <c r="G34" s="100"/>
      <c r="H34" s="100">
        <v>0.0807</v>
      </c>
      <c r="I34" s="100"/>
      <c r="J34" s="100">
        <v>0.0821</v>
      </c>
      <c r="K34" s="100"/>
      <c r="L34" s="100">
        <v>0.0831</v>
      </c>
      <c r="M34" s="100"/>
      <c r="N34" s="100">
        <v>0.0863</v>
      </c>
    </row>
    <row r="35" spans="1:14" ht="15" hidden="1">
      <c r="A35" s="87" t="s">
        <v>24</v>
      </c>
      <c r="B35" s="100">
        <v>0.0883</v>
      </c>
      <c r="C35" s="100"/>
      <c r="D35" s="100">
        <v>0.0551</v>
      </c>
      <c r="E35" s="100"/>
      <c r="F35" s="100">
        <v>0.0657</v>
      </c>
      <c r="G35" s="100"/>
      <c r="H35" s="100">
        <v>0.0768</v>
      </c>
      <c r="I35" s="100"/>
      <c r="J35" s="100">
        <v>0.0777</v>
      </c>
      <c r="K35" s="100"/>
      <c r="L35" s="100">
        <v>0.0789</v>
      </c>
      <c r="M35" s="100"/>
      <c r="N35" s="100">
        <v>0.0829</v>
      </c>
    </row>
    <row r="36" spans="1:14" ht="15" hidden="1">
      <c r="A36" s="87" t="s">
        <v>25</v>
      </c>
      <c r="B36" s="100">
        <v>0.0827</v>
      </c>
      <c r="C36" s="100"/>
      <c r="D36" s="100">
        <v>0.0502</v>
      </c>
      <c r="E36" s="100"/>
      <c r="F36" s="100">
        <v>0.0644</v>
      </c>
      <c r="G36" s="100"/>
      <c r="H36" s="100">
        <v>0.0748</v>
      </c>
      <c r="I36" s="100"/>
      <c r="J36" s="100">
        <v>0.0757</v>
      </c>
      <c r="K36" s="100"/>
      <c r="L36" s="100">
        <v>0.0775</v>
      </c>
      <c r="M36" s="100"/>
      <c r="N36" s="100">
        <v>0.0816</v>
      </c>
    </row>
    <row r="37" spans="1:14" ht="15" hidden="1">
      <c r="A37" s="87" t="s">
        <v>26</v>
      </c>
      <c r="B37" s="100">
        <v>0.0844</v>
      </c>
      <c r="C37" s="100"/>
      <c r="D37" s="100">
        <v>0.0507</v>
      </c>
      <c r="E37" s="100"/>
      <c r="F37" s="100">
        <v>0.0635</v>
      </c>
      <c r="G37" s="100"/>
      <c r="H37" s="100">
        <v>0.0743</v>
      </c>
      <c r="I37" s="100"/>
      <c r="J37" s="100">
        <v>0.0754</v>
      </c>
      <c r="K37" s="100"/>
      <c r="L37" s="100">
        <v>0.076</v>
      </c>
      <c r="M37" s="100"/>
      <c r="N37" s="100">
        <v>0.0795</v>
      </c>
    </row>
    <row r="38" spans="1:14" ht="15" hidden="1">
      <c r="A38" s="87">
        <v>1998</v>
      </c>
      <c r="B38" s="100">
        <v>0.0835</v>
      </c>
      <c r="C38" s="100"/>
      <c r="D38" s="100">
        <v>0.0481</v>
      </c>
      <c r="E38" s="100"/>
      <c r="F38" s="100">
        <v>0.0526</v>
      </c>
      <c r="G38" s="100"/>
      <c r="H38" s="100">
        <v>0.0677</v>
      </c>
      <c r="I38" s="100"/>
      <c r="J38" s="100">
        <v>0.0691</v>
      </c>
      <c r="K38" s="100"/>
      <c r="L38" s="100">
        <v>0.0704</v>
      </c>
      <c r="M38" s="100"/>
      <c r="N38" s="100">
        <v>0.0726</v>
      </c>
    </row>
    <row r="39" spans="1:14" ht="15" hidden="1">
      <c r="A39" s="87">
        <v>1999</v>
      </c>
      <c r="B39" s="100">
        <v>0.08</v>
      </c>
      <c r="C39" s="100"/>
      <c r="D39" s="100">
        <v>0.0466</v>
      </c>
      <c r="E39" s="100"/>
      <c r="F39" s="100">
        <v>0.0565</v>
      </c>
      <c r="G39" s="100"/>
      <c r="H39" s="100">
        <v>0.0721</v>
      </c>
      <c r="I39" s="100"/>
      <c r="J39" s="100">
        <v>0.0751</v>
      </c>
      <c r="K39" s="100"/>
      <c r="L39" s="100">
        <v>0.0762</v>
      </c>
      <c r="M39" s="100"/>
      <c r="N39" s="100">
        <v>0.0788</v>
      </c>
    </row>
    <row r="40" spans="1:14" ht="15" hidden="1">
      <c r="A40" s="87">
        <v>2000</v>
      </c>
      <c r="B40" s="100">
        <v>0.0923</v>
      </c>
      <c r="C40" s="100"/>
      <c r="D40" s="100">
        <v>0.0585</v>
      </c>
      <c r="E40" s="100"/>
      <c r="F40" s="100">
        <v>0.0603</v>
      </c>
      <c r="G40" s="100"/>
      <c r="H40" s="100">
        <v>0.0788</v>
      </c>
      <c r="I40" s="100"/>
      <c r="J40" s="100">
        <v>0.0806</v>
      </c>
      <c r="K40" s="100"/>
      <c r="L40" s="100">
        <v>0.0824</v>
      </c>
      <c r="M40" s="100"/>
      <c r="N40" s="100">
        <v>0.0836</v>
      </c>
    </row>
    <row r="41" spans="1:14" ht="15" hidden="1">
      <c r="A41" s="87">
        <v>2001</v>
      </c>
      <c r="B41" s="100">
        <v>0.0691</v>
      </c>
      <c r="C41" s="100"/>
      <c r="D41" s="100">
        <v>0.0345</v>
      </c>
      <c r="E41" s="100"/>
      <c r="F41" s="100">
        <v>0.0502</v>
      </c>
      <c r="G41" s="100"/>
      <c r="H41" s="100">
        <v>0.0747</v>
      </c>
      <c r="I41" s="100"/>
      <c r="J41" s="100">
        <v>0.0759</v>
      </c>
      <c r="K41" s="100"/>
      <c r="L41" s="100">
        <v>0.0778</v>
      </c>
      <c r="M41" s="100"/>
      <c r="N41" s="100">
        <v>0.0802</v>
      </c>
    </row>
    <row r="42" spans="1:14" ht="24.75" customHeight="1" hidden="1">
      <c r="A42" s="244" t="s">
        <v>208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1:14" ht="15" hidden="1">
      <c r="A43" s="87">
        <v>2002</v>
      </c>
      <c r="B43" s="100">
        <v>0.0467</v>
      </c>
      <c r="C43" s="100"/>
      <c r="D43" s="100">
        <v>0.0162</v>
      </c>
      <c r="E43" s="100"/>
      <c r="F43" s="100">
        <v>0.0461</v>
      </c>
      <c r="G43" s="100"/>
      <c r="H43" s="100"/>
      <c r="I43" s="100"/>
      <c r="J43" s="100">
        <v>0.0719</v>
      </c>
      <c r="K43" s="100"/>
      <c r="L43" s="100">
        <v>0.0737</v>
      </c>
      <c r="M43" s="100"/>
      <c r="N43" s="100">
        <v>0.0802</v>
      </c>
    </row>
    <row r="44" spans="1:14" ht="15" hidden="1">
      <c r="A44" s="87">
        <v>2003</v>
      </c>
      <c r="B44" s="100">
        <v>0.0412</v>
      </c>
      <c r="C44" s="100"/>
      <c r="D44" s="100">
        <v>0.0102</v>
      </c>
      <c r="E44" s="100"/>
      <c r="F44" s="100">
        <v>0.0401</v>
      </c>
      <c r="G44" s="100"/>
      <c r="H44" s="100"/>
      <c r="I44" s="100"/>
      <c r="J44" s="100">
        <v>0.064</v>
      </c>
      <c r="K44" s="100"/>
      <c r="L44" s="100">
        <v>0.0658</v>
      </c>
      <c r="M44" s="100"/>
      <c r="N44" s="100">
        <v>0.0684</v>
      </c>
    </row>
    <row r="45" spans="1:14" ht="15" hidden="1">
      <c r="A45" s="87">
        <v>2004</v>
      </c>
      <c r="B45" s="100">
        <v>0.0434</v>
      </c>
      <c r="C45" s="100"/>
      <c r="D45" s="100">
        <v>0.0138</v>
      </c>
      <c r="E45" s="100"/>
      <c r="F45" s="100">
        <f>AVERAGE(F63:F74)</f>
        <v>0.04274166666666666</v>
      </c>
      <c r="G45" s="100"/>
      <c r="H45" s="100"/>
      <c r="I45" s="100"/>
      <c r="J45" s="100">
        <v>0.0604</v>
      </c>
      <c r="K45" s="100"/>
      <c r="L45" s="100">
        <v>0.0616</v>
      </c>
      <c r="M45" s="100"/>
      <c r="N45" s="100">
        <v>0.064</v>
      </c>
    </row>
    <row r="46" spans="1:14" ht="15" hidden="1">
      <c r="A46" s="87">
        <v>2005</v>
      </c>
      <c r="B46" s="100">
        <v>0.0619</v>
      </c>
      <c r="C46" s="100"/>
      <c r="D46" s="100">
        <v>0.0316</v>
      </c>
      <c r="E46" s="100"/>
      <c r="F46" s="100">
        <v>0.0429</v>
      </c>
      <c r="G46" s="100"/>
      <c r="H46" s="100"/>
      <c r="I46" s="100"/>
      <c r="J46" s="100">
        <v>0.0544</v>
      </c>
      <c r="K46" s="100"/>
      <c r="L46" s="100">
        <v>0.0565</v>
      </c>
      <c r="M46" s="100"/>
      <c r="N46" s="100">
        <v>0.0593</v>
      </c>
    </row>
    <row r="47" spans="1:14" ht="15" hidden="1">
      <c r="A47" s="87">
        <v>2006</v>
      </c>
      <c r="B47" s="100">
        <v>0.0796</v>
      </c>
      <c r="C47" s="100"/>
      <c r="D47" s="100">
        <v>0.0473</v>
      </c>
      <c r="E47" s="100"/>
      <c r="F47" s="100">
        <v>0.048</v>
      </c>
      <c r="G47" s="100"/>
      <c r="H47" s="100"/>
      <c r="I47" s="100"/>
      <c r="J47" s="100">
        <f>AVERAGE(J89:J100)</f>
        <v>0.05836666666666668</v>
      </c>
      <c r="K47" s="100"/>
      <c r="L47" s="100">
        <f>AVERAGE(L89:L100)</f>
        <v>0.06068333333333334</v>
      </c>
      <c r="M47" s="100"/>
      <c r="N47" s="100">
        <f>AVERAGE(N89:N100)</f>
        <v>0.06316666666666666</v>
      </c>
    </row>
    <row r="48" spans="1:14" ht="15" hidden="1">
      <c r="A48" s="87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  <row r="49" spans="1:14" ht="21.75" customHeight="1">
      <c r="A49" s="92">
        <v>2003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</row>
    <row r="50" spans="1:14" ht="15">
      <c r="A50" s="87" t="s">
        <v>38</v>
      </c>
      <c r="B50" s="100">
        <v>0.0425</v>
      </c>
      <c r="C50" s="100"/>
      <c r="D50" s="100">
        <v>0.0117</v>
      </c>
      <c r="E50" s="100"/>
      <c r="F50" s="100">
        <v>0.0405</v>
      </c>
      <c r="G50" s="100"/>
      <c r="H50" s="100"/>
      <c r="I50" s="100" t="s">
        <v>311</v>
      </c>
      <c r="J50" s="100">
        <v>0.0687</v>
      </c>
      <c r="K50" s="100"/>
      <c r="L50" s="100">
        <v>0.0706</v>
      </c>
      <c r="M50" s="100"/>
      <c r="N50" s="100">
        <v>0.0747</v>
      </c>
    </row>
    <row r="51" spans="1:14" ht="15">
      <c r="A51" s="87" t="s">
        <v>39</v>
      </c>
      <c r="B51" s="100">
        <v>0.0425</v>
      </c>
      <c r="C51" s="100"/>
      <c r="D51" s="100">
        <v>0.0116</v>
      </c>
      <c r="E51" s="100"/>
      <c r="F51" s="100">
        <v>0.039</v>
      </c>
      <c r="G51" s="100"/>
      <c r="H51" s="100"/>
      <c r="I51" s="100"/>
      <c r="J51" s="100">
        <v>0.0666</v>
      </c>
      <c r="K51" s="100"/>
      <c r="L51" s="100">
        <v>0.0693</v>
      </c>
      <c r="M51" s="100"/>
      <c r="N51" s="100">
        <v>0.0717</v>
      </c>
    </row>
    <row r="52" spans="1:14" ht="15">
      <c r="A52" s="87" t="s">
        <v>40</v>
      </c>
      <c r="B52" s="100">
        <v>0.0425</v>
      </c>
      <c r="C52" s="100"/>
      <c r="D52" s="100">
        <v>0.0113</v>
      </c>
      <c r="E52" s="100"/>
      <c r="F52" s="100">
        <v>0.0381</v>
      </c>
      <c r="G52" s="100"/>
      <c r="H52" s="100"/>
      <c r="I52" s="100"/>
      <c r="J52" s="100">
        <v>0.0656</v>
      </c>
      <c r="K52" s="100"/>
      <c r="L52" s="100">
        <v>0.0679</v>
      </c>
      <c r="M52" s="100"/>
      <c r="N52" s="100">
        <v>0.0705</v>
      </c>
    </row>
    <row r="53" spans="1:14" ht="15">
      <c r="A53" s="87" t="s">
        <v>41</v>
      </c>
      <c r="B53" s="100">
        <v>0.0425</v>
      </c>
      <c r="C53" s="100"/>
      <c r="D53" s="100">
        <v>0.0114</v>
      </c>
      <c r="E53" s="100"/>
      <c r="F53" s="100">
        <v>0.0396</v>
      </c>
      <c r="G53" s="100"/>
      <c r="H53" s="100"/>
      <c r="I53" s="100"/>
      <c r="J53" s="100">
        <v>0.0647</v>
      </c>
      <c r="K53" s="100"/>
      <c r="L53" s="100">
        <v>0.0664</v>
      </c>
      <c r="M53" s="100"/>
      <c r="N53" s="100">
        <v>0.0694</v>
      </c>
    </row>
    <row r="54" spans="1:14" ht="15">
      <c r="A54" s="87" t="s">
        <v>42</v>
      </c>
      <c r="B54" s="100">
        <v>0.0425</v>
      </c>
      <c r="C54" s="100"/>
      <c r="D54" s="100">
        <v>0.0108</v>
      </c>
      <c r="E54" s="100"/>
      <c r="F54" s="100">
        <v>0.0357</v>
      </c>
      <c r="G54" s="100"/>
      <c r="H54" s="100"/>
      <c r="I54" s="100"/>
      <c r="J54" s="100">
        <v>0.062</v>
      </c>
      <c r="K54" s="100"/>
      <c r="L54" s="100">
        <v>0.0636</v>
      </c>
      <c r="M54" s="100"/>
      <c r="N54" s="100">
        <v>0.0647</v>
      </c>
    </row>
    <row r="55" spans="1:14" ht="15">
      <c r="A55" s="87" t="s">
        <v>43</v>
      </c>
      <c r="B55" s="100">
        <v>0.04</v>
      </c>
      <c r="C55" s="100"/>
      <c r="D55" s="100">
        <v>0.0095</v>
      </c>
      <c r="E55" s="100"/>
      <c r="F55" s="100">
        <v>0.0333</v>
      </c>
      <c r="G55" s="100"/>
      <c r="H55" s="100"/>
      <c r="I55" s="100"/>
      <c r="J55" s="100">
        <v>0.0612</v>
      </c>
      <c r="K55" s="100"/>
      <c r="L55" s="100">
        <v>0.0621</v>
      </c>
      <c r="M55" s="100"/>
      <c r="N55" s="100">
        <v>0.063</v>
      </c>
    </row>
    <row r="56" spans="1:14" ht="15">
      <c r="A56" s="87" t="s">
        <v>44</v>
      </c>
      <c r="B56" s="100">
        <v>0.04</v>
      </c>
      <c r="C56" s="100"/>
      <c r="D56" s="100">
        <v>0.009</v>
      </c>
      <c r="E56" s="100"/>
      <c r="F56" s="100">
        <v>0.0398</v>
      </c>
      <c r="G56" s="100"/>
      <c r="H56" s="100"/>
      <c r="I56" s="100"/>
      <c r="J56" s="100">
        <v>0.0637</v>
      </c>
      <c r="K56" s="100"/>
      <c r="L56" s="100">
        <v>0.0657</v>
      </c>
      <c r="M56" s="100"/>
      <c r="N56" s="100">
        <v>0.0667</v>
      </c>
    </row>
    <row r="57" spans="1:14" ht="15">
      <c r="A57" s="87" t="s">
        <v>45</v>
      </c>
      <c r="B57" s="100">
        <v>0.04</v>
      </c>
      <c r="C57" s="100"/>
      <c r="D57" s="100">
        <v>0.0096</v>
      </c>
      <c r="E57" s="100"/>
      <c r="F57" s="100">
        <v>0.0445</v>
      </c>
      <c r="G57" s="100"/>
      <c r="H57" s="100"/>
      <c r="I57" s="100"/>
      <c r="J57" s="100">
        <v>0.0648</v>
      </c>
      <c r="K57" s="100"/>
      <c r="L57" s="100">
        <v>0.0678</v>
      </c>
      <c r="M57" s="100"/>
      <c r="N57" s="100">
        <v>0.0708</v>
      </c>
    </row>
    <row r="58" spans="1:14" ht="15">
      <c r="A58" s="87" t="s">
        <v>46</v>
      </c>
      <c r="B58" s="100">
        <v>0.04</v>
      </c>
      <c r="C58" s="100"/>
      <c r="D58" s="100">
        <v>0.0095</v>
      </c>
      <c r="E58" s="100"/>
      <c r="F58" s="100">
        <v>0.0427</v>
      </c>
      <c r="G58" s="100"/>
      <c r="H58" s="100"/>
      <c r="I58" s="100"/>
      <c r="J58" s="100">
        <v>0.063</v>
      </c>
      <c r="K58" s="100"/>
      <c r="L58" s="100">
        <v>0.0656</v>
      </c>
      <c r="M58" s="100"/>
      <c r="N58" s="100">
        <v>0.0687</v>
      </c>
    </row>
    <row r="59" spans="1:14" ht="15">
      <c r="A59" s="87" t="s">
        <v>47</v>
      </c>
      <c r="B59" s="100">
        <v>0.04</v>
      </c>
      <c r="C59" s="100"/>
      <c r="D59" s="100">
        <v>0.0093</v>
      </c>
      <c r="E59" s="100"/>
      <c r="F59" s="100">
        <v>0.0429</v>
      </c>
      <c r="G59" s="100"/>
      <c r="H59" s="100"/>
      <c r="I59" s="100"/>
      <c r="J59" s="100">
        <v>0.0628</v>
      </c>
      <c r="K59" s="100"/>
      <c r="L59" s="100">
        <v>0.0643</v>
      </c>
      <c r="M59" s="100"/>
      <c r="N59" s="100">
        <v>0.0679</v>
      </c>
    </row>
    <row r="60" spans="1:14" ht="15">
      <c r="A60" s="87" t="s">
        <v>48</v>
      </c>
      <c r="B60" s="100">
        <v>0.04</v>
      </c>
      <c r="C60" s="100"/>
      <c r="D60" s="100">
        <v>0.0094</v>
      </c>
      <c r="E60" s="100"/>
      <c r="F60" s="100">
        <v>0.043</v>
      </c>
      <c r="G60" s="100"/>
      <c r="H60" s="100"/>
      <c r="I60" s="100"/>
      <c r="J60" s="100">
        <v>0.0626</v>
      </c>
      <c r="K60" s="100"/>
      <c r="L60" s="100">
        <v>0.0637</v>
      </c>
      <c r="M60" s="100"/>
      <c r="N60" s="100">
        <v>0.0669</v>
      </c>
    </row>
    <row r="61" spans="1:14" ht="15">
      <c r="A61" s="87" t="s">
        <v>49</v>
      </c>
      <c r="B61" s="100">
        <v>0.04</v>
      </c>
      <c r="C61" s="100"/>
      <c r="D61" s="100">
        <v>0.009</v>
      </c>
      <c r="E61" s="100"/>
      <c r="F61" s="100">
        <v>0.0427</v>
      </c>
      <c r="G61" s="100"/>
      <c r="H61" s="100"/>
      <c r="I61" s="100"/>
      <c r="J61" s="100">
        <v>0.0618</v>
      </c>
      <c r="K61" s="100"/>
      <c r="L61" s="100">
        <v>0.0627</v>
      </c>
      <c r="M61" s="100"/>
      <c r="N61" s="100">
        <v>0.0661</v>
      </c>
    </row>
    <row r="62" spans="1:14" ht="21.75" customHeight="1">
      <c r="A62" s="92">
        <v>2004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5">
      <c r="A63" s="87" t="s">
        <v>38</v>
      </c>
      <c r="B63" s="100">
        <v>0.04</v>
      </c>
      <c r="C63" s="100"/>
      <c r="D63" s="100">
        <v>0.0089</v>
      </c>
      <c r="E63" s="100"/>
      <c r="F63" s="100">
        <v>0.0415</v>
      </c>
      <c r="G63" s="100"/>
      <c r="H63" s="100"/>
      <c r="I63" s="100"/>
      <c r="J63" s="100">
        <v>0.0606</v>
      </c>
      <c r="K63" s="100"/>
      <c r="L63" s="100">
        <v>0.0615</v>
      </c>
      <c r="M63" s="100"/>
      <c r="N63" s="100">
        <v>0.0647</v>
      </c>
    </row>
    <row r="64" spans="1:14" ht="15">
      <c r="A64" s="87" t="s">
        <v>39</v>
      </c>
      <c r="B64" s="100">
        <v>0.04</v>
      </c>
      <c r="C64" s="100"/>
      <c r="D64" s="100">
        <v>0.0092</v>
      </c>
      <c r="E64" s="100"/>
      <c r="F64" s="100">
        <v>0.0408</v>
      </c>
      <c r="G64" s="100"/>
      <c r="H64" s="100"/>
      <c r="I64" s="100"/>
      <c r="J64" s="100">
        <v>0.061</v>
      </c>
      <c r="K64" s="100"/>
      <c r="L64" s="100">
        <v>0.0615</v>
      </c>
      <c r="M64" s="100"/>
      <c r="N64" s="100">
        <v>0.0628</v>
      </c>
    </row>
    <row r="65" spans="1:14" ht="15">
      <c r="A65" s="87" t="s">
        <v>40</v>
      </c>
      <c r="B65" s="100">
        <v>0.04</v>
      </c>
      <c r="C65" s="100"/>
      <c r="D65" s="100">
        <v>0.0094</v>
      </c>
      <c r="E65" s="100"/>
      <c r="F65" s="100">
        <v>0.0383</v>
      </c>
      <c r="G65" s="100"/>
      <c r="H65" s="100"/>
      <c r="I65" s="100"/>
      <c r="J65" s="100">
        <v>0.0593</v>
      </c>
      <c r="K65" s="100"/>
      <c r="L65" s="100">
        <v>0.0597</v>
      </c>
      <c r="M65" s="100"/>
      <c r="N65" s="100">
        <v>0.0612</v>
      </c>
    </row>
    <row r="66" spans="1:14" ht="15">
      <c r="A66" s="87" t="s">
        <v>41</v>
      </c>
      <c r="B66" s="100">
        <v>0.04</v>
      </c>
      <c r="C66" s="100"/>
      <c r="D66" s="100">
        <v>0.0094</v>
      </c>
      <c r="E66" s="100"/>
      <c r="F66" s="100">
        <v>0.0435</v>
      </c>
      <c r="G66" s="100"/>
      <c r="H66" s="100"/>
      <c r="I66" s="100"/>
      <c r="J66" s="100">
        <v>0.0633</v>
      </c>
      <c r="K66" s="100"/>
      <c r="L66" s="100">
        <v>0.0635</v>
      </c>
      <c r="M66" s="100"/>
      <c r="N66" s="100">
        <v>0.0646</v>
      </c>
    </row>
    <row r="67" spans="1:14" ht="15">
      <c r="A67" s="87" t="s">
        <v>42</v>
      </c>
      <c r="B67" s="100">
        <v>0.04</v>
      </c>
      <c r="C67" s="100"/>
      <c r="D67" s="100">
        <v>0.0104</v>
      </c>
      <c r="E67" s="100"/>
      <c r="F67" s="100">
        <v>0.0472</v>
      </c>
      <c r="G67" s="100"/>
      <c r="H67" s="100"/>
      <c r="I67" s="100"/>
      <c r="J67" s="100">
        <v>0.0666</v>
      </c>
      <c r="K67" s="100"/>
      <c r="L67" s="100">
        <v>0.0662</v>
      </c>
      <c r="M67" s="100"/>
      <c r="N67" s="100">
        <v>0.0675</v>
      </c>
    </row>
    <row r="68" spans="1:14" ht="15">
      <c r="A68" s="87" t="s">
        <v>43</v>
      </c>
      <c r="B68" s="100">
        <v>0.04</v>
      </c>
      <c r="C68" s="100"/>
      <c r="D68" s="100">
        <v>0.0127</v>
      </c>
      <c r="E68" s="100"/>
      <c r="F68" s="100">
        <v>0.0473</v>
      </c>
      <c r="G68" s="100"/>
      <c r="H68" s="100"/>
      <c r="I68" s="100"/>
      <c r="J68" s="100">
        <v>0.063</v>
      </c>
      <c r="K68" s="100"/>
      <c r="L68" s="100">
        <v>0.0646</v>
      </c>
      <c r="M68" s="100"/>
      <c r="N68" s="100">
        <v>0.0684</v>
      </c>
    </row>
    <row r="69" spans="1:14" ht="15">
      <c r="A69" s="87" t="s">
        <v>44</v>
      </c>
      <c r="B69" s="100">
        <v>0.0425</v>
      </c>
      <c r="C69" s="100"/>
      <c r="D69" s="100">
        <v>0.0135</v>
      </c>
      <c r="E69" s="100"/>
      <c r="F69" s="100">
        <v>0.045</v>
      </c>
      <c r="G69" s="100"/>
      <c r="H69" s="100"/>
      <c r="I69" s="100"/>
      <c r="J69" s="100">
        <v>0.0609</v>
      </c>
      <c r="K69" s="100"/>
      <c r="L69" s="100">
        <v>0.0627</v>
      </c>
      <c r="M69" s="100"/>
      <c r="N69" s="100">
        <v>0.0667</v>
      </c>
    </row>
    <row r="70" spans="1:14" ht="15">
      <c r="A70" s="87" t="s">
        <v>45</v>
      </c>
      <c r="B70" s="100">
        <v>0.045</v>
      </c>
      <c r="C70" s="100"/>
      <c r="D70" s="100">
        <v>0.0148</v>
      </c>
      <c r="E70" s="100"/>
      <c r="F70" s="100">
        <v>0.0428</v>
      </c>
      <c r="G70" s="100"/>
      <c r="H70" s="100"/>
      <c r="I70" s="100"/>
      <c r="J70" s="100">
        <v>0.0595</v>
      </c>
      <c r="K70" s="100"/>
      <c r="L70" s="100">
        <v>0.0614</v>
      </c>
      <c r="M70" s="100"/>
      <c r="N70" s="100">
        <v>0.0645</v>
      </c>
    </row>
    <row r="71" spans="1:14" ht="15">
      <c r="A71" s="87" t="s">
        <v>46</v>
      </c>
      <c r="B71" s="100">
        <v>0.0475</v>
      </c>
      <c r="C71" s="100"/>
      <c r="D71" s="100">
        <v>0.0165</v>
      </c>
      <c r="E71" s="100"/>
      <c r="F71" s="100">
        <v>0.0413</v>
      </c>
      <c r="G71" s="100"/>
      <c r="H71" s="100"/>
      <c r="I71" s="100"/>
      <c r="J71" s="100">
        <v>0.0579</v>
      </c>
      <c r="K71" s="100"/>
      <c r="L71" s="100">
        <v>0.0598</v>
      </c>
      <c r="M71" s="100"/>
      <c r="N71" s="100">
        <v>0.0627</v>
      </c>
    </row>
    <row r="72" spans="1:14" ht="15">
      <c r="A72" s="87" t="s">
        <v>47</v>
      </c>
      <c r="B72" s="100">
        <v>0.0475</v>
      </c>
      <c r="C72" s="100"/>
      <c r="D72" s="100">
        <v>0.0175</v>
      </c>
      <c r="E72" s="100"/>
      <c r="F72" s="100">
        <v>0.041</v>
      </c>
      <c r="G72" s="100"/>
      <c r="H72" s="100"/>
      <c r="I72" s="100"/>
      <c r="J72" s="100">
        <v>0.0574</v>
      </c>
      <c r="K72" s="100"/>
      <c r="L72" s="100">
        <v>0.0594</v>
      </c>
      <c r="M72" s="100"/>
      <c r="N72" s="100">
        <v>0.0617</v>
      </c>
    </row>
    <row r="73" spans="1:14" ht="15">
      <c r="A73" s="87" t="s">
        <v>48</v>
      </c>
      <c r="B73" s="100">
        <v>0.05</v>
      </c>
      <c r="C73" s="100"/>
      <c r="D73" s="100">
        <v>0.0206</v>
      </c>
      <c r="E73" s="100"/>
      <c r="F73" s="100">
        <v>0.0419</v>
      </c>
      <c r="G73" s="100"/>
      <c r="H73" s="100"/>
      <c r="I73" s="100"/>
      <c r="J73" s="100">
        <v>0.0579</v>
      </c>
      <c r="K73" s="100"/>
      <c r="L73" s="100">
        <v>0.0597</v>
      </c>
      <c r="M73" s="100"/>
      <c r="N73" s="100">
        <v>0.0616</v>
      </c>
    </row>
    <row r="74" spans="1:14" ht="15">
      <c r="A74" s="87" t="s">
        <v>49</v>
      </c>
      <c r="B74" s="100">
        <v>0.0525</v>
      </c>
      <c r="C74" s="100"/>
      <c r="D74" s="100">
        <v>0.022</v>
      </c>
      <c r="E74" s="100"/>
      <c r="F74" s="100">
        <v>0.0423</v>
      </c>
      <c r="G74" s="100"/>
      <c r="H74" s="100"/>
      <c r="I74" s="100"/>
      <c r="J74" s="100">
        <v>0.0578</v>
      </c>
      <c r="K74" s="100"/>
      <c r="L74" s="100">
        <v>0.0592</v>
      </c>
      <c r="M74" s="100"/>
      <c r="N74" s="100">
        <v>0.061</v>
      </c>
    </row>
    <row r="75" spans="1:14" ht="21.75" customHeight="1">
      <c r="A75" s="92">
        <v>2005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ht="15">
      <c r="A76" s="87" t="s">
        <v>38</v>
      </c>
      <c r="B76" s="100">
        <v>0.0525</v>
      </c>
      <c r="C76" s="100"/>
      <c r="D76" s="100">
        <v>0.0232</v>
      </c>
      <c r="E76" s="100"/>
      <c r="F76" s="100">
        <v>0.0422</v>
      </c>
      <c r="G76" s="100"/>
      <c r="H76" s="100"/>
      <c r="I76" s="100"/>
      <c r="J76" s="100">
        <v>0.0568</v>
      </c>
      <c r="K76" s="100"/>
      <c r="L76" s="100">
        <v>0.0578</v>
      </c>
      <c r="M76" s="100"/>
      <c r="N76" s="100">
        <v>0.0595</v>
      </c>
    </row>
    <row r="77" spans="1:14" ht="15">
      <c r="A77" s="87" t="s">
        <v>39</v>
      </c>
      <c r="B77" s="100">
        <v>0.055</v>
      </c>
      <c r="C77" s="100"/>
      <c r="D77" s="100">
        <v>0.0253</v>
      </c>
      <c r="E77" s="100"/>
      <c r="F77" s="100">
        <v>0.0417</v>
      </c>
      <c r="G77" s="100"/>
      <c r="H77" s="100"/>
      <c r="I77" s="100"/>
      <c r="J77" s="100">
        <v>0.0555</v>
      </c>
      <c r="K77" s="100"/>
      <c r="L77" s="100">
        <v>0.0561</v>
      </c>
      <c r="M77" s="100"/>
      <c r="N77" s="100">
        <v>0.0576</v>
      </c>
    </row>
    <row r="78" spans="1:14" ht="15">
      <c r="A78" s="87" t="s">
        <v>40</v>
      </c>
      <c r="B78" s="100">
        <v>0.0575</v>
      </c>
      <c r="C78" s="100"/>
      <c r="D78" s="100">
        <v>0.0275</v>
      </c>
      <c r="E78" s="100"/>
      <c r="F78" s="100">
        <v>0.045</v>
      </c>
      <c r="G78" s="100"/>
      <c r="H78" s="100"/>
      <c r="I78" s="100"/>
      <c r="J78" s="100">
        <v>0.0576</v>
      </c>
      <c r="K78" s="100"/>
      <c r="L78" s="100">
        <v>0.0583</v>
      </c>
      <c r="M78" s="100"/>
      <c r="N78" s="100">
        <v>0.0601</v>
      </c>
    </row>
    <row r="79" spans="1:14" ht="15">
      <c r="A79" s="87" t="s">
        <v>41</v>
      </c>
      <c r="B79" s="100">
        <v>0.0575</v>
      </c>
      <c r="C79" s="100"/>
      <c r="D79" s="100">
        <v>0.0279</v>
      </c>
      <c r="E79" s="100"/>
      <c r="F79" s="100">
        <v>0.0434</v>
      </c>
      <c r="G79" s="100"/>
      <c r="H79" s="100"/>
      <c r="I79" s="100"/>
      <c r="J79" s="100">
        <v>0.0556</v>
      </c>
      <c r="K79" s="100"/>
      <c r="L79" s="100">
        <v>0.0564</v>
      </c>
      <c r="M79" s="100"/>
      <c r="N79" s="100">
        <v>0.0595</v>
      </c>
    </row>
    <row r="80" spans="1:14" ht="15">
      <c r="A80" s="87" t="s">
        <v>42</v>
      </c>
      <c r="B80" s="100">
        <v>0.06</v>
      </c>
      <c r="C80" s="100"/>
      <c r="D80" s="100">
        <v>0.0286</v>
      </c>
      <c r="E80" s="100"/>
      <c r="F80" s="100">
        <v>0.0414</v>
      </c>
      <c r="G80" s="100"/>
      <c r="H80" s="100"/>
      <c r="I80" s="100"/>
      <c r="J80" s="100">
        <v>0.0539</v>
      </c>
      <c r="K80" s="100"/>
      <c r="L80" s="100">
        <v>0.0553</v>
      </c>
      <c r="M80" s="100"/>
      <c r="N80" s="100">
        <v>0.0588</v>
      </c>
    </row>
    <row r="81" spans="1:14" ht="15">
      <c r="A81" s="87" t="s">
        <v>43</v>
      </c>
      <c r="B81" s="100">
        <v>0.0625</v>
      </c>
      <c r="C81" s="100"/>
      <c r="D81" s="100">
        <v>0.0299</v>
      </c>
      <c r="E81" s="100"/>
      <c r="F81" s="100">
        <v>0.04</v>
      </c>
      <c r="G81" s="100"/>
      <c r="H81" s="100"/>
      <c r="I81" s="100"/>
      <c r="J81" s="100">
        <v>0.0505</v>
      </c>
      <c r="K81" s="100"/>
      <c r="L81" s="100">
        <v>0.054</v>
      </c>
      <c r="M81" s="100"/>
      <c r="N81" s="100">
        <v>0.057</v>
      </c>
    </row>
    <row r="82" spans="1:14" ht="15">
      <c r="A82" s="87" t="s">
        <v>44</v>
      </c>
      <c r="B82" s="100">
        <v>0.0625</v>
      </c>
      <c r="C82" s="100"/>
      <c r="D82" s="100">
        <v>0.0322</v>
      </c>
      <c r="E82" s="100"/>
      <c r="F82" s="100">
        <v>0.0418</v>
      </c>
      <c r="G82" s="100"/>
      <c r="H82" s="100"/>
      <c r="I82" s="100"/>
      <c r="J82" s="100">
        <v>0.0518</v>
      </c>
      <c r="K82" s="100"/>
      <c r="L82" s="100">
        <v>0.0551</v>
      </c>
      <c r="M82" s="100"/>
      <c r="N82" s="100">
        <v>0.0581</v>
      </c>
    </row>
    <row r="83" spans="1:14" ht="15">
      <c r="A83" s="87" t="s">
        <v>45</v>
      </c>
      <c r="B83" s="100">
        <v>0.065</v>
      </c>
      <c r="C83" s="100"/>
      <c r="D83" s="100">
        <v>0.0345</v>
      </c>
      <c r="E83" s="100"/>
      <c r="F83" s="100">
        <v>0.0426</v>
      </c>
      <c r="G83" s="100"/>
      <c r="H83" s="100"/>
      <c r="I83" s="100"/>
      <c r="J83" s="100">
        <v>0.0523</v>
      </c>
      <c r="K83" s="100"/>
      <c r="L83" s="100">
        <v>0.055</v>
      </c>
      <c r="M83" s="100"/>
      <c r="N83" s="100">
        <v>0.058</v>
      </c>
    </row>
    <row r="84" spans="1:14" ht="15">
      <c r="A84" s="87" t="s">
        <v>46</v>
      </c>
      <c r="B84" s="100">
        <v>0.0675</v>
      </c>
      <c r="C84" s="100"/>
      <c r="D84" s="100">
        <v>0.0347</v>
      </c>
      <c r="E84" s="100"/>
      <c r="F84" s="100">
        <v>0.042</v>
      </c>
      <c r="G84" s="100"/>
      <c r="H84" s="100"/>
      <c r="I84" s="100"/>
      <c r="J84" s="100">
        <v>0.0527</v>
      </c>
      <c r="K84" s="100"/>
      <c r="L84" s="100">
        <v>0.0552</v>
      </c>
      <c r="M84" s="100"/>
      <c r="N84" s="100">
        <v>0.0583</v>
      </c>
    </row>
    <row r="85" spans="1:14" ht="15">
      <c r="A85" s="87" t="s">
        <v>47</v>
      </c>
      <c r="B85" s="100">
        <v>0.0675</v>
      </c>
      <c r="C85" s="100"/>
      <c r="D85" s="100">
        <v>0.037</v>
      </c>
      <c r="E85" s="100"/>
      <c r="F85" s="100">
        <v>0.0446</v>
      </c>
      <c r="G85" s="100"/>
      <c r="H85" s="100"/>
      <c r="I85" s="100"/>
      <c r="J85" s="100">
        <v>0.055</v>
      </c>
      <c r="K85" s="100"/>
      <c r="L85" s="100">
        <v>0.0579</v>
      </c>
      <c r="M85" s="100"/>
      <c r="N85" s="100">
        <v>0.0608</v>
      </c>
    </row>
    <row r="86" spans="1:14" ht="15">
      <c r="A86" s="87" t="s">
        <v>48</v>
      </c>
      <c r="B86" s="100">
        <v>0.07</v>
      </c>
      <c r="C86" s="100"/>
      <c r="D86" s="100">
        <v>0.039</v>
      </c>
      <c r="E86" s="100"/>
      <c r="F86" s="100">
        <v>0.0454</v>
      </c>
      <c r="G86" s="100"/>
      <c r="H86" s="100"/>
      <c r="I86" s="100"/>
      <c r="J86" s="100">
        <v>0.0559</v>
      </c>
      <c r="K86" s="100"/>
      <c r="L86" s="100">
        <v>0.0588</v>
      </c>
      <c r="M86" s="100"/>
      <c r="N86" s="100">
        <v>0.0619</v>
      </c>
    </row>
    <row r="87" spans="1:14" ht="15">
      <c r="A87" s="87" t="s">
        <v>49</v>
      </c>
      <c r="B87" s="100">
        <v>0.0725</v>
      </c>
      <c r="C87" s="100"/>
      <c r="D87" s="100">
        <v>0.0389</v>
      </c>
      <c r="E87" s="100"/>
      <c r="F87" s="100">
        <v>0.0447</v>
      </c>
      <c r="G87" s="100"/>
      <c r="H87" s="100"/>
      <c r="I87" s="100"/>
      <c r="J87" s="100">
        <v>0.0555</v>
      </c>
      <c r="K87" s="100"/>
      <c r="L87" s="100">
        <v>0.058</v>
      </c>
      <c r="M87" s="100"/>
      <c r="N87" s="100">
        <v>0.0614</v>
      </c>
    </row>
    <row r="88" spans="1:14" ht="21.75" customHeight="1">
      <c r="A88" s="92">
        <v>2006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ht="15">
      <c r="A89" s="87" t="s">
        <v>38</v>
      </c>
      <c r="B89" s="100">
        <v>0.075</v>
      </c>
      <c r="C89" s="100"/>
      <c r="D89" s="100">
        <v>0.042</v>
      </c>
      <c r="E89" s="100"/>
      <c r="F89" s="100">
        <v>0.0442</v>
      </c>
      <c r="G89" s="100"/>
      <c r="H89" s="100"/>
      <c r="I89" s="100"/>
      <c r="J89" s="100">
        <v>0.055</v>
      </c>
      <c r="K89" s="100"/>
      <c r="L89" s="100">
        <v>0.0575</v>
      </c>
      <c r="M89" s="100"/>
      <c r="N89" s="100">
        <v>0.0606</v>
      </c>
    </row>
    <row r="90" spans="1:14" ht="15">
      <c r="A90" s="87" t="s">
        <v>39</v>
      </c>
      <c r="B90" s="100">
        <v>0.075</v>
      </c>
      <c r="C90" s="100"/>
      <c r="D90" s="100">
        <v>0.0441</v>
      </c>
      <c r="E90" s="100"/>
      <c r="F90" s="100">
        <v>0.0457</v>
      </c>
      <c r="G90" s="100"/>
      <c r="H90" s="100"/>
      <c r="I90" s="100"/>
      <c r="J90" s="100">
        <v>0.0555</v>
      </c>
      <c r="K90" s="100"/>
      <c r="L90" s="100">
        <v>0.0582</v>
      </c>
      <c r="M90" s="100"/>
      <c r="N90" s="100">
        <v>0.0611</v>
      </c>
    </row>
    <row r="91" spans="1:14" ht="15">
      <c r="A91" s="87" t="s">
        <v>40</v>
      </c>
      <c r="B91" s="100">
        <v>0.0775</v>
      </c>
      <c r="C91" s="100"/>
      <c r="D91" s="100">
        <v>0.0451</v>
      </c>
      <c r="E91" s="100"/>
      <c r="F91" s="100">
        <v>0.0472</v>
      </c>
      <c r="G91" s="100"/>
      <c r="H91" s="100"/>
      <c r="I91" s="100"/>
      <c r="J91" s="100">
        <v>0.0571</v>
      </c>
      <c r="K91" s="100"/>
      <c r="L91" s="100">
        <v>0.0598</v>
      </c>
      <c r="M91" s="100"/>
      <c r="N91" s="100">
        <v>0.0626</v>
      </c>
    </row>
    <row r="92" spans="1:14" ht="15">
      <c r="A92" s="87" t="s">
        <v>41</v>
      </c>
      <c r="B92" s="100">
        <v>0.0775</v>
      </c>
      <c r="C92" s="100"/>
      <c r="D92" s="100">
        <v>0.0459</v>
      </c>
      <c r="E92" s="100"/>
      <c r="F92" s="100">
        <v>0.0499</v>
      </c>
      <c r="G92" s="100"/>
      <c r="H92" s="100"/>
      <c r="I92" s="100"/>
      <c r="J92" s="100">
        <v>0.0602</v>
      </c>
      <c r="K92" s="100"/>
      <c r="L92" s="100">
        <v>0.0629</v>
      </c>
      <c r="M92" s="100"/>
      <c r="N92" s="100">
        <v>0.0654</v>
      </c>
    </row>
    <row r="93" spans="1:14" ht="15">
      <c r="A93" s="87" t="s">
        <v>42</v>
      </c>
      <c r="B93" s="100">
        <v>0.08</v>
      </c>
      <c r="C93" s="100"/>
      <c r="D93" s="100">
        <v>0.0472</v>
      </c>
      <c r="E93" s="100"/>
      <c r="F93" s="100">
        <v>0.0511</v>
      </c>
      <c r="G93" s="100"/>
      <c r="H93" s="100"/>
      <c r="I93" s="100"/>
      <c r="J93" s="100">
        <v>0.0616</v>
      </c>
      <c r="K93" s="100"/>
      <c r="L93" s="100">
        <v>0.0642</v>
      </c>
      <c r="M93" s="100"/>
      <c r="N93" s="100">
        <v>0.0659</v>
      </c>
    </row>
    <row r="94" spans="1:14" ht="15">
      <c r="A94" s="87" t="s">
        <v>43</v>
      </c>
      <c r="B94" s="100">
        <v>0.0825</v>
      </c>
      <c r="C94" s="100"/>
      <c r="D94" s="100">
        <v>0.0479</v>
      </c>
      <c r="E94" s="100"/>
      <c r="F94" s="100">
        <v>0.0511</v>
      </c>
      <c r="G94" s="100"/>
      <c r="H94" s="100"/>
      <c r="I94" s="100"/>
      <c r="J94" s="100">
        <v>0.0616</v>
      </c>
      <c r="K94" s="100"/>
      <c r="L94" s="100">
        <v>0.064</v>
      </c>
      <c r="M94" s="100"/>
      <c r="N94" s="100">
        <v>0.0661</v>
      </c>
    </row>
    <row r="95" spans="1:14" ht="15">
      <c r="A95" s="87" t="s">
        <v>44</v>
      </c>
      <c r="B95" s="100">
        <v>0.0825</v>
      </c>
      <c r="C95" s="100"/>
      <c r="D95" s="100">
        <v>0.0496</v>
      </c>
      <c r="E95" s="100"/>
      <c r="F95" s="100">
        <v>0.0509</v>
      </c>
      <c r="G95" s="100"/>
      <c r="H95" s="100"/>
      <c r="I95" s="100"/>
      <c r="J95" s="100">
        <v>0.0613</v>
      </c>
      <c r="K95" s="100"/>
      <c r="L95" s="100">
        <v>0.0637</v>
      </c>
      <c r="M95" s="100"/>
      <c r="N95" s="100">
        <v>0.0661</v>
      </c>
    </row>
    <row r="96" spans="1:14" ht="15">
      <c r="A96" s="87" t="s">
        <v>45</v>
      </c>
      <c r="B96" s="100">
        <v>0.0825</v>
      </c>
      <c r="C96" s="100"/>
      <c r="D96" s="100">
        <v>0.0498</v>
      </c>
      <c r="E96" s="100"/>
      <c r="F96" s="100">
        <v>0.0488</v>
      </c>
      <c r="G96" s="100"/>
      <c r="H96" s="100"/>
      <c r="I96" s="100"/>
      <c r="J96" s="100">
        <v>0.0597</v>
      </c>
      <c r="K96" s="100"/>
      <c r="L96" s="100">
        <v>0.062</v>
      </c>
      <c r="M96" s="100"/>
      <c r="N96" s="100">
        <v>0.0643</v>
      </c>
    </row>
    <row r="97" spans="1:14" ht="15">
      <c r="A97" s="87" t="s">
        <v>46</v>
      </c>
      <c r="B97" s="100">
        <v>0.0825</v>
      </c>
      <c r="C97" s="100"/>
      <c r="D97" s="100">
        <v>0.0482</v>
      </c>
      <c r="E97" s="100"/>
      <c r="F97" s="100">
        <v>0.0472</v>
      </c>
      <c r="G97" s="100"/>
      <c r="H97" s="100"/>
      <c r="I97" s="100"/>
      <c r="J97" s="100">
        <v>0.0581</v>
      </c>
      <c r="K97" s="100"/>
      <c r="L97" s="100">
        <v>0.06</v>
      </c>
      <c r="M97" s="100"/>
      <c r="N97" s="100">
        <v>0.0626</v>
      </c>
    </row>
    <row r="98" spans="1:14" ht="15">
      <c r="A98" s="87" t="s">
        <v>47</v>
      </c>
      <c r="B98" s="100">
        <v>0.0825</v>
      </c>
      <c r="C98" s="100"/>
      <c r="D98" s="100">
        <v>0.0489</v>
      </c>
      <c r="E98" s="100"/>
      <c r="F98" s="100">
        <v>0.0473</v>
      </c>
      <c r="G98" s="100"/>
      <c r="H98" s="100"/>
      <c r="I98" s="100"/>
      <c r="J98" s="100">
        <v>0.058</v>
      </c>
      <c r="K98" s="100"/>
      <c r="L98" s="100">
        <v>0.0598</v>
      </c>
      <c r="M98" s="100"/>
      <c r="N98" s="100">
        <v>0.0624</v>
      </c>
    </row>
    <row r="99" spans="1:14" ht="15">
      <c r="A99" s="128" t="s">
        <v>48</v>
      </c>
      <c r="B99" s="115">
        <v>0.0825</v>
      </c>
      <c r="C99" s="115"/>
      <c r="D99" s="115">
        <v>0.0495</v>
      </c>
      <c r="E99" s="115"/>
      <c r="F99" s="115">
        <v>0.046</v>
      </c>
      <c r="G99" s="115"/>
      <c r="H99" s="115"/>
      <c r="I99" s="115"/>
      <c r="J99" s="115">
        <v>0.0561</v>
      </c>
      <c r="K99" s="115"/>
      <c r="L99" s="115">
        <v>0.058</v>
      </c>
      <c r="M99" s="115"/>
      <c r="N99" s="115">
        <v>0.0604</v>
      </c>
    </row>
    <row r="100" spans="1:14" ht="15">
      <c r="A100" s="128" t="s">
        <v>49</v>
      </c>
      <c r="B100" s="115">
        <v>0.0825</v>
      </c>
      <c r="C100" s="115"/>
      <c r="D100" s="115">
        <v>0.0485</v>
      </c>
      <c r="E100" s="115"/>
      <c r="F100" s="115">
        <v>0.0456</v>
      </c>
      <c r="G100" s="115"/>
      <c r="H100" s="115"/>
      <c r="I100" s="115"/>
      <c r="J100" s="115">
        <v>0.0562</v>
      </c>
      <c r="K100" s="115"/>
      <c r="L100" s="115">
        <v>0.0581</v>
      </c>
      <c r="M100" s="115"/>
      <c r="N100" s="115">
        <v>0.0605</v>
      </c>
    </row>
    <row r="101" spans="1:14" ht="15">
      <c r="A101" s="128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</row>
    <row r="102" spans="1:14" ht="15.75">
      <c r="A102" s="170">
        <v>2007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1:14" ht="15">
      <c r="A103" s="87" t="s">
        <v>38</v>
      </c>
      <c r="B103" s="115">
        <v>0.0825</v>
      </c>
      <c r="C103" s="115"/>
      <c r="D103" s="115">
        <v>0.0496</v>
      </c>
      <c r="E103" s="115"/>
      <c r="F103" s="115">
        <v>0.0476</v>
      </c>
      <c r="G103" s="115"/>
      <c r="H103" s="115"/>
      <c r="I103" s="115"/>
      <c r="J103" s="115">
        <v>0.0578</v>
      </c>
      <c r="K103" s="115"/>
      <c r="L103" s="115">
        <v>0.0596</v>
      </c>
      <c r="M103" s="115"/>
      <c r="N103" s="115">
        <v>0.0616</v>
      </c>
    </row>
    <row r="104" spans="1:14" ht="15">
      <c r="A104" s="87" t="s">
        <v>39</v>
      </c>
      <c r="B104" s="115">
        <v>0.0825</v>
      </c>
      <c r="C104" s="115"/>
      <c r="D104" s="115">
        <v>0.0502</v>
      </c>
      <c r="E104" s="115"/>
      <c r="F104" s="115">
        <v>0.0472</v>
      </c>
      <c r="G104" s="115"/>
      <c r="H104" s="115"/>
      <c r="I104" s="115"/>
      <c r="J104" s="115">
        <v>0.0573</v>
      </c>
      <c r="K104" s="115"/>
      <c r="L104" s="115">
        <v>0.059</v>
      </c>
      <c r="M104" s="115"/>
      <c r="N104" s="115">
        <v>0.061</v>
      </c>
    </row>
    <row r="105" spans="1:14" ht="15">
      <c r="A105" s="87" t="s">
        <v>40</v>
      </c>
      <c r="B105" s="115">
        <v>0.0825</v>
      </c>
      <c r="C105" s="115"/>
      <c r="D105" s="115">
        <v>0.0497</v>
      </c>
      <c r="E105" s="115"/>
      <c r="F105" s="115">
        <v>0.0456</v>
      </c>
      <c r="G105" s="115"/>
      <c r="H105" s="115"/>
      <c r="I105" s="115"/>
      <c r="J105" s="115">
        <v>0.0566</v>
      </c>
      <c r="K105" s="115"/>
      <c r="L105" s="115">
        <v>0.0585</v>
      </c>
      <c r="M105" s="115"/>
      <c r="N105" s="115">
        <v>0.061</v>
      </c>
    </row>
    <row r="106" spans="1:14" ht="15">
      <c r="A106" s="87" t="s">
        <v>41</v>
      </c>
      <c r="B106" s="115">
        <v>0.0825</v>
      </c>
      <c r="C106" s="115"/>
      <c r="D106" s="115">
        <v>0.0488</v>
      </c>
      <c r="E106" s="115"/>
      <c r="F106" s="115">
        <v>0.0469</v>
      </c>
      <c r="G106" s="115"/>
      <c r="H106" s="115"/>
      <c r="I106" s="115"/>
      <c r="J106" s="115">
        <v>0.0583</v>
      </c>
      <c r="K106" s="115"/>
      <c r="L106" s="115">
        <v>0.0597</v>
      </c>
      <c r="M106" s="115"/>
      <c r="N106" s="115">
        <v>0.0624</v>
      </c>
    </row>
    <row r="107" spans="1:14" ht="15">
      <c r="A107" s="87" t="s">
        <v>42</v>
      </c>
      <c r="B107" s="115">
        <v>0.0825</v>
      </c>
      <c r="C107" s="115"/>
      <c r="D107" s="115">
        <v>0.0477</v>
      </c>
      <c r="E107" s="115"/>
      <c r="F107" s="115">
        <v>0.0475</v>
      </c>
      <c r="G107" s="115"/>
      <c r="H107" s="115"/>
      <c r="I107" s="115"/>
      <c r="J107" s="115">
        <v>0.0586</v>
      </c>
      <c r="K107" s="115"/>
      <c r="L107" s="115">
        <v>0.0599</v>
      </c>
      <c r="M107" s="115"/>
      <c r="N107" s="115">
        <v>0.0623</v>
      </c>
    </row>
    <row r="108" spans="1:14" ht="15">
      <c r="A108" s="87" t="s">
        <v>43</v>
      </c>
      <c r="B108" s="115">
        <v>0.0825</v>
      </c>
      <c r="C108" s="115"/>
      <c r="D108" s="115">
        <v>0.0463</v>
      </c>
      <c r="E108" s="115"/>
      <c r="F108" s="115">
        <v>0.051</v>
      </c>
      <c r="G108" s="115"/>
      <c r="H108" s="115"/>
      <c r="I108" s="115"/>
      <c r="J108" s="115">
        <v>0.0618</v>
      </c>
      <c r="K108" s="115"/>
      <c r="L108" s="115">
        <v>0.063</v>
      </c>
      <c r="M108" s="115"/>
      <c r="N108" s="115">
        <v>0.0654</v>
      </c>
    </row>
    <row r="109" spans="1:14" ht="15">
      <c r="A109" s="87" t="s">
        <v>44</v>
      </c>
      <c r="B109" s="115">
        <v>0.0825</v>
      </c>
      <c r="C109" s="115"/>
      <c r="D109" s="115">
        <v>0.0484</v>
      </c>
      <c r="E109" s="115"/>
      <c r="F109" s="115">
        <v>0.05</v>
      </c>
      <c r="G109" s="115"/>
      <c r="H109" s="115"/>
      <c r="I109" s="115"/>
      <c r="J109" s="115">
        <v>0.0611</v>
      </c>
      <c r="K109" s="115"/>
      <c r="L109" s="115">
        <v>0.0625</v>
      </c>
      <c r="M109" s="115"/>
      <c r="N109" s="115">
        <v>0.0649</v>
      </c>
    </row>
    <row r="110" spans="1:14" ht="15">
      <c r="A110" s="87" t="s">
        <v>45</v>
      </c>
      <c r="B110" s="115">
        <v>0.0825</v>
      </c>
      <c r="C110" s="115"/>
      <c r="D110" s="115">
        <v>0.0434</v>
      </c>
      <c r="E110" s="115"/>
      <c r="F110" s="115">
        <v>0.0467</v>
      </c>
      <c r="G110" s="115"/>
      <c r="H110" s="115"/>
      <c r="I110" s="115"/>
      <c r="J110" s="115">
        <v>0.0611</v>
      </c>
      <c r="K110" s="115"/>
      <c r="L110" s="115">
        <v>0.0624</v>
      </c>
      <c r="M110" s="115"/>
      <c r="N110" s="115">
        <v>0.0651</v>
      </c>
    </row>
    <row r="111" spans="1:14" ht="15">
      <c r="A111" s="87" t="s">
        <v>46</v>
      </c>
      <c r="B111" s="115">
        <v>0.0775</v>
      </c>
      <c r="C111" s="115"/>
      <c r="D111" s="115">
        <v>0.0401</v>
      </c>
      <c r="E111" s="115"/>
      <c r="F111" s="115">
        <v>0.0452</v>
      </c>
      <c r="G111" s="115"/>
      <c r="H111" s="115"/>
      <c r="I111" s="115"/>
      <c r="J111" s="115">
        <v>0.061</v>
      </c>
      <c r="K111" s="115"/>
      <c r="L111" s="115">
        <v>0.0618</v>
      </c>
      <c r="M111" s="115"/>
      <c r="N111" s="115">
        <v>0.0645</v>
      </c>
    </row>
    <row r="112" spans="1:14" ht="15">
      <c r="A112" s="128" t="s">
        <v>47</v>
      </c>
      <c r="B112" s="115">
        <v>0.075</v>
      </c>
      <c r="C112" s="115"/>
      <c r="D112" s="115">
        <v>0.0397</v>
      </c>
      <c r="E112" s="115"/>
      <c r="F112" s="115">
        <v>0.0453</v>
      </c>
      <c r="G112" s="115"/>
      <c r="H112" s="115"/>
      <c r="I112" s="115"/>
      <c r="J112" s="115">
        <v>0.0604</v>
      </c>
      <c r="K112" s="115"/>
      <c r="L112" s="115">
        <v>0.0611</v>
      </c>
      <c r="M112" s="115"/>
      <c r="N112" s="115">
        <v>0.0636</v>
      </c>
    </row>
    <row r="113" spans="1:14" ht="15">
      <c r="A113" s="128" t="s">
        <v>48</v>
      </c>
      <c r="B113" s="115">
        <v>0.075</v>
      </c>
      <c r="C113" s="115"/>
      <c r="D113" s="115">
        <v>0.0349</v>
      </c>
      <c r="E113" s="115"/>
      <c r="F113" s="115">
        <v>0.0415</v>
      </c>
      <c r="G113" s="115"/>
      <c r="H113" s="115"/>
      <c r="I113" s="115"/>
      <c r="J113" s="115">
        <v>0.0587</v>
      </c>
      <c r="K113" s="115"/>
      <c r="L113" s="115">
        <v>0.0597</v>
      </c>
      <c r="M113" s="115"/>
      <c r="N113" s="115">
        <v>0.0627</v>
      </c>
    </row>
    <row r="114" spans="1:14" ht="15">
      <c r="A114" s="128" t="s">
        <v>49</v>
      </c>
      <c r="B114" s="115">
        <v>0.0725</v>
      </c>
      <c r="C114" s="115"/>
      <c r="D114" s="115">
        <v>0.0308</v>
      </c>
      <c r="E114" s="115"/>
      <c r="F114" s="115">
        <v>0.041</v>
      </c>
      <c r="G114" s="115"/>
      <c r="H114" s="115"/>
      <c r="I114" s="115"/>
      <c r="J114" s="115">
        <v>0.0603</v>
      </c>
      <c r="K114" s="115"/>
      <c r="L114" s="115">
        <v>0.0616</v>
      </c>
      <c r="M114" s="115"/>
      <c r="N114" s="115">
        <v>0.0651</v>
      </c>
    </row>
    <row r="115" spans="1:14" ht="15">
      <c r="A115" s="128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</row>
    <row r="116" spans="1:14" ht="15.75">
      <c r="A116" s="170">
        <v>2008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</row>
    <row r="117" spans="1:14" ht="15">
      <c r="A117" s="128" t="s">
        <v>38</v>
      </c>
      <c r="B117" s="115">
        <v>0.06</v>
      </c>
      <c r="C117" s="115"/>
      <c r="D117" s="115">
        <v>0.0286</v>
      </c>
      <c r="E117" s="115"/>
      <c r="F117" s="115">
        <v>0.0374</v>
      </c>
      <c r="G117" s="115"/>
      <c r="H117" s="115"/>
      <c r="I117" s="115"/>
      <c r="J117" s="115">
        <v>0.0587</v>
      </c>
      <c r="K117" s="115"/>
      <c r="L117" s="115">
        <v>0.0602</v>
      </c>
      <c r="M117" s="115"/>
      <c r="N117" s="115">
        <v>0.0635</v>
      </c>
    </row>
    <row r="118" spans="1:14" ht="15">
      <c r="A118" s="128" t="s">
        <v>39</v>
      </c>
      <c r="B118" s="115">
        <v>0.06</v>
      </c>
      <c r="C118" s="115"/>
      <c r="D118" s="115">
        <v>0.0221</v>
      </c>
      <c r="E118" s="115"/>
      <c r="F118" s="115">
        <v>0.0374</v>
      </c>
      <c r="G118" s="115"/>
      <c r="H118" s="115"/>
      <c r="I118" s="115"/>
      <c r="J118" s="115">
        <v>0.0604</v>
      </c>
      <c r="K118" s="115"/>
      <c r="L118" s="115">
        <v>0.0621</v>
      </c>
      <c r="M118" s="115"/>
      <c r="N118" s="115">
        <v>0.066</v>
      </c>
    </row>
    <row r="119" spans="1:14" ht="15">
      <c r="A119" s="128" t="s">
        <v>40</v>
      </c>
      <c r="B119" s="115">
        <v>0.0525</v>
      </c>
      <c r="C119" s="115"/>
      <c r="D119" s="115">
        <v>0.0138</v>
      </c>
      <c r="E119" s="115"/>
      <c r="F119" s="115">
        <v>0.0351</v>
      </c>
      <c r="G119" s="115"/>
      <c r="H119" s="115"/>
      <c r="I119" s="115"/>
      <c r="J119" s="115">
        <v>0.0599</v>
      </c>
      <c r="K119" s="115"/>
      <c r="L119" s="115">
        <v>0.0621</v>
      </c>
      <c r="M119" s="115"/>
      <c r="N119" s="115">
        <v>0.0668</v>
      </c>
    </row>
    <row r="120" spans="1:14" ht="15">
      <c r="A120" s="128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</row>
    <row r="121" spans="1:14" ht="15">
      <c r="A121" s="90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</row>
    <row r="122" spans="1:14" ht="15">
      <c r="A122" s="128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</row>
    <row r="123" spans="1:14" ht="15">
      <c r="A123" s="167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</row>
    <row r="124" spans="1:14" ht="15">
      <c r="A124" s="167" t="str">
        <f>+'[20]Sch 2, p 3'!A109</f>
        <v>[1] Note:  Moody's has not published Aaa utility bond yields since 2001.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</row>
    <row r="125" spans="1:14" ht="15">
      <c r="A125" s="167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</row>
    <row r="126" spans="1:14" ht="15">
      <c r="A126" s="34" t="s">
        <v>50</v>
      </c>
      <c r="B126" s="96"/>
      <c r="D126" s="96"/>
      <c r="F126" s="96"/>
      <c r="H126" s="96"/>
      <c r="J126" s="96"/>
      <c r="L126" s="96"/>
      <c r="N126" s="96"/>
    </row>
    <row r="127" spans="1:14" ht="15">
      <c r="A127" s="34" t="s">
        <v>51</v>
      </c>
      <c r="B127" s="96"/>
      <c r="D127" s="96"/>
      <c r="F127" s="96"/>
      <c r="H127" s="96"/>
      <c r="J127" s="96"/>
      <c r="L127" s="96"/>
      <c r="N127" s="96"/>
    </row>
    <row r="128" spans="2:14" ht="15">
      <c r="B128" s="96"/>
      <c r="D128" s="96"/>
      <c r="F128" s="96"/>
      <c r="H128" s="96"/>
      <c r="J128" s="96"/>
      <c r="L128" s="96"/>
      <c r="N128" s="96"/>
    </row>
  </sheetData>
  <sheetProtection/>
  <mergeCells count="1">
    <mergeCell ref="A42:N4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2" sqref="E2"/>
    </sheetView>
  </sheetViews>
  <sheetFormatPr defaultColWidth="9.77734375" defaultRowHeight="15"/>
  <cols>
    <col min="1" max="1" width="11.77734375" style="1" customWidth="1"/>
    <col min="2" max="2" width="12.4453125" style="1" customWidth="1"/>
    <col min="3" max="3" width="12.21484375" style="1" customWidth="1"/>
    <col min="4" max="5" width="11.77734375" style="1" customWidth="1"/>
    <col min="6" max="16384" width="9.77734375" style="1" customWidth="1"/>
  </cols>
  <sheetData>
    <row r="1" spans="1:5" ht="15.75">
      <c r="A1" s="1" t="str">
        <f>+'Sch 2, p 4'!L1</f>
        <v>Exhibit___(DCP-2)</v>
      </c>
      <c r="E1" s="141" t="str">
        <f>+'Sch 2, p 4'!L1</f>
        <v>Exhibit___(DCP-2)</v>
      </c>
    </row>
    <row r="2" ht="15.75">
      <c r="E2" s="141" t="str">
        <f>+'[20]Sch 2, p 4'!L2</f>
        <v>Schedule 2</v>
      </c>
    </row>
    <row r="3" ht="15.75">
      <c r="E3" s="2" t="s">
        <v>315</v>
      </c>
    </row>
    <row r="4" ht="18" customHeight="1">
      <c r="E4" s="2"/>
    </row>
    <row r="5" spans="1:6" ht="20.25">
      <c r="A5" s="249" t="s">
        <v>56</v>
      </c>
      <c r="B5" s="249"/>
      <c r="C5" s="249"/>
      <c r="D5" s="249"/>
      <c r="E5" s="249"/>
      <c r="F5" s="249"/>
    </row>
    <row r="6" ht="9.75" customHeight="1" thickBot="1"/>
    <row r="7" spans="1:6" ht="16.5" customHeight="1" thickTop="1">
      <c r="A7" s="180"/>
      <c r="B7" s="180"/>
      <c r="C7" s="180"/>
      <c r="D7" s="180"/>
      <c r="E7" s="180"/>
      <c r="F7" s="180"/>
    </row>
    <row r="8" spans="1:6" ht="15.75">
      <c r="A8" s="181"/>
      <c r="B8" s="181" t="s">
        <v>58</v>
      </c>
      <c r="C8" s="181" t="s">
        <v>316</v>
      </c>
      <c r="D8" s="181"/>
      <c r="E8" s="181" t="s">
        <v>58</v>
      </c>
      <c r="F8" s="181" t="s">
        <v>58</v>
      </c>
    </row>
    <row r="9" spans="1:6" ht="15.75">
      <c r="A9" s="181" t="s">
        <v>63</v>
      </c>
      <c r="B9" s="181" t="s">
        <v>317</v>
      </c>
      <c r="C9" s="181" t="s">
        <v>317</v>
      </c>
      <c r="D9" s="181" t="s">
        <v>57</v>
      </c>
      <c r="E9" s="181" t="s">
        <v>59</v>
      </c>
      <c r="F9" s="181" t="s">
        <v>60</v>
      </c>
    </row>
    <row r="10" spans="1:6" ht="16.5" thickBot="1">
      <c r="A10" s="182"/>
      <c r="B10" s="182"/>
      <c r="C10" s="182"/>
      <c r="D10" s="182"/>
      <c r="E10" s="182"/>
      <c r="F10" s="182"/>
    </row>
    <row r="11" spans="1:6" ht="15.75" thickTop="1">
      <c r="A11" s="39"/>
      <c r="B11" s="39"/>
      <c r="C11" s="39"/>
      <c r="D11" s="39"/>
      <c r="E11" s="39"/>
      <c r="F11" s="39"/>
    </row>
    <row r="12" spans="1:6" ht="15.75">
      <c r="A12" s="250" t="s">
        <v>2</v>
      </c>
      <c r="B12" s="250"/>
      <c r="C12" s="250"/>
      <c r="D12" s="250"/>
      <c r="E12" s="250"/>
      <c r="F12" s="250"/>
    </row>
    <row r="13" spans="1:6" ht="15">
      <c r="A13" s="8" t="s">
        <v>3</v>
      </c>
      <c r="B13" s="8"/>
      <c r="C13" s="14"/>
      <c r="D13" s="15">
        <v>802.49</v>
      </c>
      <c r="E13" s="11">
        <v>0.0431</v>
      </c>
      <c r="F13" s="11">
        <v>0.0915</v>
      </c>
    </row>
    <row r="14" spans="1:6" ht="15">
      <c r="A14" s="8" t="s">
        <v>4</v>
      </c>
      <c r="B14" s="14"/>
      <c r="C14" s="14"/>
      <c r="D14" s="15">
        <v>974.92</v>
      </c>
      <c r="E14" s="11">
        <v>0.0377</v>
      </c>
      <c r="F14" s="11">
        <v>0.089</v>
      </c>
    </row>
    <row r="15" spans="1:6" ht="15">
      <c r="A15" s="8" t="s">
        <v>5</v>
      </c>
      <c r="B15" s="14"/>
      <c r="C15" s="14"/>
      <c r="D15" s="15">
        <v>894.63</v>
      </c>
      <c r="E15" s="11">
        <v>0.0462</v>
      </c>
      <c r="F15" s="11">
        <v>0.1079</v>
      </c>
    </row>
    <row r="16" spans="1:6" ht="15">
      <c r="A16" s="8" t="s">
        <v>6</v>
      </c>
      <c r="B16" s="14"/>
      <c r="C16" s="14"/>
      <c r="D16" s="15">
        <v>820.23</v>
      </c>
      <c r="E16" s="11">
        <v>0.0528</v>
      </c>
      <c r="F16" s="11">
        <v>0.1203</v>
      </c>
    </row>
    <row r="17" spans="1:6" ht="15">
      <c r="A17" s="8" t="s">
        <v>7</v>
      </c>
      <c r="B17" s="14"/>
      <c r="C17" s="14"/>
      <c r="D17" s="15">
        <v>844.4</v>
      </c>
      <c r="E17" s="11">
        <v>0.0547</v>
      </c>
      <c r="F17" s="11">
        <v>0.1346</v>
      </c>
    </row>
    <row r="18" spans="1:6" ht="15">
      <c r="A18" s="8" t="s">
        <v>8</v>
      </c>
      <c r="B18" s="14"/>
      <c r="C18" s="14"/>
      <c r="D18" s="15">
        <v>891.41</v>
      </c>
      <c r="E18" s="11">
        <v>0.0526</v>
      </c>
      <c r="F18" s="11">
        <v>0.1266</v>
      </c>
    </row>
    <row r="19" spans="1:6" ht="15">
      <c r="A19" s="8" t="s">
        <v>9</v>
      </c>
      <c r="B19" s="14"/>
      <c r="C19" s="14"/>
      <c r="D19" s="15">
        <v>932.92</v>
      </c>
      <c r="E19" s="11">
        <v>0.052</v>
      </c>
      <c r="F19" s="11">
        <v>0.1196</v>
      </c>
    </row>
    <row r="20" spans="1:6" ht="15">
      <c r="A20" s="8" t="s">
        <v>10</v>
      </c>
      <c r="B20" s="14"/>
      <c r="C20" s="14"/>
      <c r="D20" s="15">
        <v>884.36</v>
      </c>
      <c r="E20" s="11">
        <v>0.0581</v>
      </c>
      <c r="F20" s="11">
        <v>0.116</v>
      </c>
    </row>
    <row r="21" spans="1:6" ht="28.5" customHeight="1">
      <c r="A21" s="251" t="s">
        <v>11</v>
      </c>
      <c r="B21" s="251"/>
      <c r="C21" s="251"/>
      <c r="D21" s="251"/>
      <c r="E21" s="251"/>
      <c r="F21" s="251"/>
    </row>
    <row r="22" spans="1:6" ht="15">
      <c r="A22" s="8" t="s">
        <v>12</v>
      </c>
      <c r="B22" s="14"/>
      <c r="C22" s="14"/>
      <c r="D22" s="15">
        <v>1190.34</v>
      </c>
      <c r="E22" s="11">
        <v>0.044</v>
      </c>
      <c r="F22" s="11">
        <v>0.0803</v>
      </c>
    </row>
    <row r="23" spans="1:6" ht="15">
      <c r="A23" s="8" t="s">
        <v>13</v>
      </c>
      <c r="B23" s="14"/>
      <c r="C23" s="14"/>
      <c r="D23" s="15">
        <v>1178.48</v>
      </c>
      <c r="E23" s="11">
        <v>0.0464</v>
      </c>
      <c r="F23" s="11">
        <v>0.1002</v>
      </c>
    </row>
    <row r="24" spans="1:6" ht="15">
      <c r="A24" s="8" t="s">
        <v>14</v>
      </c>
      <c r="B24" s="14"/>
      <c r="C24" s="14"/>
      <c r="D24" s="15">
        <v>1328.23</v>
      </c>
      <c r="E24" s="11">
        <v>0.0425</v>
      </c>
      <c r="F24" s="11">
        <v>0.0812</v>
      </c>
    </row>
    <row r="25" spans="1:6" ht="15">
      <c r="A25" s="8" t="s">
        <v>15</v>
      </c>
      <c r="B25" s="14"/>
      <c r="C25" s="14"/>
      <c r="D25" s="15">
        <v>1792.76</v>
      </c>
      <c r="E25" s="11">
        <v>0.0349</v>
      </c>
      <c r="F25" s="11">
        <v>0.0609</v>
      </c>
    </row>
    <row r="26" spans="1:6" ht="15">
      <c r="A26" s="8" t="s">
        <v>16</v>
      </c>
      <c r="B26" s="14"/>
      <c r="C26" s="14"/>
      <c r="D26" s="15">
        <v>2275.99</v>
      </c>
      <c r="E26" s="11">
        <v>0.0308</v>
      </c>
      <c r="F26" s="11">
        <v>0.0548</v>
      </c>
    </row>
    <row r="27" spans="1:6" ht="15">
      <c r="A27" s="8" t="s">
        <v>17</v>
      </c>
      <c r="B27" s="183" t="s">
        <v>311</v>
      </c>
      <c r="C27" s="183" t="s">
        <v>311</v>
      </c>
      <c r="D27" s="15">
        <v>2060.82</v>
      </c>
      <c r="E27" s="11">
        <v>0.0364</v>
      </c>
      <c r="F27" s="11">
        <v>0.0801</v>
      </c>
    </row>
    <row r="28" spans="1:6" ht="15">
      <c r="A28" s="8" t="s">
        <v>18</v>
      </c>
      <c r="B28" s="14">
        <v>322.84</v>
      </c>
      <c r="C28" s="14"/>
      <c r="D28" s="15">
        <v>2508.91</v>
      </c>
      <c r="E28" s="11">
        <v>0.0345</v>
      </c>
      <c r="F28" s="11">
        <v>0.0741</v>
      </c>
    </row>
    <row r="29" spans="1:6" ht="15">
      <c r="A29" s="8" t="s">
        <v>19</v>
      </c>
      <c r="B29" s="14">
        <v>334.59</v>
      </c>
      <c r="C29" s="14"/>
      <c r="D29" s="15">
        <v>2678.94</v>
      </c>
      <c r="E29" s="11">
        <v>0.0361</v>
      </c>
      <c r="F29" s="11">
        <v>0.0647</v>
      </c>
    </row>
    <row r="30" spans="1:6" ht="15">
      <c r="A30" s="8" t="s">
        <v>20</v>
      </c>
      <c r="B30" s="14">
        <v>376.18</v>
      </c>
      <c r="C30" s="14">
        <v>491.69</v>
      </c>
      <c r="D30" s="15">
        <v>2929.33</v>
      </c>
      <c r="E30" s="11">
        <v>0.0324</v>
      </c>
      <c r="F30" s="11">
        <v>0.0479</v>
      </c>
    </row>
    <row r="31" spans="1:6" ht="28.5" customHeight="1">
      <c r="A31" s="250" t="s">
        <v>161</v>
      </c>
      <c r="B31" s="250"/>
      <c r="C31" s="250"/>
      <c r="D31" s="250"/>
      <c r="E31" s="250"/>
      <c r="F31" s="250"/>
    </row>
    <row r="32" spans="1:6" ht="15">
      <c r="A32" s="8" t="s">
        <v>21</v>
      </c>
      <c r="B32" s="8">
        <v>415.74</v>
      </c>
      <c r="C32" s="8">
        <v>599.26</v>
      </c>
      <c r="D32" s="15">
        <v>3284.29</v>
      </c>
      <c r="E32" s="11">
        <v>0.0299</v>
      </c>
      <c r="F32" s="11">
        <v>0.0422</v>
      </c>
    </row>
    <row r="33" spans="1:6" ht="15">
      <c r="A33" s="8" t="s">
        <v>22</v>
      </c>
      <c r="B33" s="8">
        <v>451.21</v>
      </c>
      <c r="C33" s="14">
        <v>715.16</v>
      </c>
      <c r="D33" s="15">
        <v>3522.06</v>
      </c>
      <c r="E33" s="11">
        <v>0.0278</v>
      </c>
      <c r="F33" s="11">
        <v>0.0446</v>
      </c>
    </row>
    <row r="34" spans="1:6" ht="15">
      <c r="A34" s="8" t="s">
        <v>23</v>
      </c>
      <c r="B34" s="8">
        <v>460.42</v>
      </c>
      <c r="C34" s="14">
        <v>751.65</v>
      </c>
      <c r="D34" s="15">
        <v>3793.77</v>
      </c>
      <c r="E34" s="11">
        <v>0.0282</v>
      </c>
      <c r="F34" s="11">
        <v>0.0583</v>
      </c>
    </row>
    <row r="35" spans="1:6" ht="15">
      <c r="A35" s="15" t="s">
        <v>24</v>
      </c>
      <c r="B35" s="15">
        <v>541.72</v>
      </c>
      <c r="C35" s="15">
        <v>925.19</v>
      </c>
      <c r="D35" s="15">
        <v>4493.76</v>
      </c>
      <c r="E35" s="11">
        <v>0.0256</v>
      </c>
      <c r="F35" s="11">
        <v>0.0609</v>
      </c>
    </row>
    <row r="36" spans="1:6" ht="15">
      <c r="A36" s="15" t="s">
        <v>25</v>
      </c>
      <c r="B36" s="15">
        <v>670.5</v>
      </c>
      <c r="C36" s="15">
        <v>1164.96</v>
      </c>
      <c r="D36" s="15">
        <v>5742.89</v>
      </c>
      <c r="E36" s="11">
        <v>0.0219</v>
      </c>
      <c r="F36" s="11">
        <v>0.0524</v>
      </c>
    </row>
    <row r="37" spans="1:6" ht="15">
      <c r="A37" s="15" t="s">
        <v>26</v>
      </c>
      <c r="B37" s="15">
        <v>873.43</v>
      </c>
      <c r="C37" s="15">
        <v>1469.49</v>
      </c>
      <c r="D37" s="15">
        <v>7441.15</v>
      </c>
      <c r="E37" s="11">
        <v>0.0177</v>
      </c>
      <c r="F37" s="11">
        <v>0.0457</v>
      </c>
    </row>
    <row r="38" spans="1:6" ht="15">
      <c r="A38" s="19">
        <v>1998</v>
      </c>
      <c r="B38" s="15">
        <v>1085.5</v>
      </c>
      <c r="C38" s="15">
        <v>1794.91</v>
      </c>
      <c r="D38" s="15">
        <v>8625.52</v>
      </c>
      <c r="E38" s="11">
        <v>0.0149</v>
      </c>
      <c r="F38" s="11">
        <v>0.0346</v>
      </c>
    </row>
    <row r="39" spans="1:6" ht="15">
      <c r="A39" s="19">
        <v>1999</v>
      </c>
      <c r="B39" s="15">
        <v>1327.33</v>
      </c>
      <c r="C39" s="15">
        <v>2728.15</v>
      </c>
      <c r="D39" s="15">
        <v>10464.88</v>
      </c>
      <c r="E39" s="11">
        <v>0.0125</v>
      </c>
      <c r="F39" s="11">
        <v>0.0317</v>
      </c>
    </row>
    <row r="40" spans="1:6" ht="15">
      <c r="A40" s="19">
        <v>2000</v>
      </c>
      <c r="B40" s="15">
        <v>1427.22</v>
      </c>
      <c r="C40" s="15">
        <v>3783.67</v>
      </c>
      <c r="D40" s="15">
        <v>10734.9</v>
      </c>
      <c r="E40" s="11">
        <v>0.0115</v>
      </c>
      <c r="F40" s="11">
        <v>0.0363</v>
      </c>
    </row>
    <row r="41" spans="1:6" ht="15">
      <c r="A41" s="19">
        <v>2001</v>
      </c>
      <c r="B41" s="15">
        <v>1194.18</v>
      </c>
      <c r="C41" s="15">
        <v>2035</v>
      </c>
      <c r="D41" s="15">
        <v>10189.13</v>
      </c>
      <c r="E41" s="11">
        <v>0.0132</v>
      </c>
      <c r="F41" s="11">
        <v>0.0295</v>
      </c>
    </row>
    <row r="42" spans="1:6" ht="28.5" customHeight="1">
      <c r="A42" s="248" t="s">
        <v>208</v>
      </c>
      <c r="B42" s="248"/>
      <c r="C42" s="248"/>
      <c r="D42" s="248"/>
      <c r="E42" s="248"/>
      <c r="F42" s="248"/>
    </row>
    <row r="43" spans="1:6" ht="15">
      <c r="A43" s="133">
        <v>2002</v>
      </c>
      <c r="B43" s="15">
        <v>993.94</v>
      </c>
      <c r="C43" s="15">
        <v>1539.73</v>
      </c>
      <c r="D43" s="15">
        <v>9226.43</v>
      </c>
      <c r="E43" s="11">
        <v>0.0161</v>
      </c>
      <c r="F43" s="11">
        <v>0.0292</v>
      </c>
    </row>
    <row r="44" spans="1:6" ht="15">
      <c r="A44" s="133">
        <v>2003</v>
      </c>
      <c r="B44" s="15">
        <v>965.23</v>
      </c>
      <c r="C44" s="15">
        <v>1647.17</v>
      </c>
      <c r="D44" s="15">
        <v>8993.59</v>
      </c>
      <c r="E44" s="11">
        <v>0.0177</v>
      </c>
      <c r="F44" s="11">
        <v>0.0384</v>
      </c>
    </row>
    <row r="45" spans="1:6" ht="15">
      <c r="A45" s="133">
        <v>2004</v>
      </c>
      <c r="B45" s="15">
        <v>1130.65</v>
      </c>
      <c r="C45" s="15">
        <v>1986.53</v>
      </c>
      <c r="D45" s="15">
        <v>10317.39</v>
      </c>
      <c r="E45" s="11">
        <v>0.0172</v>
      </c>
      <c r="F45" s="11">
        <v>0.0489</v>
      </c>
    </row>
    <row r="46" spans="1:6" ht="15">
      <c r="A46" s="133">
        <v>2005</v>
      </c>
      <c r="B46" s="15">
        <v>1207.23</v>
      </c>
      <c r="C46" s="15">
        <v>2099.32</v>
      </c>
      <c r="D46" s="15">
        <v>10547.67</v>
      </c>
      <c r="E46" s="11">
        <v>0.0183</v>
      </c>
      <c r="F46" s="11">
        <v>0.0536</v>
      </c>
    </row>
    <row r="47" spans="1:6" ht="15">
      <c r="A47" s="133">
        <v>2006</v>
      </c>
      <c r="B47" s="15">
        <v>1310.46</v>
      </c>
      <c r="C47" s="15">
        <v>2263.41</v>
      </c>
      <c r="D47" s="15">
        <v>11408.67</v>
      </c>
      <c r="E47" s="11">
        <v>0.0187</v>
      </c>
      <c r="F47" s="11">
        <v>0.0578</v>
      </c>
    </row>
    <row r="48" spans="1:6" ht="15">
      <c r="A48" s="133">
        <v>2007</v>
      </c>
      <c r="B48" s="15">
        <v>1477.19</v>
      </c>
      <c r="C48" s="15">
        <v>2578.47</v>
      </c>
      <c r="D48" s="15">
        <v>13169.98</v>
      </c>
      <c r="E48" s="11">
        <v>0.0186</v>
      </c>
      <c r="F48" s="11"/>
    </row>
    <row r="49" spans="1:6" ht="8.25" customHeight="1">
      <c r="A49" s="8"/>
      <c r="B49" s="14"/>
      <c r="C49" s="14"/>
      <c r="D49" s="15"/>
      <c r="E49" s="11"/>
      <c r="F49" s="11"/>
    </row>
    <row r="50" spans="1:6" ht="15.75" hidden="1">
      <c r="A50" s="92">
        <v>2002</v>
      </c>
      <c r="B50" s="15"/>
      <c r="C50" s="15"/>
      <c r="D50" s="15"/>
      <c r="E50" s="11"/>
      <c r="F50" s="11"/>
    </row>
    <row r="51" spans="1:6" ht="15" hidden="1">
      <c r="A51" s="8" t="s">
        <v>27</v>
      </c>
      <c r="B51" s="15">
        <v>1131.56</v>
      </c>
      <c r="C51" s="15">
        <v>1879.85</v>
      </c>
      <c r="D51" s="15">
        <v>10105.27</v>
      </c>
      <c r="E51" s="11">
        <v>0.0139</v>
      </c>
      <c r="F51" s="11">
        <v>0.0215</v>
      </c>
    </row>
    <row r="52" spans="1:6" ht="15" hidden="1">
      <c r="A52" s="8" t="s">
        <v>28</v>
      </c>
      <c r="B52" s="15">
        <v>1068.45</v>
      </c>
      <c r="C52" s="15">
        <v>1641.53</v>
      </c>
      <c r="D52" s="15">
        <v>9912.7</v>
      </c>
      <c r="E52" s="11">
        <v>0.0149</v>
      </c>
      <c r="F52" s="11">
        <v>0.027</v>
      </c>
    </row>
    <row r="53" spans="1:6" ht="15" hidden="1">
      <c r="A53" s="8" t="s">
        <v>29</v>
      </c>
      <c r="B53" s="15">
        <v>894.65</v>
      </c>
      <c r="C53" s="15">
        <v>1308.17</v>
      </c>
      <c r="D53" s="15">
        <v>8487.59</v>
      </c>
      <c r="E53" s="11">
        <v>0.0176</v>
      </c>
      <c r="F53" s="11">
        <v>0.0368</v>
      </c>
    </row>
    <row r="54" spans="1:6" ht="15" hidden="1">
      <c r="A54" s="8" t="s">
        <v>30</v>
      </c>
      <c r="B54" s="15">
        <v>887.91</v>
      </c>
      <c r="C54" s="15">
        <v>1346.07</v>
      </c>
      <c r="D54" s="15">
        <v>8400.17</v>
      </c>
      <c r="E54" s="11">
        <v>0.0179</v>
      </c>
      <c r="F54" s="11">
        <v>0.0314</v>
      </c>
    </row>
    <row r="55" spans="1:6" ht="8.25" customHeight="1" hidden="1">
      <c r="A55" s="8"/>
      <c r="B55" s="15"/>
      <c r="C55" s="15"/>
      <c r="D55" s="15"/>
      <c r="E55" s="11"/>
      <c r="F55" s="11"/>
    </row>
    <row r="56" spans="1:6" ht="15.75" hidden="1">
      <c r="A56" s="92">
        <v>2003</v>
      </c>
      <c r="B56" s="15"/>
      <c r="C56" s="15"/>
      <c r="D56" s="15"/>
      <c r="E56" s="11"/>
      <c r="F56" s="11"/>
    </row>
    <row r="57" spans="1:6" ht="15" hidden="1">
      <c r="A57" s="8" t="s">
        <v>27</v>
      </c>
      <c r="B57" s="15">
        <v>860.03</v>
      </c>
      <c r="C57" s="15">
        <v>1350.44</v>
      </c>
      <c r="D57" s="15">
        <v>8122.83</v>
      </c>
      <c r="E57" s="11">
        <v>0.0189</v>
      </c>
      <c r="F57" s="11">
        <v>0.0357</v>
      </c>
    </row>
    <row r="58" spans="1:6" ht="15" hidden="1">
      <c r="A58" s="8" t="s">
        <v>28</v>
      </c>
      <c r="B58" s="15">
        <v>938</v>
      </c>
      <c r="C58" s="15">
        <v>1521.92</v>
      </c>
      <c r="D58" s="15">
        <v>8684.52</v>
      </c>
      <c r="E58" s="11">
        <v>0.0175</v>
      </c>
      <c r="F58" s="11">
        <v>0.0355</v>
      </c>
    </row>
    <row r="59" spans="1:6" ht="15" hidden="1">
      <c r="A59" s="8" t="s">
        <v>29</v>
      </c>
      <c r="B59" s="15">
        <v>1000.5</v>
      </c>
      <c r="C59" s="15">
        <v>1765.96</v>
      </c>
      <c r="D59" s="15">
        <v>9310.57</v>
      </c>
      <c r="E59" s="11">
        <v>0.0174</v>
      </c>
      <c r="F59" s="11">
        <v>0.0387</v>
      </c>
    </row>
    <row r="60" spans="1:6" ht="15" hidden="1">
      <c r="A60" s="8" t="s">
        <v>30</v>
      </c>
      <c r="B60" s="15">
        <v>1056.42</v>
      </c>
      <c r="C60" s="15">
        <v>1934.71</v>
      </c>
      <c r="D60" s="15">
        <v>9856.44</v>
      </c>
      <c r="E60" s="11">
        <v>0.0169</v>
      </c>
      <c r="F60" s="11">
        <v>0.0438</v>
      </c>
    </row>
    <row r="61" spans="1:6" ht="8.25" customHeight="1" hidden="1">
      <c r="A61" s="8"/>
      <c r="B61" s="15"/>
      <c r="C61" s="15"/>
      <c r="D61" s="15"/>
      <c r="E61" s="11"/>
      <c r="F61" s="11"/>
    </row>
    <row r="62" spans="1:6" ht="15.75" hidden="1">
      <c r="A62" s="92">
        <v>2004</v>
      </c>
      <c r="B62" s="15"/>
      <c r="C62" s="15"/>
      <c r="D62" s="15"/>
      <c r="E62" s="11"/>
      <c r="F62" s="11"/>
    </row>
    <row r="63" spans="1:6" ht="15" hidden="1">
      <c r="A63" s="8" t="s">
        <v>27</v>
      </c>
      <c r="B63" s="15">
        <v>1133.29</v>
      </c>
      <c r="C63" s="15">
        <v>2041.95</v>
      </c>
      <c r="D63" s="15">
        <v>10488.43</v>
      </c>
      <c r="E63" s="11">
        <v>0.0164</v>
      </c>
      <c r="F63" s="11">
        <v>0.0462</v>
      </c>
    </row>
    <row r="64" spans="1:6" ht="15" hidden="1">
      <c r="A64" s="8" t="s">
        <v>28</v>
      </c>
      <c r="B64" s="15">
        <v>1122.87</v>
      </c>
      <c r="C64" s="15">
        <v>1984.13</v>
      </c>
      <c r="D64" s="15">
        <v>10289.04</v>
      </c>
      <c r="E64" s="11">
        <v>0.0171</v>
      </c>
      <c r="F64" s="11">
        <v>0.0492</v>
      </c>
    </row>
    <row r="65" spans="1:6" ht="15" hidden="1">
      <c r="A65" s="8" t="s">
        <v>29</v>
      </c>
      <c r="B65" s="15">
        <v>1104.15</v>
      </c>
      <c r="C65" s="15">
        <v>1872.9</v>
      </c>
      <c r="D65" s="15">
        <v>10129.85</v>
      </c>
      <c r="E65" s="11">
        <v>0.0179</v>
      </c>
      <c r="F65" s="11">
        <v>0.0518</v>
      </c>
    </row>
    <row r="66" spans="1:6" ht="15" hidden="1">
      <c r="A66" s="8" t="s">
        <v>30</v>
      </c>
      <c r="B66" s="15">
        <v>1162.07</v>
      </c>
      <c r="C66" s="15">
        <v>2050.22</v>
      </c>
      <c r="D66" s="15">
        <v>10362.25</v>
      </c>
      <c r="E66" s="11">
        <v>0.0175</v>
      </c>
      <c r="F66" s="11">
        <v>0.0483</v>
      </c>
    </row>
    <row r="67" spans="1:6" ht="8.25" customHeight="1" hidden="1">
      <c r="A67" s="8"/>
      <c r="B67" s="15"/>
      <c r="C67" s="15"/>
      <c r="D67" s="15"/>
      <c r="E67" s="11"/>
      <c r="F67" s="11"/>
    </row>
    <row r="68" spans="1:6" ht="15.75" hidden="1">
      <c r="A68" s="92">
        <v>2005</v>
      </c>
      <c r="B68" s="15"/>
      <c r="C68" s="15"/>
      <c r="D68" s="15"/>
      <c r="E68" s="11"/>
      <c r="F68" s="11"/>
    </row>
    <row r="69" spans="1:6" ht="15" hidden="1">
      <c r="A69" s="8" t="s">
        <v>27</v>
      </c>
      <c r="B69" s="15">
        <v>1191.98</v>
      </c>
      <c r="C69" s="15">
        <v>2056.01</v>
      </c>
      <c r="D69" s="15">
        <v>10648.48</v>
      </c>
      <c r="E69" s="11">
        <v>0.0177</v>
      </c>
      <c r="F69" s="11">
        <v>0.0511</v>
      </c>
    </row>
    <row r="70" spans="1:6" ht="15" hidden="1">
      <c r="A70" s="8" t="s">
        <v>28</v>
      </c>
      <c r="B70" s="15">
        <v>1181.65</v>
      </c>
      <c r="C70" s="15">
        <v>2012.24</v>
      </c>
      <c r="D70" s="15">
        <v>10382.35</v>
      </c>
      <c r="E70" s="11">
        <v>0.0185</v>
      </c>
      <c r="F70" s="11">
        <v>0.0532</v>
      </c>
    </row>
    <row r="71" spans="1:6" ht="15" hidden="1">
      <c r="A71" s="8" t="s">
        <v>29</v>
      </c>
      <c r="B71" s="15">
        <v>1225.91</v>
      </c>
      <c r="C71" s="15">
        <v>2144.61</v>
      </c>
      <c r="D71" s="15">
        <v>10532.24</v>
      </c>
      <c r="E71" s="11">
        <v>0.0183</v>
      </c>
      <c r="F71" s="11">
        <v>0.0542</v>
      </c>
    </row>
    <row r="72" spans="1:6" ht="15" hidden="1">
      <c r="A72" s="8" t="s">
        <v>30</v>
      </c>
      <c r="B72" s="15">
        <v>1262.07</v>
      </c>
      <c r="C72" s="15">
        <v>2246.09</v>
      </c>
      <c r="D72" s="15">
        <v>10827.79</v>
      </c>
      <c r="E72" s="21">
        <f>+(1.9+1.85+1.84)/3</f>
        <v>1.8633333333333333</v>
      </c>
      <c r="F72" s="11">
        <v>0.056</v>
      </c>
    </row>
    <row r="73" spans="1:6" ht="8.25" customHeight="1" hidden="1">
      <c r="A73" s="8"/>
      <c r="B73" s="15"/>
      <c r="C73" s="15"/>
      <c r="D73" s="15"/>
      <c r="E73" s="11"/>
      <c r="F73" s="11"/>
    </row>
    <row r="74" spans="1:6" ht="15.75" hidden="1">
      <c r="A74" s="92">
        <v>2006</v>
      </c>
      <c r="B74" s="15"/>
      <c r="C74" s="15"/>
      <c r="D74" s="15"/>
      <c r="E74" s="11"/>
      <c r="F74" s="11"/>
    </row>
    <row r="75" spans="1:6" ht="15" hidden="1">
      <c r="A75" s="8" t="s">
        <v>27</v>
      </c>
      <c r="B75" s="15">
        <v>1283.04</v>
      </c>
      <c r="C75" s="15">
        <v>2287.97</v>
      </c>
      <c r="D75" s="15">
        <v>10996.04</v>
      </c>
      <c r="E75" s="11">
        <v>0.0185</v>
      </c>
      <c r="F75" s="11">
        <v>0.0561</v>
      </c>
    </row>
    <row r="76" spans="1:6" ht="15" hidden="1">
      <c r="A76" s="8" t="s">
        <v>28</v>
      </c>
      <c r="B76" s="15">
        <v>1281.77</v>
      </c>
      <c r="C76" s="15">
        <v>2240.46</v>
      </c>
      <c r="D76" s="15">
        <v>11188.84</v>
      </c>
      <c r="E76" s="11">
        <v>0.019</v>
      </c>
      <c r="F76" s="11">
        <v>0.0586</v>
      </c>
    </row>
    <row r="77" spans="1:6" ht="15" hidden="1">
      <c r="A77" s="8" t="s">
        <v>29</v>
      </c>
      <c r="B77" s="15">
        <v>1288.4</v>
      </c>
      <c r="C77" s="15">
        <v>2141.97</v>
      </c>
      <c r="D77" s="15">
        <v>11584.69</v>
      </c>
      <c r="E77" s="11">
        <v>0.0191</v>
      </c>
      <c r="F77" s="11">
        <v>0.0588</v>
      </c>
    </row>
    <row r="78" spans="1:6" ht="15" hidden="1">
      <c r="A78" s="8" t="s">
        <v>30</v>
      </c>
      <c r="B78" s="15">
        <v>1389.48</v>
      </c>
      <c r="C78" s="15">
        <v>2390.26</v>
      </c>
      <c r="D78" s="15">
        <v>12175.3</v>
      </c>
      <c r="E78" s="11">
        <v>0.0181</v>
      </c>
      <c r="F78" s="11">
        <v>0.0575</v>
      </c>
    </row>
    <row r="79" spans="1:6" ht="15" hidden="1">
      <c r="A79" s="8"/>
      <c r="B79" s="15"/>
      <c r="C79" s="15"/>
      <c r="D79" s="15"/>
      <c r="E79" s="11"/>
      <c r="F79" s="11"/>
    </row>
    <row r="80" spans="1:6" ht="15.75" hidden="1">
      <c r="A80" s="92">
        <v>2007</v>
      </c>
      <c r="B80" s="15"/>
      <c r="C80" s="15"/>
      <c r="D80" s="15"/>
      <c r="E80" s="11"/>
      <c r="F80" s="11"/>
    </row>
    <row r="81" spans="1:6" ht="15" hidden="1">
      <c r="A81" s="8" t="s">
        <v>27</v>
      </c>
      <c r="B81" s="15">
        <v>1425.3</v>
      </c>
      <c r="C81" s="15">
        <v>2444.85</v>
      </c>
      <c r="D81" s="15">
        <v>12470.97</v>
      </c>
      <c r="E81" s="11">
        <v>0.0184</v>
      </c>
      <c r="F81" s="11"/>
    </row>
    <row r="82" spans="1:6" ht="7.5" customHeight="1">
      <c r="A82" s="184"/>
      <c r="B82" s="70"/>
      <c r="C82" s="70"/>
      <c r="D82" s="185"/>
      <c r="E82" s="66"/>
      <c r="F82" s="66"/>
    </row>
    <row r="83" spans="1:6" ht="15">
      <c r="A83" s="39"/>
      <c r="B83" s="138"/>
      <c r="C83" s="138"/>
      <c r="D83" s="186"/>
      <c r="E83" s="137"/>
      <c r="F83" s="137"/>
    </row>
    <row r="84" spans="1:6" ht="15">
      <c r="A84" s="39" t="s">
        <v>318</v>
      </c>
      <c r="B84" s="138"/>
      <c r="C84" s="138"/>
      <c r="D84" s="186"/>
      <c r="E84" s="137"/>
      <c r="F84" s="137"/>
    </row>
    <row r="85" spans="1:6" ht="15">
      <c r="A85" s="39" t="s">
        <v>319</v>
      </c>
      <c r="B85" s="138"/>
      <c r="C85" s="138"/>
      <c r="D85" s="186"/>
      <c r="E85" s="137"/>
      <c r="F85" s="137"/>
    </row>
    <row r="86" spans="1:6" ht="15">
      <c r="A86" s="39"/>
      <c r="B86" s="138"/>
      <c r="C86" s="138"/>
      <c r="D86" s="186"/>
      <c r="E86" s="137"/>
      <c r="F86" s="137"/>
    </row>
    <row r="87" spans="1:6" ht="15">
      <c r="A87" s="39"/>
      <c r="B87" s="138"/>
      <c r="C87" s="138"/>
      <c r="D87" s="186"/>
      <c r="E87" s="137"/>
      <c r="F87" s="137"/>
    </row>
    <row r="88" spans="1:6" ht="15">
      <c r="A88" s="39"/>
      <c r="B88" s="138"/>
      <c r="C88" s="138"/>
      <c r="D88" s="186"/>
      <c r="E88" s="137"/>
      <c r="F88" s="137"/>
    </row>
    <row r="89" spans="1:6" ht="15">
      <c r="A89" s="5" t="s">
        <v>31</v>
      </c>
      <c r="B89" s="14"/>
      <c r="C89" s="14"/>
      <c r="D89" s="15"/>
      <c r="E89" s="11"/>
      <c r="F89" s="11"/>
    </row>
    <row r="90" spans="2:6" ht="15">
      <c r="B90" s="14"/>
      <c r="C90" s="14"/>
      <c r="D90" s="15"/>
      <c r="E90" s="14"/>
      <c r="F90" s="14"/>
    </row>
    <row r="91" spans="2:6" ht="15">
      <c r="B91" s="8"/>
      <c r="C91" s="8"/>
      <c r="D91" s="15"/>
      <c r="E91" s="8"/>
      <c r="F91" s="8"/>
    </row>
    <row r="92" spans="2:6" ht="15">
      <c r="B92" s="8"/>
      <c r="C92" s="8"/>
      <c r="D92" s="15"/>
      <c r="E92" s="8"/>
      <c r="F92" s="8"/>
    </row>
    <row r="93" spans="2:6" ht="15">
      <c r="B93" s="8"/>
      <c r="C93" s="8"/>
      <c r="D93" s="15"/>
      <c r="E93" s="8"/>
      <c r="F93" s="8"/>
    </row>
    <row r="94" spans="2:6" ht="15">
      <c r="B94" s="8"/>
      <c r="C94" s="8"/>
      <c r="D94" s="8"/>
      <c r="E94" s="8"/>
      <c r="F94" s="8"/>
    </row>
    <row r="95" spans="2:6" ht="15">
      <c r="B95" s="8"/>
      <c r="C95" s="8"/>
      <c r="D95" s="8"/>
      <c r="E95" s="8"/>
      <c r="F95" s="8"/>
    </row>
  </sheetData>
  <sheetProtection/>
  <mergeCells count="5">
    <mergeCell ref="A42:F42"/>
    <mergeCell ref="A5:F5"/>
    <mergeCell ref="A12:F12"/>
    <mergeCell ref="A21:F21"/>
    <mergeCell ref="A31:F31"/>
  </mergeCells>
  <printOptions horizontalCentered="1" verticalCentered="1"/>
  <pageMargins left="0.5" right="0.5" top="0.5" bottom="0.5" header="0.5" footer="0.5"/>
  <pageSetup fitToHeight="3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SheetLayoutView="100" zoomScalePageLayoutView="0" workbookViewId="0" topLeftCell="A57">
      <selection activeCell="F78" sqref="F78"/>
    </sheetView>
  </sheetViews>
  <sheetFormatPr defaultColWidth="9.77734375" defaultRowHeight="15"/>
  <cols>
    <col min="1" max="5" width="11.77734375" style="1" customWidth="1"/>
    <col min="6" max="16384" width="9.77734375" style="1" customWidth="1"/>
  </cols>
  <sheetData>
    <row r="1" ht="15.75">
      <c r="E1" s="141" t="str">
        <f>+'Sch 2, p 5'!E1</f>
        <v>Exhibit___(DCP-2)</v>
      </c>
    </row>
    <row r="2" ht="15.75">
      <c r="E2" s="141" t="str">
        <f>+'[20]Sch 2, p 5'!E2</f>
        <v>Schedule 2</v>
      </c>
    </row>
    <row r="3" ht="15.75">
      <c r="E3" s="2" t="s">
        <v>320</v>
      </c>
    </row>
    <row r="4" ht="18" customHeight="1">
      <c r="E4" s="2"/>
    </row>
    <row r="5" spans="1:6" ht="20.25">
      <c r="A5" s="3" t="s">
        <v>56</v>
      </c>
      <c r="B5" s="4"/>
      <c r="C5" s="4"/>
      <c r="D5" s="4"/>
      <c r="E5" s="4"/>
      <c r="F5" s="4"/>
    </row>
    <row r="6" ht="9.75" customHeight="1" thickBot="1"/>
    <row r="7" spans="1:6" ht="16.5" customHeight="1" thickTop="1">
      <c r="A7" s="180"/>
      <c r="B7" s="180"/>
      <c r="C7" s="180"/>
      <c r="D7" s="180"/>
      <c r="E7" s="180"/>
      <c r="F7" s="180"/>
    </row>
    <row r="8" spans="1:6" ht="15.75">
      <c r="A8" s="181"/>
      <c r="B8" s="181" t="s">
        <v>58</v>
      </c>
      <c r="C8" s="181" t="s">
        <v>316</v>
      </c>
      <c r="D8" s="181"/>
      <c r="E8" s="181" t="s">
        <v>58</v>
      </c>
      <c r="F8" s="181" t="s">
        <v>58</v>
      </c>
    </row>
    <row r="9" spans="1:6" ht="15.75">
      <c r="A9" s="181" t="s">
        <v>1</v>
      </c>
      <c r="B9" s="181" t="s">
        <v>134</v>
      </c>
      <c r="C9" s="181" t="s">
        <v>134</v>
      </c>
      <c r="D9" s="181" t="s">
        <v>57</v>
      </c>
      <c r="E9" s="181" t="s">
        <v>59</v>
      </c>
      <c r="F9" s="181" t="s">
        <v>60</v>
      </c>
    </row>
    <row r="10" spans="1:6" ht="16.5" thickBot="1">
      <c r="A10" s="182"/>
      <c r="B10" s="182"/>
      <c r="C10" s="182"/>
      <c r="D10" s="182"/>
      <c r="E10" s="182"/>
      <c r="F10" s="182"/>
    </row>
    <row r="11" spans="1:6" ht="15.75" thickTop="1">
      <c r="A11" s="39"/>
      <c r="B11" s="39"/>
      <c r="C11" s="39"/>
      <c r="D11" s="39"/>
      <c r="E11" s="39"/>
      <c r="F11" s="39"/>
    </row>
    <row r="12" spans="1:6" ht="15.75" hidden="1">
      <c r="A12" s="7" t="s">
        <v>2</v>
      </c>
      <c r="B12" s="4"/>
      <c r="C12" s="4"/>
      <c r="D12" s="4"/>
      <c r="E12" s="4"/>
      <c r="F12" s="4"/>
    </row>
    <row r="13" spans="1:6" ht="15" hidden="1">
      <c r="A13" s="8" t="s">
        <v>3</v>
      </c>
      <c r="B13" s="8"/>
      <c r="C13" s="14"/>
      <c r="D13" s="15">
        <v>802.49</v>
      </c>
      <c r="E13" s="11">
        <v>0.0431</v>
      </c>
      <c r="F13" s="11">
        <v>0.0915</v>
      </c>
    </row>
    <row r="14" spans="1:6" ht="15" hidden="1">
      <c r="A14" s="8" t="s">
        <v>4</v>
      </c>
      <c r="B14" s="14"/>
      <c r="C14" s="14"/>
      <c r="D14" s="15">
        <v>974.92</v>
      </c>
      <c r="E14" s="11">
        <v>0.0377</v>
      </c>
      <c r="F14" s="11">
        <v>0.089</v>
      </c>
    </row>
    <row r="15" spans="1:6" ht="15" hidden="1">
      <c r="A15" s="8" t="s">
        <v>5</v>
      </c>
      <c r="B15" s="14"/>
      <c r="C15" s="14"/>
      <c r="D15" s="15">
        <v>894.63</v>
      </c>
      <c r="E15" s="11">
        <v>0.0462</v>
      </c>
      <c r="F15" s="11">
        <v>0.1079</v>
      </c>
    </row>
    <row r="16" spans="1:6" ht="15" hidden="1">
      <c r="A16" s="8" t="s">
        <v>6</v>
      </c>
      <c r="B16" s="14"/>
      <c r="C16" s="14"/>
      <c r="D16" s="15">
        <v>820.23</v>
      </c>
      <c r="E16" s="11">
        <v>0.0528</v>
      </c>
      <c r="F16" s="11">
        <v>0.1203</v>
      </c>
    </row>
    <row r="17" spans="1:6" ht="15" hidden="1">
      <c r="A17" s="8" t="s">
        <v>7</v>
      </c>
      <c r="B17" s="14"/>
      <c r="C17" s="14"/>
      <c r="D17" s="15">
        <v>844.4</v>
      </c>
      <c r="E17" s="11">
        <v>0.0547</v>
      </c>
      <c r="F17" s="11">
        <v>0.1346</v>
      </c>
    </row>
    <row r="18" spans="1:6" ht="15" hidden="1">
      <c r="A18" s="8" t="s">
        <v>8</v>
      </c>
      <c r="B18" s="14"/>
      <c r="C18" s="14"/>
      <c r="D18" s="15">
        <v>891.41</v>
      </c>
      <c r="E18" s="11">
        <v>0.0526</v>
      </c>
      <c r="F18" s="11">
        <v>0.1266</v>
      </c>
    </row>
    <row r="19" spans="1:6" ht="15" hidden="1">
      <c r="A19" s="8" t="s">
        <v>9</v>
      </c>
      <c r="B19" s="14"/>
      <c r="C19" s="14"/>
      <c r="D19" s="15">
        <v>932.92</v>
      </c>
      <c r="E19" s="11">
        <v>0.052</v>
      </c>
      <c r="F19" s="11">
        <v>0.1196</v>
      </c>
    </row>
    <row r="20" spans="1:6" ht="15" hidden="1">
      <c r="A20" s="8" t="s">
        <v>10</v>
      </c>
      <c r="B20" s="14"/>
      <c r="C20" s="14"/>
      <c r="D20" s="15">
        <v>884.36</v>
      </c>
      <c r="E20" s="11">
        <v>0.0581</v>
      </c>
      <c r="F20" s="11">
        <v>0.116</v>
      </c>
    </row>
    <row r="21" spans="1:6" ht="28.5" customHeight="1" hidden="1">
      <c r="A21" s="12" t="s">
        <v>11</v>
      </c>
      <c r="B21" s="16"/>
      <c r="C21" s="4"/>
      <c r="D21" s="17"/>
      <c r="E21" s="13"/>
      <c r="F21" s="13"/>
    </row>
    <row r="22" spans="1:6" ht="15" hidden="1">
      <c r="A22" s="8" t="s">
        <v>12</v>
      </c>
      <c r="B22" s="14"/>
      <c r="C22" s="14"/>
      <c r="D22" s="15">
        <v>1190.34</v>
      </c>
      <c r="E22" s="11">
        <v>0.044</v>
      </c>
      <c r="F22" s="11">
        <v>0.0803</v>
      </c>
    </row>
    <row r="23" spans="1:6" ht="15" hidden="1">
      <c r="A23" s="8" t="s">
        <v>13</v>
      </c>
      <c r="B23" s="14"/>
      <c r="C23" s="14"/>
      <c r="D23" s="15">
        <v>1178.48</v>
      </c>
      <c r="E23" s="11">
        <v>0.0464</v>
      </c>
      <c r="F23" s="11">
        <v>0.1002</v>
      </c>
    </row>
    <row r="24" spans="1:6" ht="15" hidden="1">
      <c r="A24" s="8" t="s">
        <v>14</v>
      </c>
      <c r="B24" s="14"/>
      <c r="C24" s="14"/>
      <c r="D24" s="15">
        <v>1328.23</v>
      </c>
      <c r="E24" s="11">
        <v>0.0425</v>
      </c>
      <c r="F24" s="11">
        <v>0.0812</v>
      </c>
    </row>
    <row r="25" spans="1:6" ht="15" hidden="1">
      <c r="A25" s="8" t="s">
        <v>15</v>
      </c>
      <c r="B25" s="14"/>
      <c r="C25" s="14"/>
      <c r="D25" s="15">
        <v>1792.76</v>
      </c>
      <c r="E25" s="11">
        <v>0.0349</v>
      </c>
      <c r="F25" s="11">
        <v>0.0609</v>
      </c>
    </row>
    <row r="26" spans="1:6" ht="15" hidden="1">
      <c r="A26" s="8" t="s">
        <v>16</v>
      </c>
      <c r="B26" s="14"/>
      <c r="C26" s="14"/>
      <c r="D26" s="15">
        <v>2275.99</v>
      </c>
      <c r="E26" s="11">
        <v>0.0308</v>
      </c>
      <c r="F26" s="11">
        <v>0.0548</v>
      </c>
    </row>
    <row r="27" spans="1:6" ht="15" hidden="1">
      <c r="A27" s="8" t="s">
        <v>17</v>
      </c>
      <c r="B27" s="14"/>
      <c r="C27" s="14"/>
      <c r="D27" s="15">
        <v>2060.82</v>
      </c>
      <c r="E27" s="11">
        <v>0.0364</v>
      </c>
      <c r="F27" s="11">
        <v>0.0801</v>
      </c>
    </row>
    <row r="28" spans="1:6" ht="15" hidden="1">
      <c r="A28" s="8" t="s">
        <v>18</v>
      </c>
      <c r="B28" s="14">
        <v>322.84</v>
      </c>
      <c r="C28" s="14"/>
      <c r="D28" s="15">
        <v>2508.91</v>
      </c>
      <c r="E28" s="11">
        <v>0.0345</v>
      </c>
      <c r="F28" s="11">
        <v>0.0741</v>
      </c>
    </row>
    <row r="29" spans="1:6" ht="15" hidden="1">
      <c r="A29" s="8" t="s">
        <v>19</v>
      </c>
      <c r="B29" s="14">
        <v>334.59</v>
      </c>
      <c r="C29" s="14"/>
      <c r="D29" s="15">
        <v>2678.94</v>
      </c>
      <c r="E29" s="11">
        <v>0.0361</v>
      </c>
      <c r="F29" s="11">
        <v>0.0647</v>
      </c>
    </row>
    <row r="30" spans="1:6" ht="15" hidden="1">
      <c r="A30" s="8" t="s">
        <v>20</v>
      </c>
      <c r="B30" s="14">
        <v>376.18</v>
      </c>
      <c r="C30" s="14">
        <v>491.69</v>
      </c>
      <c r="D30" s="15">
        <v>2929.33</v>
      </c>
      <c r="E30" s="11">
        <v>0.0324</v>
      </c>
      <c r="F30" s="11">
        <v>0.0479</v>
      </c>
    </row>
    <row r="31" spans="1:6" ht="28.5" customHeight="1" hidden="1">
      <c r="A31" s="7" t="s">
        <v>161</v>
      </c>
      <c r="B31" s="4"/>
      <c r="C31" s="4"/>
      <c r="D31" s="17"/>
      <c r="E31" s="13"/>
      <c r="F31" s="13"/>
    </row>
    <row r="32" spans="1:6" ht="15" hidden="1">
      <c r="A32" s="8" t="s">
        <v>21</v>
      </c>
      <c r="B32" s="8">
        <v>415.74</v>
      </c>
      <c r="C32" s="8">
        <v>599.26</v>
      </c>
      <c r="D32" s="15">
        <v>3284.29</v>
      </c>
      <c r="E32" s="11">
        <v>0.0299</v>
      </c>
      <c r="F32" s="11">
        <v>0.0422</v>
      </c>
    </row>
    <row r="33" spans="1:6" ht="15" hidden="1">
      <c r="A33" s="8" t="s">
        <v>22</v>
      </c>
      <c r="B33" s="8">
        <v>451.21</v>
      </c>
      <c r="C33" s="14">
        <v>715.16</v>
      </c>
      <c r="D33" s="15">
        <v>3522.06</v>
      </c>
      <c r="E33" s="11">
        <v>0.0278</v>
      </c>
      <c r="F33" s="11">
        <v>0.0446</v>
      </c>
    </row>
    <row r="34" spans="1:6" ht="15" hidden="1">
      <c r="A34" s="8" t="s">
        <v>23</v>
      </c>
      <c r="B34" s="8">
        <v>460.42</v>
      </c>
      <c r="C34" s="14">
        <v>751.65</v>
      </c>
      <c r="D34" s="15">
        <v>3793.77</v>
      </c>
      <c r="E34" s="11">
        <v>0.0282</v>
      </c>
      <c r="F34" s="11">
        <v>0.0583</v>
      </c>
    </row>
    <row r="35" spans="1:6" ht="15" hidden="1">
      <c r="A35" s="15" t="s">
        <v>24</v>
      </c>
      <c r="B35" s="15">
        <v>541.72</v>
      </c>
      <c r="C35" s="15">
        <v>925.19</v>
      </c>
      <c r="D35" s="15">
        <v>4493.76</v>
      </c>
      <c r="E35" s="11">
        <v>0.0256</v>
      </c>
      <c r="F35" s="11">
        <v>0.0609</v>
      </c>
    </row>
    <row r="36" spans="1:6" ht="15" hidden="1">
      <c r="A36" s="15" t="s">
        <v>25</v>
      </c>
      <c r="B36" s="15">
        <v>670.5</v>
      </c>
      <c r="C36" s="15">
        <v>1164.96</v>
      </c>
      <c r="D36" s="15">
        <v>5742.89</v>
      </c>
      <c r="E36" s="11">
        <v>0.0219</v>
      </c>
      <c r="F36" s="11">
        <v>0.0524</v>
      </c>
    </row>
    <row r="37" spans="1:6" ht="15" hidden="1">
      <c r="A37" s="15" t="s">
        <v>26</v>
      </c>
      <c r="B37" s="15">
        <v>873.43</v>
      </c>
      <c r="C37" s="15">
        <v>1469.49</v>
      </c>
      <c r="D37" s="15">
        <v>7441.15</v>
      </c>
      <c r="E37" s="11">
        <v>0.0177</v>
      </c>
      <c r="F37" s="11">
        <v>0.0457</v>
      </c>
    </row>
    <row r="38" spans="1:6" ht="15" hidden="1">
      <c r="A38" s="19">
        <v>1998</v>
      </c>
      <c r="B38" s="15">
        <v>1085.5</v>
      </c>
      <c r="C38" s="15">
        <v>1794.91</v>
      </c>
      <c r="D38" s="15">
        <v>8625.52</v>
      </c>
      <c r="E38" s="11">
        <v>0.0149</v>
      </c>
      <c r="F38" s="11">
        <v>0.0346</v>
      </c>
    </row>
    <row r="39" spans="1:6" ht="15" hidden="1">
      <c r="A39" s="19">
        <v>1999</v>
      </c>
      <c r="B39" s="15">
        <v>1327.33</v>
      </c>
      <c r="C39" s="15">
        <v>2728.15</v>
      </c>
      <c r="D39" s="15">
        <v>10464.88</v>
      </c>
      <c r="E39" s="11">
        <v>0.0125</v>
      </c>
      <c r="F39" s="11">
        <v>0.0317</v>
      </c>
    </row>
    <row r="40" spans="1:6" ht="15" hidden="1">
      <c r="A40" s="19">
        <v>2000</v>
      </c>
      <c r="B40" s="15">
        <v>1427.22</v>
      </c>
      <c r="C40" s="15">
        <v>3783.67</v>
      </c>
      <c r="D40" s="15">
        <v>10734.9</v>
      </c>
      <c r="E40" s="11">
        <v>0.0115</v>
      </c>
      <c r="F40" s="11">
        <v>0.0363</v>
      </c>
    </row>
    <row r="41" spans="1:6" ht="15" hidden="1">
      <c r="A41" s="19">
        <v>2001</v>
      </c>
      <c r="B41" s="15">
        <v>1194.18</v>
      </c>
      <c r="C41" s="15">
        <v>2035</v>
      </c>
      <c r="D41" s="15">
        <v>10189.13</v>
      </c>
      <c r="E41" s="11">
        <v>0.0132</v>
      </c>
      <c r="F41" s="11">
        <v>0.0295</v>
      </c>
    </row>
    <row r="42" spans="1:6" ht="8.25" customHeight="1">
      <c r="A42" s="8"/>
      <c r="B42" s="14"/>
      <c r="C42" s="14"/>
      <c r="D42" s="15"/>
      <c r="E42" s="11"/>
      <c r="F42" s="11"/>
    </row>
    <row r="43" spans="1:6" ht="15.75">
      <c r="A43" s="92">
        <v>2002</v>
      </c>
      <c r="B43" s="15"/>
      <c r="C43" s="15"/>
      <c r="D43" s="15"/>
      <c r="E43" s="11"/>
      <c r="F43" s="11"/>
    </row>
    <row r="44" spans="1:6" ht="15">
      <c r="A44" s="8" t="s">
        <v>27</v>
      </c>
      <c r="B44" s="15">
        <v>1131.56</v>
      </c>
      <c r="C44" s="15">
        <v>1879.85</v>
      </c>
      <c r="D44" s="15">
        <v>10105.27</v>
      </c>
      <c r="E44" s="11">
        <v>0.0139</v>
      </c>
      <c r="F44" s="11">
        <v>0.0215</v>
      </c>
    </row>
    <row r="45" spans="1:6" ht="15">
      <c r="A45" s="8" t="s">
        <v>28</v>
      </c>
      <c r="B45" s="15">
        <v>1068.45</v>
      </c>
      <c r="C45" s="15">
        <v>1641.53</v>
      </c>
      <c r="D45" s="15">
        <v>9912.7</v>
      </c>
      <c r="E45" s="11">
        <v>0.0149</v>
      </c>
      <c r="F45" s="11">
        <v>0.027</v>
      </c>
    </row>
    <row r="46" spans="1:6" ht="15">
      <c r="A46" s="8" t="s">
        <v>29</v>
      </c>
      <c r="B46" s="15">
        <v>894.65</v>
      </c>
      <c r="C46" s="15">
        <v>1308.17</v>
      </c>
      <c r="D46" s="15">
        <v>8487.59</v>
      </c>
      <c r="E46" s="11">
        <v>0.0176</v>
      </c>
      <c r="F46" s="11">
        <v>0.0368</v>
      </c>
    </row>
    <row r="47" spans="1:6" ht="15">
      <c r="A47" s="8" t="s">
        <v>30</v>
      </c>
      <c r="B47" s="15">
        <v>887.91</v>
      </c>
      <c r="C47" s="15">
        <v>1346.07</v>
      </c>
      <c r="D47" s="15">
        <v>8400.17</v>
      </c>
      <c r="E47" s="11">
        <v>0.0179</v>
      </c>
      <c r="F47" s="11">
        <v>0.0314</v>
      </c>
    </row>
    <row r="48" spans="1:6" ht="8.25" customHeight="1">
      <c r="A48" s="8"/>
      <c r="B48" s="15"/>
      <c r="C48" s="15"/>
      <c r="D48" s="15"/>
      <c r="E48" s="11"/>
      <c r="F48" s="11"/>
    </row>
    <row r="49" spans="1:6" ht="15.75">
      <c r="A49" s="92">
        <v>2003</v>
      </c>
      <c r="B49" s="15"/>
      <c r="C49" s="15"/>
      <c r="D49" s="15"/>
      <c r="E49" s="11"/>
      <c r="F49" s="11"/>
    </row>
    <row r="50" spans="1:6" ht="15">
      <c r="A50" s="8" t="s">
        <v>27</v>
      </c>
      <c r="B50" s="15">
        <v>860.03</v>
      </c>
      <c r="C50" s="15">
        <v>1350.44</v>
      </c>
      <c r="D50" s="15">
        <v>8122.83</v>
      </c>
      <c r="E50" s="11">
        <v>0.0189</v>
      </c>
      <c r="F50" s="11">
        <v>0.0357</v>
      </c>
    </row>
    <row r="51" spans="1:6" ht="15">
      <c r="A51" s="8" t="s">
        <v>28</v>
      </c>
      <c r="B51" s="15">
        <v>938</v>
      </c>
      <c r="C51" s="15">
        <v>1521.92</v>
      </c>
      <c r="D51" s="15">
        <v>8684.52</v>
      </c>
      <c r="E51" s="11">
        <v>0.0175</v>
      </c>
      <c r="F51" s="11">
        <v>0.0355</v>
      </c>
    </row>
    <row r="52" spans="1:6" ht="15">
      <c r="A52" s="8" t="s">
        <v>29</v>
      </c>
      <c r="B52" s="15">
        <v>1000.5</v>
      </c>
      <c r="C52" s="15">
        <v>1765.96</v>
      </c>
      <c r="D52" s="15">
        <v>9310.57</v>
      </c>
      <c r="E52" s="11">
        <v>0.0174</v>
      </c>
      <c r="F52" s="11">
        <v>0.0387</v>
      </c>
    </row>
    <row r="53" spans="1:6" ht="15">
      <c r="A53" s="8" t="s">
        <v>30</v>
      </c>
      <c r="B53" s="15">
        <v>1056.42</v>
      </c>
      <c r="C53" s="15">
        <v>1934.71</v>
      </c>
      <c r="D53" s="15">
        <v>9856.44</v>
      </c>
      <c r="E53" s="11">
        <v>0.0169</v>
      </c>
      <c r="F53" s="11">
        <v>0.0438</v>
      </c>
    </row>
    <row r="54" spans="1:6" ht="8.25" customHeight="1">
      <c r="A54" s="8"/>
      <c r="B54" s="15"/>
      <c r="C54" s="15"/>
      <c r="D54" s="15"/>
      <c r="E54" s="11"/>
      <c r="F54" s="11"/>
    </row>
    <row r="55" spans="1:6" ht="15.75">
      <c r="A55" s="92">
        <v>2004</v>
      </c>
      <c r="B55" s="15"/>
      <c r="C55" s="15"/>
      <c r="D55" s="15"/>
      <c r="E55" s="11"/>
      <c r="F55" s="11"/>
    </row>
    <row r="56" spans="1:6" ht="15">
      <c r="A56" s="8" t="s">
        <v>27</v>
      </c>
      <c r="B56" s="15">
        <v>1133.29</v>
      </c>
      <c r="C56" s="15">
        <v>2041.95</v>
      </c>
      <c r="D56" s="15">
        <v>10488.43</v>
      </c>
      <c r="E56" s="11">
        <v>0.0164</v>
      </c>
      <c r="F56" s="11">
        <v>0.0462</v>
      </c>
    </row>
    <row r="57" spans="1:6" ht="15">
      <c r="A57" s="8" t="s">
        <v>28</v>
      </c>
      <c r="B57" s="15">
        <v>1122.87</v>
      </c>
      <c r="C57" s="15">
        <v>1984.13</v>
      </c>
      <c r="D57" s="15">
        <v>10289.04</v>
      </c>
      <c r="E57" s="11">
        <v>0.0171</v>
      </c>
      <c r="F57" s="11">
        <v>0.0492</v>
      </c>
    </row>
    <row r="58" spans="1:6" ht="15">
      <c r="A58" s="8" t="s">
        <v>29</v>
      </c>
      <c r="B58" s="15">
        <v>1104.15</v>
      </c>
      <c r="C58" s="15">
        <v>1872.9</v>
      </c>
      <c r="D58" s="15">
        <v>10129.85</v>
      </c>
      <c r="E58" s="11">
        <v>0.0179</v>
      </c>
      <c r="F58" s="11">
        <v>0.0518</v>
      </c>
    </row>
    <row r="59" spans="1:6" ht="15">
      <c r="A59" s="8" t="s">
        <v>30</v>
      </c>
      <c r="B59" s="15">
        <v>1162.07</v>
      </c>
      <c r="C59" s="15">
        <v>2050.22</v>
      </c>
      <c r="D59" s="15">
        <v>10362.25</v>
      </c>
      <c r="E59" s="11">
        <v>0.0175</v>
      </c>
      <c r="F59" s="11">
        <v>0.0483</v>
      </c>
    </row>
    <row r="60" spans="1:6" ht="8.25" customHeight="1">
      <c r="A60" s="8"/>
      <c r="B60" s="15"/>
      <c r="C60" s="15"/>
      <c r="D60" s="15"/>
      <c r="E60" s="11"/>
      <c r="F60" s="11"/>
    </row>
    <row r="61" spans="1:6" ht="15.75">
      <c r="A61" s="92">
        <v>2005</v>
      </c>
      <c r="B61" s="15"/>
      <c r="C61" s="15"/>
      <c r="D61" s="15"/>
      <c r="E61" s="11"/>
      <c r="F61" s="11"/>
    </row>
    <row r="62" spans="1:6" ht="15">
      <c r="A62" s="8" t="s">
        <v>27</v>
      </c>
      <c r="B62" s="15">
        <v>1191.98</v>
      </c>
      <c r="C62" s="15">
        <v>2056.01</v>
      </c>
      <c r="D62" s="15">
        <v>10648.48</v>
      </c>
      <c r="E62" s="11">
        <v>0.0177</v>
      </c>
      <c r="F62" s="11">
        <v>0.0511</v>
      </c>
    </row>
    <row r="63" spans="1:6" ht="15">
      <c r="A63" s="8" t="s">
        <v>28</v>
      </c>
      <c r="B63" s="15">
        <v>1181.65</v>
      </c>
      <c r="C63" s="15">
        <v>2012.24</v>
      </c>
      <c r="D63" s="15">
        <v>10382.35</v>
      </c>
      <c r="E63" s="11">
        <v>0.0185</v>
      </c>
      <c r="F63" s="11">
        <v>0.0532</v>
      </c>
    </row>
    <row r="64" spans="1:6" ht="15">
      <c r="A64" s="8" t="s">
        <v>29</v>
      </c>
      <c r="B64" s="15">
        <v>1225.91</v>
      </c>
      <c r="C64" s="15">
        <v>2144.61</v>
      </c>
      <c r="D64" s="15">
        <v>10532.24</v>
      </c>
      <c r="E64" s="11">
        <v>0.0183</v>
      </c>
      <c r="F64" s="11">
        <v>0.0542</v>
      </c>
    </row>
    <row r="65" spans="1:6" ht="15">
      <c r="A65" s="8" t="s">
        <v>30</v>
      </c>
      <c r="B65" s="15">
        <v>1262.07</v>
      </c>
      <c r="C65" s="15">
        <v>2246.09</v>
      </c>
      <c r="D65" s="15">
        <v>10827.79</v>
      </c>
      <c r="E65" s="11">
        <v>0.0186</v>
      </c>
      <c r="F65" s="11">
        <v>0.056</v>
      </c>
    </row>
    <row r="66" spans="1:6" ht="8.25" customHeight="1">
      <c r="A66" s="8"/>
      <c r="B66" s="15"/>
      <c r="C66" s="15"/>
      <c r="D66" s="15"/>
      <c r="E66" s="11"/>
      <c r="F66" s="11"/>
    </row>
    <row r="67" spans="1:6" ht="15.75">
      <c r="A67" s="92">
        <v>2006</v>
      </c>
      <c r="B67" s="15"/>
      <c r="C67" s="15"/>
      <c r="D67" s="15"/>
      <c r="E67" s="11"/>
      <c r="F67" s="11"/>
    </row>
    <row r="68" spans="1:6" ht="15">
      <c r="A68" s="8" t="s">
        <v>27</v>
      </c>
      <c r="B68" s="15">
        <v>1283.04</v>
      </c>
      <c r="C68" s="15">
        <v>2287.97</v>
      </c>
      <c r="D68" s="15">
        <v>10996.04</v>
      </c>
      <c r="E68" s="11">
        <v>0.0185</v>
      </c>
      <c r="F68" s="11">
        <v>0.0561</v>
      </c>
    </row>
    <row r="69" spans="1:6" ht="15">
      <c r="A69" s="8" t="s">
        <v>28</v>
      </c>
      <c r="B69" s="15">
        <v>1281.77</v>
      </c>
      <c r="C69" s="15">
        <v>2240.46</v>
      </c>
      <c r="D69" s="15">
        <v>11188.84</v>
      </c>
      <c r="E69" s="11">
        <v>0.019</v>
      </c>
      <c r="F69" s="11">
        <v>0.0586</v>
      </c>
    </row>
    <row r="70" spans="1:6" ht="15">
      <c r="A70" s="8" t="s">
        <v>29</v>
      </c>
      <c r="B70" s="15">
        <v>1288.4</v>
      </c>
      <c r="C70" s="15">
        <v>2141.97</v>
      </c>
      <c r="D70" s="15">
        <v>11274.49</v>
      </c>
      <c r="E70" s="11">
        <v>0.0191</v>
      </c>
      <c r="F70" s="11">
        <v>0.0588</v>
      </c>
    </row>
    <row r="71" spans="1:6" ht="15">
      <c r="A71" s="8" t="s">
        <v>30</v>
      </c>
      <c r="B71" s="15">
        <v>1389.48</v>
      </c>
      <c r="C71" s="15">
        <v>2390.26</v>
      </c>
      <c r="D71" s="15">
        <v>12175.3</v>
      </c>
      <c r="E71" s="11">
        <v>0.0181</v>
      </c>
      <c r="F71" s="11">
        <v>0.0575</v>
      </c>
    </row>
    <row r="72" spans="1:6" ht="15">
      <c r="A72" s="8"/>
      <c r="B72" s="15"/>
      <c r="C72" s="15"/>
      <c r="D72" s="15"/>
      <c r="E72" s="11"/>
      <c r="F72" s="11"/>
    </row>
    <row r="73" spans="1:6" ht="15" customHeight="1">
      <c r="A73" s="92">
        <v>2007</v>
      </c>
      <c r="B73" s="15"/>
      <c r="C73" s="15"/>
      <c r="D73" s="15"/>
      <c r="E73" s="11"/>
      <c r="F73" s="11"/>
    </row>
    <row r="74" spans="1:6" ht="15" customHeight="1">
      <c r="A74" s="8" t="s">
        <v>27</v>
      </c>
      <c r="B74" s="15">
        <v>1425.3</v>
      </c>
      <c r="C74" s="15">
        <v>2444.85</v>
      </c>
      <c r="D74" s="15">
        <v>12470.97</v>
      </c>
      <c r="E74" s="11">
        <v>0.0184</v>
      </c>
      <c r="F74" s="11">
        <v>0.0585</v>
      </c>
    </row>
    <row r="75" spans="1:6" ht="15" customHeight="1">
      <c r="A75" s="8" t="s">
        <v>28</v>
      </c>
      <c r="B75" s="15">
        <v>1496.43</v>
      </c>
      <c r="C75" s="15">
        <v>2552.37</v>
      </c>
      <c r="D75" s="15">
        <v>13214.26</v>
      </c>
      <c r="E75" s="11">
        <v>0.0182</v>
      </c>
      <c r="F75" s="11">
        <v>0.0565</v>
      </c>
    </row>
    <row r="76" spans="1:6" ht="15" customHeight="1">
      <c r="A76" s="8" t="s">
        <v>29</v>
      </c>
      <c r="B76" s="15">
        <v>1490.81</v>
      </c>
      <c r="C76" s="15">
        <v>2609.68</v>
      </c>
      <c r="D76" s="15">
        <v>13488.43</v>
      </c>
      <c r="E76" s="11">
        <v>0.0186</v>
      </c>
      <c r="F76" s="11">
        <v>0.0515</v>
      </c>
    </row>
    <row r="77" spans="1:6" ht="15" customHeight="1">
      <c r="A77" s="8" t="s">
        <v>30</v>
      </c>
      <c r="B77" s="15">
        <v>1494.09</v>
      </c>
      <c r="C77" s="15">
        <v>2701.59</v>
      </c>
      <c r="D77" s="15">
        <v>13502.95</v>
      </c>
      <c r="E77" s="11">
        <v>0.0191</v>
      </c>
      <c r="F77" s="11">
        <v>0.0451</v>
      </c>
    </row>
    <row r="78" spans="1:6" ht="15" customHeight="1">
      <c r="A78" s="8"/>
      <c r="B78" s="15"/>
      <c r="C78" s="15"/>
      <c r="D78" s="15"/>
      <c r="E78" s="11"/>
      <c r="F78" s="11"/>
    </row>
    <row r="79" spans="1:6" ht="15" customHeight="1">
      <c r="A79" s="92">
        <v>2008</v>
      </c>
      <c r="B79" s="15"/>
      <c r="C79" s="15"/>
      <c r="D79" s="15"/>
      <c r="E79" s="11"/>
      <c r="F79" s="11"/>
    </row>
    <row r="80" spans="1:6" ht="15" customHeight="1">
      <c r="A80" s="8" t="s">
        <v>27</v>
      </c>
      <c r="B80" s="15">
        <v>1350.19</v>
      </c>
      <c r="C80" s="15">
        <v>2332.91</v>
      </c>
      <c r="D80" s="15">
        <v>12383.86</v>
      </c>
      <c r="E80" s="11">
        <v>0.0211</v>
      </c>
      <c r="F80" s="11"/>
    </row>
    <row r="81" spans="1:6" ht="15" customHeight="1">
      <c r="A81" s="70"/>
      <c r="B81" s="185"/>
      <c r="C81" s="185"/>
      <c r="D81" s="185"/>
      <c r="E81" s="66"/>
      <c r="F81" s="66"/>
    </row>
    <row r="82" spans="1:6" ht="6" customHeight="1">
      <c r="A82" s="8"/>
      <c r="B82" s="15"/>
      <c r="C82" s="15"/>
      <c r="D82" s="15"/>
      <c r="E82" s="11"/>
      <c r="F82" s="11"/>
    </row>
    <row r="83" spans="1:6" ht="15" customHeight="1">
      <c r="A83" s="112" t="str">
        <f>+'[20]Sch 2, p 5'!A83</f>
        <v>[1] Note:  this source did not publish the S&amp;P Composite prior to 1988 and the NASDAQ</v>
      </c>
      <c r="B83" s="15"/>
      <c r="C83" s="15"/>
      <c r="D83" s="15"/>
      <c r="E83" s="11"/>
      <c r="F83" s="11"/>
    </row>
    <row r="84" spans="1:6" ht="15" customHeight="1">
      <c r="A84" s="112" t="str">
        <f>+'[20]Sch 2, p 5'!A84</f>
        <v>Composite prior to 1991.</v>
      </c>
      <c r="B84" s="15"/>
      <c r="C84" s="15"/>
      <c r="D84" s="15"/>
      <c r="E84" s="11"/>
      <c r="F84" s="11"/>
    </row>
    <row r="85" spans="1:6" ht="9" customHeight="1">
      <c r="A85" s="8"/>
      <c r="B85" s="15"/>
      <c r="C85" s="15"/>
      <c r="D85" s="15"/>
      <c r="E85" s="11"/>
      <c r="F85" s="11"/>
    </row>
    <row r="86" spans="1:6" ht="15">
      <c r="A86" s="5" t="s">
        <v>31</v>
      </c>
      <c r="B86" s="14"/>
      <c r="C86" s="14"/>
      <c r="D86" s="15"/>
      <c r="E86" s="11"/>
      <c r="F86" s="11"/>
    </row>
    <row r="87" spans="2:6" ht="15">
      <c r="B87" s="14"/>
      <c r="C87" s="14"/>
      <c r="D87" s="15"/>
      <c r="E87" s="14"/>
      <c r="F87" s="14"/>
    </row>
    <row r="88" spans="2:6" ht="15">
      <c r="B88" s="8"/>
      <c r="C88" s="8"/>
      <c r="D88" s="15"/>
      <c r="E88" s="8"/>
      <c r="F88" s="8"/>
    </row>
    <row r="89" spans="2:6" ht="15">
      <c r="B89" s="8"/>
      <c r="C89" s="8"/>
      <c r="D89" s="15"/>
      <c r="E89" s="8"/>
      <c r="F89" s="8"/>
    </row>
    <row r="90" spans="2:6" ht="15">
      <c r="B90" s="8"/>
      <c r="C90" s="8"/>
      <c r="D90" s="15"/>
      <c r="E90" s="8"/>
      <c r="F90" s="8"/>
    </row>
    <row r="91" spans="2:6" ht="15">
      <c r="B91" s="8"/>
      <c r="C91" s="8"/>
      <c r="D91" s="8"/>
      <c r="E91" s="8"/>
      <c r="F91" s="8"/>
    </row>
    <row r="92" spans="2:6" ht="15">
      <c r="B92" s="8"/>
      <c r="C92" s="8"/>
      <c r="D92" s="8"/>
      <c r="E92" s="8"/>
      <c r="F92" s="8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OutlineSymbols="0" zoomScalePageLayoutView="0" workbookViewId="0" topLeftCell="A19">
      <selection activeCell="E2" sqref="E2"/>
    </sheetView>
  </sheetViews>
  <sheetFormatPr defaultColWidth="12.77734375" defaultRowHeight="15"/>
  <cols>
    <col min="1" max="1" width="28.3359375" style="18" customWidth="1"/>
    <col min="2" max="3" width="12.6640625" style="18" customWidth="1"/>
    <col min="4" max="16384" width="12.77734375" style="18" customWidth="1"/>
  </cols>
  <sheetData>
    <row r="1" ht="15.75">
      <c r="E1" s="31" t="str">
        <f>+'Sch 2, p 6'!E1</f>
        <v>Exhibit___(DCP-2)</v>
      </c>
    </row>
    <row r="2" ht="15.75">
      <c r="E2" s="2" t="s">
        <v>62</v>
      </c>
    </row>
    <row r="4" spans="4:5" ht="15.75">
      <c r="D4" s="2"/>
      <c r="E4" s="2"/>
    </row>
    <row r="6" spans="1:6" ht="20.25">
      <c r="A6" s="3" t="s">
        <v>373</v>
      </c>
      <c r="B6" s="3"/>
      <c r="C6" s="3"/>
      <c r="D6" s="4"/>
      <c r="E6" s="4"/>
      <c r="F6" s="4"/>
    </row>
    <row r="7" spans="1:6" ht="20.25">
      <c r="A7" s="3" t="s">
        <v>61</v>
      </c>
      <c r="B7" s="3"/>
      <c r="C7" s="3"/>
      <c r="D7" s="4"/>
      <c r="E7" s="4"/>
      <c r="F7" s="4"/>
    </row>
    <row r="8" spans="1:6" ht="20.25">
      <c r="A8" s="3" t="s">
        <v>324</v>
      </c>
      <c r="B8" s="3"/>
      <c r="C8" s="3"/>
      <c r="D8" s="4"/>
      <c r="E8" s="4"/>
      <c r="F8" s="4"/>
    </row>
    <row r="9" spans="1:6" ht="20.25">
      <c r="A9" s="253" t="s">
        <v>167</v>
      </c>
      <c r="B9" s="254"/>
      <c r="C9" s="254"/>
      <c r="D9" s="254"/>
      <c r="E9" s="254"/>
      <c r="F9" s="254"/>
    </row>
    <row r="12" spans="2:6" ht="15" customHeight="1">
      <c r="B12" s="107" t="s">
        <v>204</v>
      </c>
      <c r="C12" s="107" t="str">
        <f>+B12</f>
        <v>Operating</v>
      </c>
      <c r="D12" s="255" t="s">
        <v>349</v>
      </c>
      <c r="E12" s="107" t="s">
        <v>146</v>
      </c>
      <c r="F12" s="107"/>
    </row>
    <row r="13" spans="1:6" ht="15">
      <c r="A13" s="8" t="s">
        <v>203</v>
      </c>
      <c r="B13" s="8" t="s">
        <v>205</v>
      </c>
      <c r="C13" s="8" t="s">
        <v>206</v>
      </c>
      <c r="D13" s="256"/>
      <c r="E13" s="8" t="s">
        <v>207</v>
      </c>
      <c r="F13" s="51"/>
    </row>
    <row r="14" spans="1:6" ht="15">
      <c r="A14" s="8"/>
      <c r="B14" s="8"/>
      <c r="C14" s="8"/>
      <c r="D14" s="8"/>
      <c r="E14" s="8"/>
      <c r="F14" s="51"/>
    </row>
    <row r="15" spans="1:6" ht="15">
      <c r="A15" s="6"/>
      <c r="B15" s="6"/>
      <c r="C15" s="6"/>
      <c r="D15" s="6"/>
      <c r="E15" s="6"/>
      <c r="F15" s="39"/>
    </row>
    <row r="16" spans="1:6" ht="15">
      <c r="A16" s="111"/>
      <c r="B16" s="110"/>
      <c r="C16" s="110"/>
      <c r="D16" s="42"/>
      <c r="E16" s="110"/>
      <c r="F16" s="117"/>
    </row>
    <row r="17" spans="1:6" ht="15.75">
      <c r="A17" s="140">
        <v>2005</v>
      </c>
      <c r="B17" s="110"/>
      <c r="C17" s="110"/>
      <c r="D17" s="42"/>
      <c r="E17" s="110"/>
      <c r="F17" s="117"/>
    </row>
    <row r="18" spans="1:6" ht="15">
      <c r="A18" s="111"/>
      <c r="B18" s="110"/>
      <c r="C18" s="110"/>
      <c r="D18" s="42"/>
      <c r="E18" s="110"/>
      <c r="F18" s="117"/>
    </row>
    <row r="19" spans="1:6" ht="15">
      <c r="A19" s="111" t="s">
        <v>347</v>
      </c>
      <c r="B19" s="110">
        <v>2570182</v>
      </c>
      <c r="C19" s="110">
        <v>385816</v>
      </c>
      <c r="D19" s="42">
        <v>228030</v>
      </c>
      <c r="E19" s="110">
        <v>6267012</v>
      </c>
      <c r="F19" s="117"/>
    </row>
    <row r="20" spans="1:6" ht="15">
      <c r="A20" s="111"/>
      <c r="B20" s="29">
        <f>+B19/B$26</f>
        <v>0.9969643228415117</v>
      </c>
      <c r="C20" s="29">
        <f>+C19/C$26</f>
        <v>0.9885189996336123</v>
      </c>
      <c r="D20" s="29">
        <f>+D19/D$26</f>
        <v>0.981521416304025</v>
      </c>
      <c r="E20" s="29">
        <f>+E19/E$26</f>
        <v>0.9481177697081264</v>
      </c>
      <c r="F20" s="117"/>
    </row>
    <row r="21" spans="1:6" ht="15">
      <c r="A21" s="111"/>
      <c r="B21" s="110"/>
      <c r="C21" s="110"/>
      <c r="D21" s="42"/>
      <c r="E21" s="110"/>
      <c r="F21" s="117"/>
    </row>
    <row r="22" spans="1:6" ht="15">
      <c r="A22" s="111" t="s">
        <v>348</v>
      </c>
      <c r="B22" s="110">
        <v>7826</v>
      </c>
      <c r="C22" s="110">
        <v>4481</v>
      </c>
      <c r="D22" s="42">
        <v>4293</v>
      </c>
      <c r="E22" s="110">
        <v>68392</v>
      </c>
      <c r="F22" s="117"/>
    </row>
    <row r="23" spans="2:6" ht="15">
      <c r="B23" s="29">
        <f>+B22/B$26</f>
        <v>0.003035677158488259</v>
      </c>
      <c r="C23" s="29">
        <f>+C22/C$26</f>
        <v>0.011481000366387648</v>
      </c>
      <c r="D23" s="29">
        <f>+D22/D$26</f>
        <v>0.018478583695975</v>
      </c>
      <c r="E23" s="29">
        <f>+E22/E$26</f>
        <v>0.0103468240536125</v>
      </c>
      <c r="F23" s="117"/>
    </row>
    <row r="24" spans="2:6" ht="15">
      <c r="B24" s="29"/>
      <c r="C24" s="29"/>
      <c r="D24" s="29"/>
      <c r="E24" s="29"/>
      <c r="F24" s="117"/>
    </row>
    <row r="25" spans="1:6" ht="15">
      <c r="A25" s="116"/>
      <c r="B25" s="29"/>
      <c r="C25" s="29"/>
      <c r="D25" s="29"/>
      <c r="E25" s="29"/>
      <c r="F25" s="117"/>
    </row>
    <row r="26" spans="1:6" ht="15">
      <c r="A26" s="111" t="s">
        <v>361</v>
      </c>
      <c r="B26" s="110">
        <f>+B19+B22</f>
        <v>2578008</v>
      </c>
      <c r="C26" s="110">
        <f>+C19+C22</f>
        <v>390297</v>
      </c>
      <c r="D26" s="110">
        <f>+D19+D22</f>
        <v>232323</v>
      </c>
      <c r="E26" s="110">
        <v>6609951</v>
      </c>
      <c r="F26" s="117"/>
    </row>
    <row r="27" spans="1:6" ht="15">
      <c r="A27" s="111"/>
      <c r="B27" s="110"/>
      <c r="C27" s="110"/>
      <c r="D27" s="42"/>
      <c r="E27" s="110"/>
      <c r="F27" s="117"/>
    </row>
    <row r="28" spans="1:6" ht="15">
      <c r="A28" s="111"/>
      <c r="B28" s="110"/>
      <c r="C28" s="110"/>
      <c r="D28" s="42"/>
      <c r="E28" s="110"/>
      <c r="F28" s="117"/>
    </row>
    <row r="29" spans="1:6" ht="15.75">
      <c r="A29" s="140">
        <v>2006</v>
      </c>
      <c r="B29" s="110"/>
      <c r="C29" s="110"/>
      <c r="D29" s="42"/>
      <c r="E29" s="110"/>
      <c r="F29" s="117"/>
    </row>
    <row r="30" spans="1:6" ht="15">
      <c r="A30" s="111"/>
      <c r="B30" s="110"/>
      <c r="C30" s="110"/>
      <c r="D30" s="42"/>
      <c r="E30" s="110"/>
      <c r="F30" s="117"/>
    </row>
    <row r="31" spans="1:6" ht="15">
      <c r="A31" s="111" t="s">
        <v>347</v>
      </c>
      <c r="B31" s="110">
        <v>2899234</v>
      </c>
      <c r="C31" s="110">
        <v>416734</v>
      </c>
      <c r="D31" s="42">
        <v>172644</v>
      </c>
      <c r="E31" s="110">
        <v>6993131</v>
      </c>
      <c r="F31" s="117"/>
    </row>
    <row r="32" spans="1:6" ht="15">
      <c r="A32" s="111"/>
      <c r="B32" s="29">
        <f>+B31/B$38</f>
        <v>0.9973069039095472</v>
      </c>
      <c r="C32" s="29">
        <f>+C31/C$38</f>
        <v>0.9902174403767604</v>
      </c>
      <c r="D32" s="29">
        <f>+D31/D$38</f>
        <v>1.0324116155575755</v>
      </c>
      <c r="E32" s="29">
        <f>+E31/E$38</f>
        <v>0.9896819137284694</v>
      </c>
      <c r="F32" s="117"/>
    </row>
    <row r="33" spans="1:6" ht="15">
      <c r="A33" s="111"/>
      <c r="B33" s="110"/>
      <c r="C33" s="110"/>
      <c r="D33" s="42"/>
      <c r="E33" s="110"/>
      <c r="F33" s="117"/>
    </row>
    <row r="34" spans="1:6" ht="15">
      <c r="A34" s="111" t="s">
        <v>348</v>
      </c>
      <c r="B34" s="110">
        <v>7829</v>
      </c>
      <c r="C34" s="110">
        <v>4117</v>
      </c>
      <c r="D34" s="42">
        <v>-5420</v>
      </c>
      <c r="E34" s="110">
        <v>72908</v>
      </c>
      <c r="F34" s="117"/>
    </row>
    <row r="35" spans="2:6" ht="15">
      <c r="B35" s="29">
        <f>+B34/B$38</f>
        <v>0.002693096090452804</v>
      </c>
      <c r="C35" s="29">
        <f>+C34/C$38</f>
        <v>0.00978255962323958</v>
      </c>
      <c r="D35" s="29">
        <f>+D34/D$38</f>
        <v>-0.03241161555757547</v>
      </c>
      <c r="E35" s="29">
        <f>+E34/E$38</f>
        <v>0.010318086271530627</v>
      </c>
      <c r="F35" s="117"/>
    </row>
    <row r="36" spans="2:6" ht="15">
      <c r="B36" s="29"/>
      <c r="C36" s="29"/>
      <c r="D36" s="29"/>
      <c r="E36" s="29"/>
      <c r="F36" s="117"/>
    </row>
    <row r="37" spans="1:6" ht="15">
      <c r="A37" s="116"/>
      <c r="B37" s="29"/>
      <c r="C37" s="29"/>
      <c r="D37" s="29"/>
      <c r="E37" s="29"/>
      <c r="F37" s="117"/>
    </row>
    <row r="38" spans="1:6" ht="15">
      <c r="A38" s="111" t="str">
        <f>+A26</f>
        <v>Puget Energy Consolidated</v>
      </c>
      <c r="B38" s="110">
        <f>+B31+B34</f>
        <v>2907063</v>
      </c>
      <c r="C38" s="110">
        <f>+C31+C34</f>
        <v>420851</v>
      </c>
      <c r="D38" s="110">
        <f>+D31+D34</f>
        <v>167224</v>
      </c>
      <c r="E38" s="110">
        <f>+E31+E34</f>
        <v>7066039</v>
      </c>
      <c r="F38" s="117"/>
    </row>
    <row r="39" spans="1:6" ht="15">
      <c r="A39" s="107"/>
      <c r="B39" s="110"/>
      <c r="C39" s="110"/>
      <c r="D39" s="110"/>
      <c r="E39" s="110"/>
      <c r="F39" s="107"/>
    </row>
    <row r="40" spans="1:6" ht="15">
      <c r="A40" s="107"/>
      <c r="B40" s="110"/>
      <c r="C40" s="110"/>
      <c r="D40" s="110"/>
      <c r="E40" s="110"/>
      <c r="F40" s="107"/>
    </row>
    <row r="41" spans="1:6" ht="15.75">
      <c r="A41" s="140">
        <v>2007</v>
      </c>
      <c r="B41" s="110"/>
      <c r="C41" s="110"/>
      <c r="D41" s="110"/>
      <c r="E41" s="110"/>
      <c r="F41" s="107"/>
    </row>
    <row r="42" spans="1:6" ht="15">
      <c r="A42" s="107"/>
      <c r="B42" s="110"/>
      <c r="C42" s="110"/>
      <c r="D42" s="110"/>
      <c r="E42" s="110"/>
      <c r="F42" s="107"/>
    </row>
    <row r="43" spans="1:6" ht="15">
      <c r="A43" s="111" t="s">
        <v>347</v>
      </c>
      <c r="B43" s="110">
        <v>3207061</v>
      </c>
      <c r="C43" s="110">
        <v>439433</v>
      </c>
      <c r="D43" s="42">
        <v>184049</v>
      </c>
      <c r="E43" s="110">
        <v>7513884</v>
      </c>
      <c r="F43" s="107"/>
    </row>
    <row r="44" spans="1:6" ht="15">
      <c r="A44" s="111"/>
      <c r="B44" s="29">
        <f>+B43/B$49</f>
        <v>0.9959362103655517</v>
      </c>
      <c r="C44" s="29">
        <f>+C43/C$49</f>
        <v>0.9963698943845599</v>
      </c>
      <c r="D44" s="29">
        <f>+D43/D$49</f>
        <v>0.9966048647360783</v>
      </c>
      <c r="E44" s="29">
        <f>+E43/E$49</f>
        <v>0.9888334059769941</v>
      </c>
      <c r="F44" s="107"/>
    </row>
    <row r="45" spans="1:6" ht="15">
      <c r="A45" s="111"/>
      <c r="B45" s="110"/>
      <c r="C45" s="110"/>
      <c r="D45" s="42"/>
      <c r="E45" s="110"/>
      <c r="F45" s="107"/>
    </row>
    <row r="46" spans="1:6" ht="15">
      <c r="A46" s="111" t="s">
        <v>348</v>
      </c>
      <c r="B46" s="110">
        <v>13086</v>
      </c>
      <c r="C46" s="110">
        <v>1601</v>
      </c>
      <c r="D46" s="42">
        <v>627</v>
      </c>
      <c r="E46" s="110">
        <v>84852</v>
      </c>
      <c r="F46" s="107"/>
    </row>
    <row r="47" spans="2:6" ht="15">
      <c r="B47" s="29">
        <f>+B46/B$49</f>
        <v>0.004063789634448365</v>
      </c>
      <c r="C47" s="29">
        <f>+C46/C$49</f>
        <v>0.0036301056154400793</v>
      </c>
      <c r="D47" s="29">
        <f>+D46/D$49</f>
        <v>0.003395135263921679</v>
      </c>
      <c r="E47" s="29">
        <f>+E46/E$49</f>
        <v>0.01116659402300593</v>
      </c>
      <c r="F47" s="107"/>
    </row>
    <row r="48" spans="2:6" ht="15">
      <c r="B48" s="29"/>
      <c r="C48" s="29"/>
      <c r="D48" s="29"/>
      <c r="E48" s="29"/>
      <c r="F48" s="107"/>
    </row>
    <row r="49" spans="1:6" ht="15">
      <c r="A49" s="111" t="str">
        <f>+A38</f>
        <v>Puget Energy Consolidated</v>
      </c>
      <c r="B49" s="110">
        <f>+B43+B46</f>
        <v>3220147</v>
      </c>
      <c r="C49" s="110">
        <f>+C43+C46</f>
        <v>441034</v>
      </c>
      <c r="D49" s="110">
        <f>+D43+D46</f>
        <v>184676</v>
      </c>
      <c r="E49" s="110">
        <f>+E43+E46</f>
        <v>7598736</v>
      </c>
      <c r="F49" s="107"/>
    </row>
    <row r="50" spans="1:6" ht="15">
      <c r="A50" s="187"/>
      <c r="B50" s="188"/>
      <c r="C50" s="188"/>
      <c r="D50" s="188"/>
      <c r="E50" s="188"/>
      <c r="F50" s="107"/>
    </row>
    <row r="51" spans="1:6" ht="15">
      <c r="A51" s="111"/>
      <c r="B51" s="107"/>
      <c r="C51" s="107"/>
      <c r="D51" s="107"/>
      <c r="E51" s="107"/>
      <c r="F51" s="107"/>
    </row>
    <row r="52" spans="1:6" ht="15">
      <c r="A52" s="111"/>
      <c r="B52" s="107"/>
      <c r="C52" s="107"/>
      <c r="D52" s="107"/>
      <c r="E52" s="107"/>
      <c r="F52" s="107"/>
    </row>
    <row r="53" spans="1:6" ht="15">
      <c r="A53" s="111"/>
      <c r="B53" s="107"/>
      <c r="C53" s="107"/>
      <c r="D53" s="107"/>
      <c r="E53" s="107"/>
      <c r="F53" s="107"/>
    </row>
    <row r="54" spans="1:6" ht="15">
      <c r="A54" s="111" t="s">
        <v>350</v>
      </c>
      <c r="B54" s="107"/>
      <c r="C54" s="107"/>
      <c r="D54" s="107"/>
      <c r="E54" s="107"/>
      <c r="F54" s="107"/>
    </row>
    <row r="55" spans="1:6" ht="15">
      <c r="A55" s="111"/>
      <c r="B55" s="107"/>
      <c r="C55" s="107"/>
      <c r="D55" s="107"/>
      <c r="E55" s="107"/>
      <c r="F55" s="107"/>
    </row>
    <row r="56" spans="1:6" ht="15">
      <c r="A56" s="111"/>
      <c r="B56" s="43"/>
      <c r="C56" s="43"/>
      <c r="D56" s="43"/>
      <c r="E56" s="43"/>
      <c r="F56" s="43"/>
    </row>
    <row r="57" spans="1:6" ht="15">
      <c r="A57" s="111"/>
      <c r="B57" s="107"/>
      <c r="C57" s="107"/>
      <c r="D57" s="107"/>
      <c r="E57" s="107"/>
      <c r="F57" s="107"/>
    </row>
    <row r="58" spans="1:6" ht="15">
      <c r="A58" s="111"/>
      <c r="B58" s="107"/>
      <c r="C58" s="107"/>
      <c r="D58" s="107"/>
      <c r="E58" s="107"/>
      <c r="F58" s="107"/>
    </row>
    <row r="59" spans="1:6" ht="15">
      <c r="A59" s="111"/>
      <c r="B59" s="43"/>
      <c r="C59" s="43"/>
      <c r="D59" s="43"/>
      <c r="E59" s="43"/>
      <c r="F59" s="43"/>
    </row>
    <row r="60" spans="1:6" ht="15">
      <c r="A60" s="111"/>
      <c r="B60" s="107"/>
      <c r="C60" s="107"/>
      <c r="D60" s="107"/>
      <c r="E60" s="107"/>
      <c r="F60" s="107"/>
    </row>
    <row r="61" spans="1:6" ht="15">
      <c r="A61" s="111"/>
      <c r="B61" s="107"/>
      <c r="C61" s="107"/>
      <c r="D61" s="107"/>
      <c r="E61" s="107"/>
      <c r="F61" s="107"/>
    </row>
    <row r="62" spans="1:6" ht="15">
      <c r="A62" s="111"/>
      <c r="B62" s="43"/>
      <c r="C62" s="43"/>
      <c r="D62" s="43"/>
      <c r="E62" s="43"/>
      <c r="F62" s="43"/>
    </row>
    <row r="63" spans="1:6" ht="15">
      <c r="A63" s="111"/>
      <c r="B63" s="107"/>
      <c r="C63" s="107"/>
      <c r="D63" s="107"/>
      <c r="E63" s="107"/>
      <c r="F63" s="107"/>
    </row>
    <row r="64" spans="1:6" ht="15">
      <c r="A64" s="112"/>
      <c r="B64" s="42"/>
      <c r="C64" s="42"/>
      <c r="D64" s="42"/>
      <c r="E64" s="42"/>
      <c r="F64" s="42"/>
    </row>
    <row r="65" spans="1:6" ht="15">
      <c r="A65" s="111"/>
      <c r="B65" s="43"/>
      <c r="C65" s="43"/>
      <c r="D65" s="43"/>
      <c r="E65" s="43"/>
      <c r="F65" s="43"/>
    </row>
    <row r="66" spans="1:6" ht="15">
      <c r="A66" s="111"/>
      <c r="B66" s="108"/>
      <c r="C66" s="108"/>
      <c r="D66" s="108"/>
      <c r="E66" s="108"/>
      <c r="F66" s="108"/>
    </row>
    <row r="67" spans="1:6" ht="15">
      <c r="A67" s="111"/>
      <c r="B67" s="107"/>
      <c r="C67" s="107"/>
      <c r="D67" s="107"/>
      <c r="E67" s="107"/>
      <c r="F67" s="107"/>
    </row>
    <row r="68" spans="1:6" ht="15">
      <c r="A68" s="111"/>
      <c r="B68" s="107"/>
      <c r="C68" s="107"/>
      <c r="D68" s="107"/>
      <c r="E68" s="107"/>
      <c r="F68" s="107"/>
    </row>
    <row r="69" spans="1:6" ht="15">
      <c r="A69" s="107"/>
      <c r="B69" s="107"/>
      <c r="C69" s="107"/>
      <c r="D69" s="107"/>
      <c r="E69" s="107"/>
      <c r="F69" s="107"/>
    </row>
    <row r="70" spans="1:6" ht="15.75">
      <c r="A70" s="252"/>
      <c r="B70" s="252"/>
      <c r="C70" s="252"/>
      <c r="D70" s="252"/>
      <c r="E70" s="252"/>
      <c r="F70" s="252"/>
    </row>
    <row r="71" spans="1:6" ht="15">
      <c r="A71" s="107"/>
      <c r="B71" s="107"/>
      <c r="C71" s="107"/>
      <c r="D71" s="107"/>
      <c r="E71" s="107"/>
      <c r="F71" s="107"/>
    </row>
    <row r="72" spans="1:6" ht="15">
      <c r="A72" s="111"/>
      <c r="B72" s="107"/>
      <c r="C72" s="107"/>
      <c r="D72" s="107"/>
      <c r="E72" s="107"/>
      <c r="F72" s="107"/>
    </row>
    <row r="73" spans="1:6" ht="15">
      <c r="A73" s="111"/>
      <c r="B73" s="43"/>
      <c r="C73" s="43"/>
      <c r="D73" s="43"/>
      <c r="E73" s="43"/>
      <c r="F73" s="43"/>
    </row>
    <row r="74" spans="1:6" ht="15">
      <c r="A74" s="111"/>
      <c r="B74" s="107"/>
      <c r="C74" s="107"/>
      <c r="D74" s="107"/>
      <c r="E74" s="107"/>
      <c r="F74" s="107"/>
    </row>
    <row r="75" spans="1:6" ht="15">
      <c r="A75" s="111"/>
      <c r="B75" s="107"/>
      <c r="C75" s="107"/>
      <c r="D75" s="107"/>
      <c r="E75" s="107"/>
      <c r="F75" s="107"/>
    </row>
    <row r="76" spans="1:6" ht="15">
      <c r="A76" s="111"/>
      <c r="B76" s="43"/>
      <c r="C76" s="43"/>
      <c r="D76" s="43"/>
      <c r="E76" s="43"/>
      <c r="F76" s="43"/>
    </row>
    <row r="77" spans="1:6" ht="15">
      <c r="A77" s="111"/>
      <c r="B77" s="107"/>
      <c r="C77" s="107"/>
      <c r="D77" s="107"/>
      <c r="E77" s="107"/>
      <c r="F77" s="107"/>
    </row>
    <row r="78" spans="1:6" ht="15">
      <c r="A78" s="111"/>
      <c r="B78" s="107"/>
      <c r="C78" s="107"/>
      <c r="D78" s="107"/>
      <c r="E78" s="107"/>
      <c r="F78" s="107"/>
    </row>
    <row r="79" spans="1:6" ht="15">
      <c r="A79" s="111"/>
      <c r="B79" s="43"/>
      <c r="C79" s="43"/>
      <c r="D79" s="43"/>
      <c r="E79" s="43"/>
      <c r="F79" s="43"/>
    </row>
    <row r="80" spans="1:6" ht="15">
      <c r="A80" s="111"/>
      <c r="B80" s="107"/>
      <c r="C80" s="107"/>
      <c r="D80" s="107"/>
      <c r="E80" s="107"/>
      <c r="F80" s="107"/>
    </row>
    <row r="81" spans="1:6" ht="15">
      <c r="A81" s="111"/>
      <c r="B81" s="107"/>
      <c r="C81" s="107"/>
      <c r="D81" s="107"/>
      <c r="E81" s="107"/>
      <c r="F81" s="107"/>
    </row>
    <row r="82" spans="1:6" ht="15">
      <c r="A82" s="111"/>
      <c r="B82" s="43"/>
      <c r="C82" s="43"/>
      <c r="D82" s="43"/>
      <c r="E82" s="43"/>
      <c r="F82" s="43"/>
    </row>
    <row r="83" spans="1:6" ht="15">
      <c r="A83" s="111"/>
      <c r="B83" s="107"/>
      <c r="C83" s="107"/>
      <c r="D83" s="107"/>
      <c r="E83" s="107"/>
      <c r="F83" s="107"/>
    </row>
    <row r="84" spans="1:6" ht="15">
      <c r="A84" s="111"/>
      <c r="B84" s="107"/>
      <c r="C84" s="107"/>
      <c r="D84" s="107"/>
      <c r="E84" s="107"/>
      <c r="F84" s="107"/>
    </row>
    <row r="85" spans="1:6" ht="15">
      <c r="A85" s="111"/>
      <c r="B85" s="43"/>
      <c r="C85" s="43"/>
      <c r="D85" s="43"/>
      <c r="E85" s="43"/>
      <c r="F85" s="43"/>
    </row>
    <row r="86" spans="1:6" ht="15">
      <c r="A86" s="111"/>
      <c r="B86" s="43"/>
      <c r="C86" s="43"/>
      <c r="D86" s="43"/>
      <c r="E86" s="43"/>
      <c r="F86" s="43"/>
    </row>
    <row r="87" spans="1:6" ht="15">
      <c r="A87" s="112"/>
      <c r="B87" s="42"/>
      <c r="C87" s="42"/>
      <c r="D87" s="42"/>
      <c r="E87" s="42"/>
      <c r="F87" s="42"/>
    </row>
    <row r="88" spans="1:6" ht="15">
      <c r="A88" s="111"/>
      <c r="B88" s="43"/>
      <c r="C88" s="43"/>
      <c r="D88" s="43"/>
      <c r="E88" s="43"/>
      <c r="F88" s="43"/>
    </row>
    <row r="89" spans="1:6" ht="15">
      <c r="A89" s="111"/>
      <c r="B89" s="43"/>
      <c r="C89" s="43"/>
      <c r="D89" s="43"/>
      <c r="E89" s="43"/>
      <c r="F89" s="43"/>
    </row>
    <row r="90" spans="1:6" ht="15">
      <c r="A90" s="111"/>
      <c r="B90" s="107"/>
      <c r="C90" s="107"/>
      <c r="D90" s="107"/>
      <c r="E90" s="107"/>
      <c r="F90" s="107"/>
    </row>
    <row r="91" spans="1:6" ht="15">
      <c r="A91" s="111"/>
      <c r="B91" s="107"/>
      <c r="C91" s="107"/>
      <c r="D91" s="107"/>
      <c r="E91" s="107"/>
      <c r="F91" s="107"/>
    </row>
    <row r="92" spans="1:6" ht="15">
      <c r="A92" s="8"/>
      <c r="B92" s="8"/>
      <c r="C92" s="8"/>
      <c r="D92" s="107"/>
      <c r="E92" s="107"/>
      <c r="F92" s="107"/>
    </row>
    <row r="93" spans="1:6" ht="15.75">
      <c r="A93" s="252"/>
      <c r="B93" s="252"/>
      <c r="C93" s="252"/>
      <c r="D93" s="252"/>
      <c r="E93" s="252"/>
      <c r="F93" s="252"/>
    </row>
    <row r="94" spans="1:6" ht="15">
      <c r="A94" s="107"/>
      <c r="B94" s="107"/>
      <c r="C94" s="107"/>
      <c r="D94" s="107"/>
      <c r="E94" s="107"/>
      <c r="F94" s="107"/>
    </row>
    <row r="95" spans="1:6" ht="15">
      <c r="A95" s="111"/>
      <c r="B95" s="107"/>
      <c r="C95" s="107"/>
      <c r="D95" s="107"/>
      <c r="E95" s="107"/>
      <c r="F95" s="107"/>
    </row>
    <row r="96" spans="1:6" ht="15">
      <c r="A96" s="111"/>
      <c r="B96" s="43"/>
      <c r="C96" s="43"/>
      <c r="D96" s="43"/>
      <c r="E96" s="43"/>
      <c r="F96" s="43"/>
    </row>
    <row r="97" spans="1:6" ht="15">
      <c r="A97" s="111"/>
      <c r="B97" s="107"/>
      <c r="C97" s="107"/>
      <c r="D97" s="107"/>
      <c r="E97" s="107"/>
      <c r="F97" s="107"/>
    </row>
    <row r="98" spans="1:6" ht="15">
      <c r="A98" s="111"/>
      <c r="B98" s="107"/>
      <c r="C98" s="107"/>
      <c r="D98" s="107"/>
      <c r="E98" s="107"/>
      <c r="F98" s="107"/>
    </row>
    <row r="99" spans="1:6" ht="15">
      <c r="A99" s="111"/>
      <c r="B99" s="43"/>
      <c r="C99" s="43"/>
      <c r="D99" s="43"/>
      <c r="E99" s="43"/>
      <c r="F99" s="43"/>
    </row>
    <row r="100" spans="1:6" ht="15">
      <c r="A100" s="111"/>
      <c r="B100" s="43"/>
      <c r="C100" s="43"/>
      <c r="D100" s="43"/>
      <c r="E100" s="43"/>
      <c r="F100" s="43"/>
    </row>
    <row r="101" spans="1:6" ht="15">
      <c r="A101" s="111"/>
      <c r="B101" s="42"/>
      <c r="C101" s="42"/>
      <c r="D101" s="42"/>
      <c r="E101" s="42"/>
      <c r="F101" s="42"/>
    </row>
    <row r="102" spans="1:6" ht="15">
      <c r="A102" s="111"/>
      <c r="B102" s="43"/>
      <c r="C102" s="43"/>
      <c r="D102" s="43"/>
      <c r="E102" s="43"/>
      <c r="F102" s="43"/>
    </row>
    <row r="103" spans="1:6" ht="15">
      <c r="A103" s="111"/>
      <c r="B103" s="43"/>
      <c r="C103" s="43"/>
      <c r="D103" s="43"/>
      <c r="E103" s="43"/>
      <c r="F103" s="43"/>
    </row>
    <row r="104" spans="1:6" ht="15">
      <c r="A104" s="111"/>
      <c r="B104" s="43"/>
      <c r="C104" s="43"/>
      <c r="D104" s="42"/>
      <c r="E104" s="42"/>
      <c r="F104" s="42"/>
    </row>
    <row r="105" spans="1:6" ht="15">
      <c r="A105" s="111"/>
      <c r="B105" s="43"/>
      <c r="C105" s="43"/>
      <c r="D105" s="43"/>
      <c r="E105" s="43"/>
      <c r="F105" s="43"/>
    </row>
    <row r="106" spans="1:6" ht="15">
      <c r="A106" s="111"/>
      <c r="B106" s="43"/>
      <c r="C106" s="43"/>
      <c r="D106" s="43"/>
      <c r="E106" s="43"/>
      <c r="F106" s="43"/>
    </row>
    <row r="107" spans="1:6" ht="15">
      <c r="A107" s="111"/>
      <c r="B107" s="107"/>
      <c r="C107" s="107"/>
      <c r="D107" s="107"/>
      <c r="E107" s="107"/>
      <c r="F107" s="107"/>
    </row>
    <row r="108" spans="1:6" ht="15">
      <c r="A108" s="111"/>
      <c r="B108" s="43"/>
      <c r="C108" s="43"/>
      <c r="D108" s="43"/>
      <c r="E108" s="43"/>
      <c r="F108" s="43"/>
    </row>
    <row r="109" spans="1:6" ht="15">
      <c r="A109" s="111"/>
      <c r="B109" s="109"/>
      <c r="C109" s="109"/>
      <c r="D109" s="110"/>
      <c r="E109" s="110"/>
      <c r="F109" s="107"/>
    </row>
    <row r="110" spans="1:6" ht="15">
      <c r="A110" s="111"/>
      <c r="B110" s="109"/>
      <c r="C110" s="109"/>
      <c r="D110" s="110"/>
      <c r="E110" s="110"/>
      <c r="F110" s="107"/>
    </row>
    <row r="111" spans="1:6" ht="15">
      <c r="A111" s="111"/>
      <c r="B111" s="43"/>
      <c r="C111" s="43"/>
      <c r="D111" s="43"/>
      <c r="E111" s="43"/>
      <c r="F111" s="43"/>
    </row>
    <row r="112" spans="1:6" ht="15">
      <c r="A112" s="111"/>
      <c r="B112" s="43"/>
      <c r="C112" s="43"/>
      <c r="D112" s="43"/>
      <c r="E112" s="43"/>
      <c r="F112" s="43"/>
    </row>
    <row r="113" spans="1:6" ht="15">
      <c r="A113" s="112"/>
      <c r="B113" s="107"/>
      <c r="C113" s="107"/>
      <c r="D113" s="42"/>
      <c r="E113" s="42"/>
      <c r="F113" s="107"/>
    </row>
    <row r="114" spans="1:6" ht="15">
      <c r="A114" s="111"/>
      <c r="B114" s="43"/>
      <c r="C114" s="43"/>
      <c r="D114" s="43"/>
      <c r="E114" s="43"/>
      <c r="F114" s="43"/>
    </row>
    <row r="115" spans="1:6" ht="15">
      <c r="A115" s="111"/>
      <c r="B115" s="108"/>
      <c r="C115" s="108"/>
      <c r="D115" s="108"/>
      <c r="E115" s="108"/>
      <c r="F115" s="108"/>
    </row>
    <row r="116" spans="1:6" ht="15">
      <c r="A116" s="111"/>
      <c r="B116" s="108"/>
      <c r="C116" s="108"/>
      <c r="D116" s="108"/>
      <c r="E116" s="108"/>
      <c r="F116" s="108"/>
    </row>
    <row r="117" spans="1:6" ht="15">
      <c r="A117" s="111"/>
      <c r="B117" s="108"/>
      <c r="C117" s="108"/>
      <c r="D117" s="108"/>
      <c r="E117" s="108"/>
      <c r="F117" s="108"/>
    </row>
    <row r="118" spans="1:6" ht="15">
      <c r="A118" s="123"/>
      <c r="B118" s="124"/>
      <c r="C118" s="124"/>
      <c r="D118" s="125"/>
      <c r="E118" s="125"/>
      <c r="F118" s="125"/>
    </row>
    <row r="119" spans="1:6" ht="15">
      <c r="A119" s="8"/>
      <c r="B119" s="8"/>
      <c r="C119" s="8"/>
      <c r="D119" s="107"/>
      <c r="E119" s="107"/>
      <c r="F119" s="107"/>
    </row>
    <row r="120" spans="1:6" ht="15">
      <c r="A120" s="8"/>
      <c r="B120" s="8"/>
      <c r="C120" s="8"/>
      <c r="D120" s="107"/>
      <c r="E120" s="107"/>
      <c r="F120" s="107"/>
    </row>
    <row r="121" spans="1:6" ht="15">
      <c r="A121" s="34"/>
      <c r="B121" s="8"/>
      <c r="C121" s="8"/>
      <c r="D121" s="107"/>
      <c r="E121" s="107"/>
      <c r="F121" s="107"/>
    </row>
    <row r="122" spans="1:6" ht="15">
      <c r="A122" s="107"/>
      <c r="B122" s="107"/>
      <c r="C122" s="107"/>
      <c r="D122" s="107"/>
      <c r="E122" s="107"/>
      <c r="F122" s="107"/>
    </row>
    <row r="123" spans="1:6" ht="15">
      <c r="A123" s="8"/>
      <c r="B123" s="8"/>
      <c r="C123" s="8"/>
      <c r="D123" s="107"/>
      <c r="E123" s="107"/>
      <c r="F123" s="107"/>
    </row>
    <row r="124" spans="1:6" ht="15">
      <c r="A124" s="107"/>
      <c r="B124" s="107"/>
      <c r="C124" s="107"/>
      <c r="D124" s="107"/>
      <c r="E124" s="107"/>
      <c r="F124" s="107"/>
    </row>
    <row r="125" spans="1:6" ht="15">
      <c r="A125" s="107"/>
      <c r="B125" s="107"/>
      <c r="C125" s="107"/>
      <c r="D125" s="107"/>
      <c r="E125" s="107"/>
      <c r="F125" s="107"/>
    </row>
    <row r="126" spans="1:6" ht="15">
      <c r="A126" s="107"/>
      <c r="B126" s="107"/>
      <c r="C126" s="107"/>
      <c r="D126" s="107"/>
      <c r="E126" s="107"/>
      <c r="F126" s="107"/>
    </row>
    <row r="127" spans="1:6" ht="15">
      <c r="A127" s="107"/>
      <c r="B127" s="107"/>
      <c r="C127" s="107"/>
      <c r="D127" s="107"/>
      <c r="E127" s="107"/>
      <c r="F127" s="107"/>
    </row>
    <row r="128" spans="1:6" ht="15">
      <c r="A128" s="107"/>
      <c r="B128" s="107"/>
      <c r="C128" s="107"/>
      <c r="D128" s="107"/>
      <c r="E128" s="107"/>
      <c r="F128" s="107"/>
    </row>
    <row r="129" spans="1:6" ht="15">
      <c r="A129" s="107"/>
      <c r="B129" s="107"/>
      <c r="C129" s="107"/>
      <c r="D129" s="107"/>
      <c r="E129" s="107"/>
      <c r="F129" s="107"/>
    </row>
    <row r="130" spans="1:6" ht="15">
      <c r="A130" s="107"/>
      <c r="B130" s="107"/>
      <c r="C130" s="107"/>
      <c r="D130" s="107"/>
      <c r="E130" s="107"/>
      <c r="F130" s="107"/>
    </row>
    <row r="131" spans="1:6" ht="15">
      <c r="A131" s="107"/>
      <c r="B131" s="107"/>
      <c r="C131" s="107"/>
      <c r="D131" s="107"/>
      <c r="E131" s="107"/>
      <c r="F131" s="107"/>
    </row>
    <row r="132" spans="1:6" ht="15">
      <c r="A132" s="107"/>
      <c r="B132" s="107"/>
      <c r="C132" s="107"/>
      <c r="D132" s="107"/>
      <c r="E132" s="107"/>
      <c r="F132" s="107"/>
    </row>
    <row r="133" spans="1:6" ht="15">
      <c r="A133" s="107"/>
      <c r="B133" s="107"/>
      <c r="C133" s="107"/>
      <c r="D133" s="107"/>
      <c r="E133" s="107"/>
      <c r="F133" s="107"/>
    </row>
    <row r="134" spans="1:6" ht="15">
      <c r="A134" s="107"/>
      <c r="B134" s="107"/>
      <c r="C134" s="107"/>
      <c r="D134" s="107"/>
      <c r="E134" s="107"/>
      <c r="F134" s="107"/>
    </row>
    <row r="135" spans="1:6" ht="15">
      <c r="A135" s="107"/>
      <c r="B135" s="107"/>
      <c r="C135" s="107"/>
      <c r="D135" s="107"/>
      <c r="E135" s="107"/>
      <c r="F135" s="107"/>
    </row>
    <row r="136" spans="1:6" ht="15">
      <c r="A136" s="107"/>
      <c r="B136" s="107"/>
      <c r="C136" s="107"/>
      <c r="D136" s="107"/>
      <c r="E136" s="107"/>
      <c r="F136" s="107"/>
    </row>
    <row r="137" spans="1:6" ht="15">
      <c r="A137" s="107"/>
      <c r="B137" s="107"/>
      <c r="C137" s="107"/>
      <c r="D137" s="107"/>
      <c r="E137" s="107"/>
      <c r="F137" s="107"/>
    </row>
    <row r="138" spans="1:6" ht="15">
      <c r="A138" s="107"/>
      <c r="B138" s="107"/>
      <c r="C138" s="107"/>
      <c r="D138" s="107"/>
      <c r="E138" s="107"/>
      <c r="F138" s="107"/>
    </row>
    <row r="139" spans="1:6" ht="15">
      <c r="A139" s="107"/>
      <c r="B139" s="107"/>
      <c r="C139" s="107"/>
      <c r="D139" s="107"/>
      <c r="E139" s="107"/>
      <c r="F139" s="107"/>
    </row>
    <row r="140" spans="1:6" ht="15">
      <c r="A140" s="107"/>
      <c r="B140" s="107"/>
      <c r="C140" s="107"/>
      <c r="D140" s="107"/>
      <c r="E140" s="107"/>
      <c r="F140" s="107"/>
    </row>
    <row r="141" spans="1:6" ht="15">
      <c r="A141" s="107"/>
      <c r="B141" s="107"/>
      <c r="C141" s="107"/>
      <c r="D141" s="107"/>
      <c r="E141" s="107"/>
      <c r="F141" s="107"/>
    </row>
  </sheetData>
  <sheetProtection/>
  <mergeCells count="4">
    <mergeCell ref="A93:F93"/>
    <mergeCell ref="A9:F9"/>
    <mergeCell ref="A70:F70"/>
    <mergeCell ref="D12:D13"/>
  </mergeCells>
  <printOptions horizontalCentered="1"/>
  <pageMargins left="0.5" right="0.5" top="0.5" bottom="0.55" header="0" footer="0"/>
  <pageSetup fitToHeight="1" fitToWidth="1" horizontalDpi="600" verticalDpi="6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2" sqref="J2"/>
    </sheetView>
  </sheetViews>
  <sheetFormatPr defaultColWidth="8.88671875" defaultRowHeight="15"/>
  <cols>
    <col min="1" max="1" width="11.99609375" style="0" bestFit="1" customWidth="1"/>
    <col min="2" max="2" width="2.77734375" style="0" customWidth="1"/>
    <col min="5" max="5" width="1.77734375" style="0" customWidth="1"/>
    <col min="8" max="8" width="1.77734375" style="0" customWidth="1"/>
    <col min="9" max="10" width="9.77734375" style="0" customWidth="1"/>
    <col min="11" max="11" width="1.77734375" style="0" customWidth="1"/>
  </cols>
  <sheetData>
    <row r="1" ht="15.75">
      <c r="J1" s="44" t="str">
        <f>+'Sch 3'!E1</f>
        <v>Exhibit___(DCP-2)</v>
      </c>
    </row>
    <row r="2" ht="15.75">
      <c r="J2" s="44" t="s">
        <v>66</v>
      </c>
    </row>
    <row r="4" spans="1:11" ht="20.25">
      <c r="A4" s="243" t="s">
        <v>200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8" spans="3:10" ht="15">
      <c r="C8" s="257" t="s">
        <v>363</v>
      </c>
      <c r="D8" s="257"/>
      <c r="E8" s="257"/>
      <c r="F8" s="257"/>
      <c r="G8" s="257"/>
      <c r="I8" s="257" t="s">
        <v>194</v>
      </c>
      <c r="J8" s="257"/>
    </row>
    <row r="9" spans="3:10" ht="15">
      <c r="C9" s="130"/>
      <c r="D9" s="130"/>
      <c r="E9" s="130"/>
      <c r="F9" s="130"/>
      <c r="G9" s="130"/>
      <c r="I9" s="130"/>
      <c r="J9" s="130"/>
    </row>
    <row r="10" spans="3:10" ht="15">
      <c r="C10" s="257" t="s">
        <v>370</v>
      </c>
      <c r="D10" s="257"/>
      <c r="E10" s="45"/>
      <c r="F10" s="257" t="s">
        <v>371</v>
      </c>
      <c r="G10" s="257"/>
      <c r="I10" s="257" t="s">
        <v>370</v>
      </c>
      <c r="J10" s="257"/>
    </row>
    <row r="11" spans="1:10" ht="15">
      <c r="A11" s="41" t="s">
        <v>199</v>
      </c>
      <c r="C11" s="130" t="s">
        <v>198</v>
      </c>
      <c r="D11" s="130" t="s">
        <v>58</v>
      </c>
      <c r="E11" s="41"/>
      <c r="F11" s="130" t="s">
        <v>198</v>
      </c>
      <c r="G11" s="130" t="s">
        <v>58</v>
      </c>
      <c r="I11" s="130" t="s">
        <v>198</v>
      </c>
      <c r="J11" s="130" t="s">
        <v>58</v>
      </c>
    </row>
    <row r="12" spans="1:11" ht="15">
      <c r="A12" s="46"/>
      <c r="B12" s="46"/>
      <c r="C12" s="113"/>
      <c r="D12" s="113"/>
      <c r="E12" s="113"/>
      <c r="F12" s="113"/>
      <c r="G12" s="113"/>
      <c r="H12" s="46"/>
      <c r="I12" s="46"/>
      <c r="J12" s="46"/>
      <c r="K12" s="46"/>
    </row>
    <row r="13" spans="1:11" ht="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0" ht="15">
      <c r="A14" s="41">
        <v>2000</v>
      </c>
      <c r="C14" s="41" t="s">
        <v>364</v>
      </c>
      <c r="D14" s="41" t="s">
        <v>367</v>
      </c>
      <c r="E14" s="41"/>
      <c r="F14" s="41" t="s">
        <v>372</v>
      </c>
      <c r="G14" s="41" t="s">
        <v>354</v>
      </c>
      <c r="I14" s="41"/>
      <c r="J14" s="41"/>
    </row>
    <row r="15" spans="1:7" ht="15">
      <c r="A15" s="41"/>
      <c r="C15" s="41"/>
      <c r="D15" s="41"/>
      <c r="E15" s="41"/>
      <c r="F15" s="41"/>
      <c r="G15" s="41"/>
    </row>
    <row r="16" spans="1:10" ht="15">
      <c r="A16" s="41">
        <v>2001</v>
      </c>
      <c r="C16" s="41" t="s">
        <v>364</v>
      </c>
      <c r="D16" s="41" t="s">
        <v>368</v>
      </c>
      <c r="E16" s="41"/>
      <c r="F16" s="41" t="s">
        <v>372</v>
      </c>
      <c r="G16" s="41" t="s">
        <v>65</v>
      </c>
      <c r="I16" s="41" t="s">
        <v>365</v>
      </c>
      <c r="J16" s="41" t="s">
        <v>368</v>
      </c>
    </row>
    <row r="17" spans="1:3" ht="15">
      <c r="A17" s="41"/>
      <c r="C17" s="41"/>
    </row>
    <row r="18" spans="1:10" ht="15">
      <c r="A18" s="41">
        <v>2002</v>
      </c>
      <c r="C18" s="41" t="s">
        <v>365</v>
      </c>
      <c r="D18" s="41" t="s">
        <v>368</v>
      </c>
      <c r="E18" s="41"/>
      <c r="F18" s="41" t="s">
        <v>364</v>
      </c>
      <c r="G18" s="41" t="s">
        <v>65</v>
      </c>
      <c r="I18" s="41" t="s">
        <v>369</v>
      </c>
      <c r="J18" s="41" t="s">
        <v>368</v>
      </c>
    </row>
    <row r="19" spans="1:10" ht="15">
      <c r="A19" s="41"/>
      <c r="C19" s="41"/>
      <c r="D19" s="41"/>
      <c r="E19" s="41"/>
      <c r="F19" s="41"/>
      <c r="G19" s="41"/>
      <c r="I19" s="41"/>
      <c r="J19" s="41"/>
    </row>
    <row r="20" spans="1:10" ht="15">
      <c r="A20" s="41">
        <v>2003</v>
      </c>
      <c r="C20" s="41" t="s">
        <v>365</v>
      </c>
      <c r="D20" s="41" t="s">
        <v>368</v>
      </c>
      <c r="E20" s="41"/>
      <c r="F20" s="41" t="s">
        <v>364</v>
      </c>
      <c r="G20" s="41" t="s">
        <v>65</v>
      </c>
      <c r="I20" s="41" t="s">
        <v>369</v>
      </c>
      <c r="J20" s="41" t="s">
        <v>368</v>
      </c>
    </row>
    <row r="21" spans="1:9" ht="15">
      <c r="A21" s="41"/>
      <c r="C21" s="41"/>
      <c r="I21" s="41"/>
    </row>
    <row r="22" spans="1:10" ht="15">
      <c r="A22" s="41">
        <v>2004</v>
      </c>
      <c r="C22" s="41" t="s">
        <v>365</v>
      </c>
      <c r="D22" s="41" t="s">
        <v>368</v>
      </c>
      <c r="E22" s="41"/>
      <c r="F22" s="41" t="s">
        <v>364</v>
      </c>
      <c r="G22" s="41" t="s">
        <v>65</v>
      </c>
      <c r="I22" s="41" t="s">
        <v>369</v>
      </c>
      <c r="J22" s="41" t="s">
        <v>368</v>
      </c>
    </row>
    <row r="23" spans="1:10" ht="15">
      <c r="A23" s="41"/>
      <c r="C23" s="41"/>
      <c r="D23" s="41"/>
      <c r="E23" s="41"/>
      <c r="F23" s="41"/>
      <c r="G23" s="41"/>
      <c r="I23" s="41"/>
      <c r="J23" s="41"/>
    </row>
    <row r="24" spans="1:10" ht="15">
      <c r="A24" s="41">
        <v>2005</v>
      </c>
      <c r="C24" s="41" t="s">
        <v>365</v>
      </c>
      <c r="D24" s="41" t="s">
        <v>368</v>
      </c>
      <c r="E24" s="41"/>
      <c r="F24" s="41" t="s">
        <v>364</v>
      </c>
      <c r="G24" s="41" t="s">
        <v>65</v>
      </c>
      <c r="I24" s="41" t="s">
        <v>369</v>
      </c>
      <c r="J24" s="41" t="s">
        <v>368</v>
      </c>
    </row>
    <row r="25" ht="15">
      <c r="C25" s="41"/>
    </row>
    <row r="26" spans="1:10" ht="15">
      <c r="A26" s="41">
        <v>2006</v>
      </c>
      <c r="C26" s="41" t="s">
        <v>365</v>
      </c>
      <c r="D26" s="41" t="s">
        <v>368</v>
      </c>
      <c r="E26" s="41"/>
      <c r="F26" s="41" t="s">
        <v>364</v>
      </c>
      <c r="G26" s="41" t="s">
        <v>65</v>
      </c>
      <c r="H26" s="135"/>
      <c r="I26" s="41" t="s">
        <v>369</v>
      </c>
      <c r="J26" s="41" t="s">
        <v>368</v>
      </c>
    </row>
    <row r="27" spans="1:10" ht="15">
      <c r="A27" s="41"/>
      <c r="C27" s="41"/>
      <c r="D27" s="41"/>
      <c r="E27" s="41"/>
      <c r="F27" s="41"/>
      <c r="G27" s="41"/>
      <c r="H27" s="135"/>
      <c r="I27" s="135"/>
      <c r="J27" s="41"/>
    </row>
    <row r="28" spans="1:10" ht="15">
      <c r="A28" s="41">
        <v>2007</v>
      </c>
      <c r="C28" s="41" t="s">
        <v>365</v>
      </c>
      <c r="D28" s="41" t="s">
        <v>368</v>
      </c>
      <c r="E28" s="41"/>
      <c r="F28" s="41" t="s">
        <v>364</v>
      </c>
      <c r="G28" s="41" t="s">
        <v>367</v>
      </c>
      <c r="H28" s="135"/>
      <c r="I28" s="41" t="s">
        <v>369</v>
      </c>
      <c r="J28" s="41" t="s">
        <v>368</v>
      </c>
    </row>
    <row r="29" spans="3:7" ht="15">
      <c r="C29" s="41"/>
      <c r="D29" s="41"/>
      <c r="E29" s="41"/>
      <c r="F29" s="41"/>
      <c r="G29" s="41"/>
    </row>
    <row r="30" spans="1:7" ht="15">
      <c r="A30" s="34" t="s">
        <v>366</v>
      </c>
      <c r="C30" s="41"/>
      <c r="D30" s="41"/>
      <c r="E30" s="41"/>
      <c r="F30" s="41"/>
      <c r="G30" s="41"/>
    </row>
  </sheetData>
  <sheetProtection/>
  <mergeCells count="6">
    <mergeCell ref="I10:J10"/>
    <mergeCell ref="C10:D10"/>
    <mergeCell ref="A4:K4"/>
    <mergeCell ref="I8:J8"/>
    <mergeCell ref="C8:G8"/>
    <mergeCell ref="F10:G10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