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2\03 Mar 2022\Final for Filing\"/>
    </mc:Choice>
  </mc:AlternateContent>
  <xr:revisionPtr revIDLastSave="0" documentId="8_{616785D4-F960-49D1-8C4F-8FFA7D71D951}" xr6:coauthVersionLast="46" xr6:coauthVersionMax="46" xr10:uidLastSave="{00000000-0000-0000-0000-000000000000}"/>
  <bookViews>
    <workbookView xWindow="-120" yWindow="-120" windowWidth="29040" windowHeight="15840" xr2:uid="{1AD11DB2-D8CE-479B-B5E9-48C97494D975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Monthly'!$A$4:$P$40</definedName>
    <definedName name="AVARpt">'WA Monthly'!$A$6:$P$142</definedName>
    <definedName name="DefRpt">'WA Monthly'!$P$86</definedName>
    <definedName name="GLAccts">'WA Monthly'!$B$88:$R$130</definedName>
    <definedName name="_xlnm.Print_Area" localSheetId="1">'WA Monthly'!$A$1:$R$144</definedName>
    <definedName name="_xlnm.Print_Area" localSheetId="2">'WA RRC'!$A$1:$N$15</definedName>
    <definedName name="_xlnm.Print_Area" localSheetId="0">'WA Summary '!$A$1:$Q$42</definedName>
    <definedName name="_xlnm.Print_Titles" localSheetId="1">'WA Monthly'!$A:$D,'WA Monthly'!$1:$5</definedName>
    <definedName name="WAAVARpt">'WA Monthly'!$A$6:$P$142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3" l="1"/>
  <c r="N18" i="3"/>
  <c r="B18" i="3"/>
  <c r="J15" i="3"/>
  <c r="F15" i="3"/>
  <c r="M14" i="3"/>
  <c r="L14" i="3"/>
  <c r="K14" i="3"/>
  <c r="J14" i="3"/>
  <c r="I14" i="3"/>
  <c r="H14" i="3"/>
  <c r="G14" i="3"/>
  <c r="F14" i="3"/>
  <c r="E14" i="3"/>
  <c r="D14" i="3"/>
  <c r="C14" i="3"/>
  <c r="B14" i="3"/>
  <c r="K13" i="3"/>
  <c r="G13" i="3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I11" i="3"/>
  <c r="E11" i="3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M9" i="3"/>
  <c r="K9" i="3"/>
  <c r="I9" i="3"/>
  <c r="G9" i="3"/>
  <c r="E9" i="3"/>
  <c r="C9" i="3"/>
  <c r="B9" i="3"/>
  <c r="M8" i="3"/>
  <c r="M15" i="3" s="1"/>
  <c r="L8" i="3"/>
  <c r="K8" i="3"/>
  <c r="K19" i="3" s="1"/>
  <c r="K20" i="3" s="1"/>
  <c r="J8" i="3"/>
  <c r="J13" i="3" s="1"/>
  <c r="I8" i="3"/>
  <c r="I15" i="3" s="1"/>
  <c r="H8" i="3"/>
  <c r="G8" i="3"/>
  <c r="G19" i="3" s="1"/>
  <c r="G20" i="3" s="1"/>
  <c r="F8" i="3"/>
  <c r="F13" i="3" s="1"/>
  <c r="E8" i="3"/>
  <c r="E15" i="3" s="1"/>
  <c r="D8" i="3"/>
  <c r="C8" i="3"/>
  <c r="B8" i="3"/>
  <c r="D7" i="3"/>
  <c r="C7" i="3"/>
  <c r="C18" i="3" s="1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 s="1"/>
  <c r="R139" i="2"/>
  <c r="D139" i="2"/>
  <c r="D138" i="2"/>
  <c r="R137" i="2"/>
  <c r="R140" i="2" s="1"/>
  <c r="D137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R135" i="2" s="1"/>
  <c r="D135" i="2"/>
  <c r="R134" i="2"/>
  <c r="D134" i="2"/>
  <c r="R133" i="2"/>
  <c r="D133" i="2"/>
  <c r="R129" i="2"/>
  <c r="D129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R125" i="2"/>
  <c r="D125" i="2"/>
  <c r="R124" i="2"/>
  <c r="D124" i="2"/>
  <c r="R123" i="2"/>
  <c r="D123" i="2"/>
  <c r="D122" i="2"/>
  <c r="D121" i="2"/>
  <c r="R120" i="2"/>
  <c r="D120" i="2"/>
  <c r="R119" i="2"/>
  <c r="D119" i="2"/>
  <c r="R118" i="2"/>
  <c r="D118" i="2"/>
  <c r="R117" i="2"/>
  <c r="D117" i="2"/>
  <c r="R116" i="2"/>
  <c r="D116" i="2"/>
  <c r="R115" i="2"/>
  <c r="D115" i="2"/>
  <c r="R114" i="2"/>
  <c r="R126" i="2" s="1"/>
  <c r="D114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A111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9" i="2" s="1"/>
  <c r="A130" i="2" s="1"/>
  <c r="A133" i="2" s="1"/>
  <c r="A134" i="2" s="1"/>
  <c r="A135" i="2" s="1"/>
  <c r="A137" i="2" s="1"/>
  <c r="A138" i="2" s="1"/>
  <c r="A139" i="2" s="1"/>
  <c r="A140" i="2" s="1"/>
  <c r="A142" i="2" s="1"/>
  <c r="A144" i="2" s="1"/>
  <c r="D110" i="2"/>
  <c r="D109" i="2"/>
  <c r="D108" i="2"/>
  <c r="D107" i="2"/>
  <c r="D111" i="2" s="1"/>
  <c r="P104" i="2"/>
  <c r="O104" i="2"/>
  <c r="N104" i="2"/>
  <c r="M104" i="2"/>
  <c r="L104" i="2"/>
  <c r="K104" i="2"/>
  <c r="J104" i="2"/>
  <c r="I104" i="2"/>
  <c r="H104" i="2"/>
  <c r="G104" i="2"/>
  <c r="F104" i="2"/>
  <c r="D104" i="2" s="1"/>
  <c r="E104" i="2"/>
  <c r="R104" i="2" s="1"/>
  <c r="R103" i="2"/>
  <c r="D103" i="2"/>
  <c r="R102" i="2"/>
  <c r="D102" i="2"/>
  <c r="R101" i="2"/>
  <c r="D101" i="2"/>
  <c r="P98" i="2"/>
  <c r="O98" i="2"/>
  <c r="N98" i="2"/>
  <c r="M98" i="2"/>
  <c r="L98" i="2"/>
  <c r="K98" i="2"/>
  <c r="J98" i="2"/>
  <c r="I98" i="2"/>
  <c r="H98" i="2"/>
  <c r="G98" i="2"/>
  <c r="F98" i="2"/>
  <c r="D98" i="2" s="1"/>
  <c r="E98" i="2"/>
  <c r="R97" i="2"/>
  <c r="D97" i="2"/>
  <c r="R96" i="2"/>
  <c r="D96" i="2"/>
  <c r="R95" i="2"/>
  <c r="D95" i="2"/>
  <c r="A95" i="2"/>
  <c r="A96" i="2" s="1"/>
  <c r="A97" i="2" s="1"/>
  <c r="A98" i="2" s="1"/>
  <c r="A101" i="2" s="1"/>
  <c r="A102" i="2" s="1"/>
  <c r="A103" i="2" s="1"/>
  <c r="A104" i="2" s="1"/>
  <c r="A107" i="2" s="1"/>
  <c r="A108" i="2" s="1"/>
  <c r="A109" i="2" s="1"/>
  <c r="A110" i="2" s="1"/>
  <c r="R94" i="2"/>
  <c r="D94" i="2"/>
  <c r="D93" i="2"/>
  <c r="R92" i="2"/>
  <c r="D92" i="2"/>
  <c r="A92" i="2"/>
  <c r="A93" i="2" s="1"/>
  <c r="A94" i="2" s="1"/>
  <c r="R91" i="2"/>
  <c r="D91" i="2"/>
  <c r="R90" i="2"/>
  <c r="D90" i="2"/>
  <c r="K86" i="2"/>
  <c r="P84" i="2"/>
  <c r="O84" i="2"/>
  <c r="N84" i="2"/>
  <c r="M84" i="2"/>
  <c r="L84" i="2"/>
  <c r="K84" i="2"/>
  <c r="J84" i="2"/>
  <c r="I84" i="2"/>
  <c r="H84" i="2"/>
  <c r="G84" i="2"/>
  <c r="F84" i="2"/>
  <c r="D84" i="2" s="1"/>
  <c r="E84" i="2"/>
  <c r="R83" i="2"/>
  <c r="D83" i="2"/>
  <c r="R82" i="2"/>
  <c r="D82" i="2"/>
  <c r="R81" i="2"/>
  <c r="D81" i="2"/>
  <c r="R80" i="2"/>
  <c r="D80" i="2"/>
  <c r="R79" i="2"/>
  <c r="D79" i="2"/>
  <c r="R78" i="2"/>
  <c r="D78" i="2"/>
  <c r="O75" i="2"/>
  <c r="M74" i="2"/>
  <c r="I74" i="2"/>
  <c r="E74" i="2"/>
  <c r="P71" i="2"/>
  <c r="P75" i="2" s="1"/>
  <c r="O71" i="2"/>
  <c r="N71" i="2"/>
  <c r="N75" i="2" s="1"/>
  <c r="M71" i="2"/>
  <c r="M75" i="2" s="1"/>
  <c r="L71" i="2"/>
  <c r="L75" i="2" s="1"/>
  <c r="K71" i="2"/>
  <c r="K75" i="2" s="1"/>
  <c r="J71" i="2"/>
  <c r="J75" i="2" s="1"/>
  <c r="I71" i="2"/>
  <c r="I75" i="2" s="1"/>
  <c r="H71" i="2"/>
  <c r="H75" i="2" s="1"/>
  <c r="G71" i="2"/>
  <c r="G75" i="2" s="1"/>
  <c r="F71" i="2"/>
  <c r="F75" i="2" s="1"/>
  <c r="E71" i="2"/>
  <c r="E75" i="2" s="1"/>
  <c r="P70" i="2"/>
  <c r="P74" i="2" s="1"/>
  <c r="O70" i="2"/>
  <c r="O74" i="2" s="1"/>
  <c r="N70" i="2"/>
  <c r="N74" i="2" s="1"/>
  <c r="M70" i="2"/>
  <c r="L70" i="2"/>
  <c r="L74" i="2" s="1"/>
  <c r="K70" i="2"/>
  <c r="K74" i="2" s="1"/>
  <c r="J70" i="2"/>
  <c r="J74" i="2" s="1"/>
  <c r="I70" i="2"/>
  <c r="H70" i="2"/>
  <c r="H74" i="2" s="1"/>
  <c r="G70" i="2"/>
  <c r="G74" i="2" s="1"/>
  <c r="F70" i="2"/>
  <c r="E70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 s="1"/>
  <c r="R66" i="2"/>
  <c r="D66" i="2"/>
  <c r="R65" i="2"/>
  <c r="D65" i="2"/>
  <c r="R64" i="2"/>
  <c r="D64" i="2"/>
  <c r="R63" i="2"/>
  <c r="D63" i="2"/>
  <c r="P60" i="2"/>
  <c r="P48" i="2" s="1"/>
  <c r="O60" i="2"/>
  <c r="N60" i="2"/>
  <c r="M60" i="2"/>
  <c r="L60" i="2"/>
  <c r="L48" i="2" s="1"/>
  <c r="K60" i="2"/>
  <c r="J60" i="2"/>
  <c r="I60" i="2"/>
  <c r="H60" i="2"/>
  <c r="H48" i="2" s="1"/>
  <c r="G60" i="2"/>
  <c r="F60" i="2"/>
  <c r="E60" i="2"/>
  <c r="D60" i="2"/>
  <c r="D59" i="2"/>
  <c r="R58" i="2"/>
  <c r="D58" i="2"/>
  <c r="R57" i="2"/>
  <c r="D57" i="2"/>
  <c r="R56" i="2"/>
  <c r="D56" i="2"/>
  <c r="R55" i="2"/>
  <c r="D55" i="2"/>
  <c r="R54" i="2"/>
  <c r="D54" i="2"/>
  <c r="D53" i="2"/>
  <c r="R52" i="2"/>
  <c r="D52" i="2"/>
  <c r="O48" i="2"/>
  <c r="N48" i="2"/>
  <c r="M48" i="2"/>
  <c r="K48" i="2"/>
  <c r="J48" i="2"/>
  <c r="I48" i="2"/>
  <c r="G48" i="2"/>
  <c r="F48" i="2"/>
  <c r="E48" i="2"/>
  <c r="P47" i="2"/>
  <c r="O47" i="2"/>
  <c r="N47" i="2"/>
  <c r="M47" i="2"/>
  <c r="L47" i="2"/>
  <c r="K47" i="2"/>
  <c r="J47" i="2"/>
  <c r="I47" i="2"/>
  <c r="H47" i="2"/>
  <c r="G47" i="2"/>
  <c r="F47" i="2"/>
  <c r="E47" i="2"/>
  <c r="R47" i="2" s="1"/>
  <c r="P46" i="2"/>
  <c r="O46" i="2"/>
  <c r="N46" i="2"/>
  <c r="M46" i="2"/>
  <c r="L46" i="2"/>
  <c r="K46" i="2"/>
  <c r="J46" i="2"/>
  <c r="I46" i="2"/>
  <c r="H46" i="2"/>
  <c r="G46" i="2"/>
  <c r="F46" i="2"/>
  <c r="D46" i="2" s="1"/>
  <c r="E46" i="2"/>
  <c r="R46" i="2" s="1"/>
  <c r="P45" i="2"/>
  <c r="O45" i="2"/>
  <c r="N45" i="2"/>
  <c r="M45" i="2"/>
  <c r="M43" i="2" s="1"/>
  <c r="L45" i="2"/>
  <c r="K45" i="2"/>
  <c r="J45" i="2"/>
  <c r="I45" i="2"/>
  <c r="I43" i="2" s="1"/>
  <c r="H45" i="2"/>
  <c r="G45" i="2"/>
  <c r="F45" i="2"/>
  <c r="E45" i="2"/>
  <c r="P44" i="2"/>
  <c r="O44" i="2"/>
  <c r="N44" i="2"/>
  <c r="N43" i="2" s="1"/>
  <c r="M44" i="2"/>
  <c r="L44" i="2"/>
  <c r="K44" i="2"/>
  <c r="J44" i="2"/>
  <c r="J43" i="2" s="1"/>
  <c r="I44" i="2"/>
  <c r="H44" i="2"/>
  <c r="G44" i="2"/>
  <c r="F44" i="2"/>
  <c r="F43" i="2" s="1"/>
  <c r="E44" i="2"/>
  <c r="D44" i="2"/>
  <c r="O43" i="2"/>
  <c r="K43" i="2"/>
  <c r="G43" i="2"/>
  <c r="N40" i="2"/>
  <c r="N24" i="2" s="1"/>
  <c r="N144" i="2" s="1"/>
  <c r="J40" i="2"/>
  <c r="J24" i="2" s="1"/>
  <c r="J144" i="2" s="1"/>
  <c r="F40" i="2"/>
  <c r="F24" i="2" s="1"/>
  <c r="P39" i="2"/>
  <c r="P40" i="2" s="1"/>
  <c r="P24" i="2" s="1"/>
  <c r="O39" i="2"/>
  <c r="O40" i="2" s="1"/>
  <c r="O24" i="2" s="1"/>
  <c r="O86" i="2" s="1"/>
  <c r="N39" i="2"/>
  <c r="M39" i="2"/>
  <c r="M40" i="2" s="1"/>
  <c r="M24" i="2" s="1"/>
  <c r="L39" i="2"/>
  <c r="L40" i="2" s="1"/>
  <c r="L24" i="2" s="1"/>
  <c r="K39" i="2"/>
  <c r="K40" i="2" s="1"/>
  <c r="K24" i="2" s="1"/>
  <c r="J39" i="2"/>
  <c r="I39" i="2"/>
  <c r="I40" i="2" s="1"/>
  <c r="I24" i="2" s="1"/>
  <c r="H39" i="2"/>
  <c r="H40" i="2" s="1"/>
  <c r="H24" i="2" s="1"/>
  <c r="G39" i="2"/>
  <c r="F39" i="2"/>
  <c r="E39" i="2"/>
  <c r="D39" i="2"/>
  <c r="G38" i="2"/>
  <c r="G40" i="2" s="1"/>
  <c r="G24" i="2" s="1"/>
  <c r="F38" i="2"/>
  <c r="E38" i="2"/>
  <c r="E40" i="2" s="1"/>
  <c r="D38" i="2"/>
  <c r="D37" i="2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P23" i="2"/>
  <c r="O23" i="2"/>
  <c r="N23" i="2"/>
  <c r="M23" i="2"/>
  <c r="L23" i="2"/>
  <c r="K23" i="2"/>
  <c r="J23" i="2"/>
  <c r="I23" i="2"/>
  <c r="H23" i="2"/>
  <c r="G23" i="2"/>
  <c r="F23" i="2"/>
  <c r="E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P20" i="2"/>
  <c r="O20" i="2"/>
  <c r="N20" i="2"/>
  <c r="M20" i="2"/>
  <c r="L20" i="2"/>
  <c r="K20" i="2"/>
  <c r="J20" i="2"/>
  <c r="I20" i="2"/>
  <c r="H20" i="2"/>
  <c r="G20" i="2"/>
  <c r="F20" i="2"/>
  <c r="E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 s="1"/>
  <c r="P17" i="2"/>
  <c r="O17" i="2"/>
  <c r="N17" i="2"/>
  <c r="M17" i="2"/>
  <c r="L17" i="2"/>
  <c r="K17" i="2"/>
  <c r="J17" i="2"/>
  <c r="I17" i="2"/>
  <c r="H17" i="2"/>
  <c r="G17" i="2"/>
  <c r="F17" i="2"/>
  <c r="E17" i="2"/>
  <c r="D17" i="2" s="1"/>
  <c r="P16" i="2"/>
  <c r="O16" i="2"/>
  <c r="N16" i="2"/>
  <c r="M16" i="2"/>
  <c r="L16" i="2"/>
  <c r="K16" i="2"/>
  <c r="J16" i="2"/>
  <c r="I16" i="2"/>
  <c r="H16" i="2"/>
  <c r="G16" i="2"/>
  <c r="F16" i="2"/>
  <c r="D16" i="2" s="1"/>
  <c r="E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 s="1"/>
  <c r="P14" i="2"/>
  <c r="O14" i="2"/>
  <c r="N14" i="2"/>
  <c r="M14" i="2"/>
  <c r="L14" i="2"/>
  <c r="K14" i="2"/>
  <c r="J14" i="2"/>
  <c r="I14" i="2"/>
  <c r="H14" i="2"/>
  <c r="G14" i="2"/>
  <c r="F14" i="2"/>
  <c r="E14" i="2"/>
  <c r="R14" i="2" s="1"/>
  <c r="D14" i="2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3" i="2" s="1"/>
  <c r="A44" i="2" s="1"/>
  <c r="A45" i="2" s="1"/>
  <c r="A46" i="2" s="1"/>
  <c r="A47" i="2" s="1"/>
  <c r="A48" i="2" s="1"/>
  <c r="A63" i="2" s="1"/>
  <c r="A64" i="2" s="1"/>
  <c r="A65" i="2" s="1"/>
  <c r="A66" i="2" s="1"/>
  <c r="A67" i="2" s="1"/>
  <c r="A70" i="2" s="1"/>
  <c r="A71" i="2" s="1"/>
  <c r="A74" i="2" s="1"/>
  <c r="A75" i="2" s="1"/>
  <c r="A78" i="2" s="1"/>
  <c r="A79" i="2" s="1"/>
  <c r="A80" i="2" s="1"/>
  <c r="A81" i="2" s="1"/>
  <c r="A82" i="2" s="1"/>
  <c r="A83" i="2" s="1"/>
  <c r="A84" i="2" s="1"/>
  <c r="A86" i="2" s="1"/>
  <c r="A90" i="2" s="1"/>
  <c r="P12" i="2"/>
  <c r="O12" i="2"/>
  <c r="N12" i="2"/>
  <c r="M12" i="2"/>
  <c r="L12" i="2"/>
  <c r="K12" i="2"/>
  <c r="J12" i="2"/>
  <c r="I12" i="2"/>
  <c r="H12" i="2"/>
  <c r="G12" i="2"/>
  <c r="F12" i="2"/>
  <c r="E12" i="2"/>
  <c r="R12" i="2" s="1"/>
  <c r="A12" i="2"/>
  <c r="P11" i="2"/>
  <c r="O11" i="2"/>
  <c r="N11" i="2"/>
  <c r="M11" i="2"/>
  <c r="M7" i="2" s="1"/>
  <c r="L11" i="2"/>
  <c r="K11" i="2"/>
  <c r="J11" i="2"/>
  <c r="I11" i="2"/>
  <c r="H11" i="2"/>
  <c r="G11" i="2"/>
  <c r="F11" i="2"/>
  <c r="E11" i="2"/>
  <c r="D11" i="2" s="1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D9" i="2" s="1"/>
  <c r="P8" i="2"/>
  <c r="O8" i="2"/>
  <c r="N8" i="2"/>
  <c r="M8" i="2"/>
  <c r="L8" i="2"/>
  <c r="K8" i="2"/>
  <c r="J8" i="2"/>
  <c r="I8" i="2"/>
  <c r="H8" i="2"/>
  <c r="G8" i="2"/>
  <c r="F8" i="2"/>
  <c r="E8" i="2"/>
  <c r="I7" i="2"/>
  <c r="A7" i="2"/>
  <c r="K5" i="2"/>
  <c r="L5" i="2" s="1"/>
  <c r="M5" i="2" s="1"/>
  <c r="N5" i="2" s="1"/>
  <c r="O5" i="2" s="1"/>
  <c r="P5" i="2" s="1"/>
  <c r="G5" i="2"/>
  <c r="H5" i="2" s="1"/>
  <c r="I5" i="2" s="1"/>
  <c r="J5" i="2" s="1"/>
  <c r="F5" i="2"/>
  <c r="C37" i="1"/>
  <c r="C36" i="1"/>
  <c r="O31" i="1"/>
  <c r="K31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Q28" i="1"/>
  <c r="P28" i="1"/>
  <c r="O28" i="1"/>
  <c r="N28" i="1"/>
  <c r="M28" i="1"/>
  <c r="L28" i="1"/>
  <c r="K28" i="1"/>
  <c r="J28" i="1"/>
  <c r="I28" i="1"/>
  <c r="H28" i="1"/>
  <c r="G28" i="1"/>
  <c r="F28" i="1"/>
  <c r="E25" i="1"/>
  <c r="M24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 s="1"/>
  <c r="Q22" i="1"/>
  <c r="P22" i="1"/>
  <c r="O22" i="1"/>
  <c r="N22" i="1"/>
  <c r="M22" i="1"/>
  <c r="L22" i="1"/>
  <c r="K22" i="1"/>
  <c r="J22" i="1"/>
  <c r="I22" i="1"/>
  <c r="H22" i="1"/>
  <c r="G22" i="1"/>
  <c r="F22" i="1"/>
  <c r="D22" i="1" s="1"/>
  <c r="Q21" i="1"/>
  <c r="P21" i="1"/>
  <c r="O21" i="1"/>
  <c r="N21" i="1"/>
  <c r="M21" i="1"/>
  <c r="L21" i="1"/>
  <c r="K21" i="1"/>
  <c r="J21" i="1"/>
  <c r="I21" i="1"/>
  <c r="H21" i="1"/>
  <c r="G21" i="1"/>
  <c r="F21" i="1"/>
  <c r="D21" i="1" s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Q19" i="1"/>
  <c r="P19" i="1"/>
  <c r="O19" i="1"/>
  <c r="N19" i="1"/>
  <c r="M19" i="1"/>
  <c r="L19" i="1"/>
  <c r="K19" i="1"/>
  <c r="J19" i="1"/>
  <c r="I19" i="1"/>
  <c r="H19" i="1"/>
  <c r="G19" i="1"/>
  <c r="F19" i="1"/>
  <c r="D19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 s="1"/>
  <c r="Q17" i="1"/>
  <c r="P17" i="1"/>
  <c r="O17" i="1"/>
  <c r="N17" i="1"/>
  <c r="M17" i="1"/>
  <c r="L17" i="1"/>
  <c r="K17" i="1"/>
  <c r="J17" i="1"/>
  <c r="I17" i="1"/>
  <c r="H17" i="1"/>
  <c r="G17" i="1"/>
  <c r="F17" i="1"/>
  <c r="D17" i="1" s="1"/>
  <c r="Q16" i="1"/>
  <c r="P16" i="1"/>
  <c r="O16" i="1"/>
  <c r="N16" i="1"/>
  <c r="M16" i="1"/>
  <c r="L16" i="1"/>
  <c r="K16" i="1"/>
  <c r="J16" i="1"/>
  <c r="I16" i="1"/>
  <c r="H16" i="1"/>
  <c r="H24" i="1" s="1"/>
  <c r="G16" i="1"/>
  <c r="F16" i="1"/>
  <c r="D16" i="1" s="1"/>
  <c r="Q15" i="1"/>
  <c r="Q24" i="1" s="1"/>
  <c r="P15" i="1"/>
  <c r="P24" i="1" s="1"/>
  <c r="O15" i="1"/>
  <c r="O24" i="1" s="1"/>
  <c r="N15" i="1"/>
  <c r="N24" i="1" s="1"/>
  <c r="M15" i="1"/>
  <c r="L15" i="1"/>
  <c r="L24" i="1" s="1"/>
  <c r="K15" i="1"/>
  <c r="K24" i="1" s="1"/>
  <c r="J15" i="1"/>
  <c r="J24" i="1" s="1"/>
  <c r="I15" i="1"/>
  <c r="I24" i="1" s="1"/>
  <c r="H15" i="1"/>
  <c r="G15" i="1"/>
  <c r="G24" i="1" s="1"/>
  <c r="F15" i="1"/>
  <c r="D15" i="1" s="1"/>
  <c r="D24" i="1" s="1"/>
  <c r="F14" i="1"/>
  <c r="Q12" i="1"/>
  <c r="P12" i="1"/>
  <c r="O12" i="1"/>
  <c r="N12" i="1"/>
  <c r="M12" i="1"/>
  <c r="L12" i="1"/>
  <c r="K12" i="1"/>
  <c r="J12" i="1"/>
  <c r="I12" i="1"/>
  <c r="H12" i="1"/>
  <c r="G12" i="1"/>
  <c r="F12" i="1"/>
  <c r="D12" i="1" s="1"/>
  <c r="Q11" i="1"/>
  <c r="P11" i="1"/>
  <c r="O11" i="1"/>
  <c r="N11" i="1"/>
  <c r="M11" i="1"/>
  <c r="L11" i="1"/>
  <c r="K11" i="1"/>
  <c r="J11" i="1"/>
  <c r="I11" i="1"/>
  <c r="H11" i="1"/>
  <c r="G11" i="1"/>
  <c r="F11" i="1"/>
  <c r="D11" i="1" s="1"/>
  <c r="Q10" i="1"/>
  <c r="P10" i="1"/>
  <c r="O10" i="1"/>
  <c r="N10" i="1"/>
  <c r="M10" i="1"/>
  <c r="L10" i="1"/>
  <c r="K10" i="1"/>
  <c r="J10" i="1"/>
  <c r="I10" i="1"/>
  <c r="H10" i="1"/>
  <c r="G10" i="1"/>
  <c r="F10" i="1"/>
  <c r="D10" i="1" s="1"/>
  <c r="Q9" i="1"/>
  <c r="P9" i="1"/>
  <c r="O9" i="1"/>
  <c r="N9" i="1"/>
  <c r="M9" i="1"/>
  <c r="L9" i="1"/>
  <c r="K9" i="1"/>
  <c r="J9" i="1"/>
  <c r="I9" i="1"/>
  <c r="H9" i="1"/>
  <c r="G9" i="1"/>
  <c r="F9" i="1"/>
  <c r="D9" i="1" s="1"/>
  <c r="Q8" i="1"/>
  <c r="P8" i="1"/>
  <c r="O8" i="1"/>
  <c r="N8" i="1"/>
  <c r="M8" i="1"/>
  <c r="L8" i="1"/>
  <c r="K8" i="1"/>
  <c r="J8" i="1"/>
  <c r="I8" i="1"/>
  <c r="H8" i="1"/>
  <c r="G8" i="1"/>
  <c r="F8" i="1"/>
  <c r="D8" i="1" s="1"/>
  <c r="Q7" i="1"/>
  <c r="P7" i="1"/>
  <c r="P13" i="1" s="1"/>
  <c r="O7" i="1"/>
  <c r="N7" i="1"/>
  <c r="M7" i="1"/>
  <c r="L7" i="1"/>
  <c r="L13" i="1" s="1"/>
  <c r="K7" i="1"/>
  <c r="J7" i="1"/>
  <c r="I7" i="1"/>
  <c r="H7" i="1"/>
  <c r="H13" i="1" s="1"/>
  <c r="G7" i="1"/>
  <c r="F7" i="1"/>
  <c r="D7" i="1" s="1"/>
  <c r="A7" i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Q6" i="1"/>
  <c r="Q13" i="1" s="1"/>
  <c r="P6" i="1"/>
  <c r="O6" i="1"/>
  <c r="O13" i="1" s="1"/>
  <c r="N6" i="1"/>
  <c r="N13" i="1" s="1"/>
  <c r="L6" i="1"/>
  <c r="K6" i="1"/>
  <c r="K13" i="1" s="1"/>
  <c r="J6" i="1"/>
  <c r="J13" i="1" s="1"/>
  <c r="I6" i="1"/>
  <c r="I13" i="1" s="1"/>
  <c r="H6" i="1"/>
  <c r="G6" i="1"/>
  <c r="G13" i="1" s="1"/>
  <c r="G5" i="1"/>
  <c r="G14" i="1" s="1"/>
  <c r="Q35" i="1" l="1"/>
  <c r="Q34" i="1"/>
  <c r="Q42" i="1"/>
  <c r="Q41" i="1"/>
  <c r="Q40" i="1"/>
  <c r="Q39" i="1"/>
  <c r="Q38" i="1"/>
  <c r="Q37" i="1"/>
  <c r="Q27" i="1"/>
  <c r="Q29" i="1" s="1"/>
  <c r="Q25" i="1"/>
  <c r="Q32" i="1"/>
  <c r="Q36" i="1"/>
  <c r="H25" i="1"/>
  <c r="H27" i="1" s="1"/>
  <c r="H29" i="1" s="1"/>
  <c r="L36" i="1"/>
  <c r="L27" i="1"/>
  <c r="L29" i="1" s="1"/>
  <c r="L25" i="1"/>
  <c r="L35" i="1"/>
  <c r="L34" i="1"/>
  <c r="L42" i="1"/>
  <c r="L41" i="1"/>
  <c r="L37" i="1"/>
  <c r="L38" i="1"/>
  <c r="L32" i="1"/>
  <c r="L39" i="1"/>
  <c r="L40" i="1"/>
  <c r="P36" i="1"/>
  <c r="P27" i="1"/>
  <c r="P29" i="1" s="1"/>
  <c r="P25" i="1"/>
  <c r="P35" i="1"/>
  <c r="P34" i="1"/>
  <c r="P42" i="1"/>
  <c r="P41" i="1"/>
  <c r="P38" i="1"/>
  <c r="P39" i="1"/>
  <c r="P40" i="1"/>
  <c r="P37" i="1"/>
  <c r="P32" i="1"/>
  <c r="J42" i="1"/>
  <c r="J41" i="1"/>
  <c r="J40" i="1"/>
  <c r="J39" i="1"/>
  <c r="J38" i="1"/>
  <c r="J37" i="1"/>
  <c r="J32" i="1"/>
  <c r="J35" i="1"/>
  <c r="J27" i="1"/>
  <c r="J29" i="1" s="1"/>
  <c r="J36" i="1"/>
  <c r="J25" i="1"/>
  <c r="J34" i="1"/>
  <c r="O40" i="1"/>
  <c r="O39" i="1"/>
  <c r="O38" i="1"/>
  <c r="O37" i="1"/>
  <c r="O32" i="1"/>
  <c r="O36" i="1"/>
  <c r="O42" i="1"/>
  <c r="O34" i="1"/>
  <c r="O27" i="1"/>
  <c r="O29" i="1" s="1"/>
  <c r="O35" i="1"/>
  <c r="O25" i="1"/>
  <c r="O41" i="1"/>
  <c r="G25" i="1"/>
  <c r="K40" i="1"/>
  <c r="K39" i="1"/>
  <c r="K38" i="1"/>
  <c r="K37" i="1"/>
  <c r="K32" i="1"/>
  <c r="K36" i="1"/>
  <c r="K41" i="1"/>
  <c r="K35" i="1"/>
  <c r="K27" i="1"/>
  <c r="K29" i="1" s="1"/>
  <c r="K42" i="1"/>
  <c r="K25" i="1"/>
  <c r="K34" i="1"/>
  <c r="L142" i="2"/>
  <c r="M26" i="1" s="1"/>
  <c r="L130" i="2"/>
  <c r="L144" i="2"/>
  <c r="L86" i="2"/>
  <c r="L7" i="2"/>
  <c r="M6" i="1"/>
  <c r="M13" i="1" s="1"/>
  <c r="I35" i="1"/>
  <c r="I34" i="1"/>
  <c r="I42" i="1"/>
  <c r="I41" i="1"/>
  <c r="I40" i="1"/>
  <c r="I39" i="1"/>
  <c r="I38" i="1"/>
  <c r="I37" i="1"/>
  <c r="I32" i="1"/>
  <c r="I27" i="1"/>
  <c r="I29" i="1" s="1"/>
  <c r="I36" i="1"/>
  <c r="I25" i="1"/>
  <c r="N42" i="1"/>
  <c r="N41" i="1"/>
  <c r="N40" i="1"/>
  <c r="N39" i="1"/>
  <c r="N38" i="1"/>
  <c r="N37" i="1"/>
  <c r="N32" i="1"/>
  <c r="N36" i="1"/>
  <c r="N34" i="1"/>
  <c r="N27" i="1"/>
  <c r="N29" i="1" s="1"/>
  <c r="N35" i="1"/>
  <c r="N25" i="1"/>
  <c r="D18" i="3"/>
  <c r="E7" i="3"/>
  <c r="H5" i="1"/>
  <c r="R8" i="2"/>
  <c r="R9" i="2"/>
  <c r="D12" i="2"/>
  <c r="F7" i="2"/>
  <c r="J7" i="2"/>
  <c r="N7" i="2"/>
  <c r="R13" i="2"/>
  <c r="F24" i="1"/>
  <c r="R10" i="2"/>
  <c r="R11" i="2"/>
  <c r="R15" i="2"/>
  <c r="H142" i="2"/>
  <c r="I26" i="1" s="1"/>
  <c r="H130" i="2"/>
  <c r="H144" i="2"/>
  <c r="H86" i="2"/>
  <c r="H7" i="2"/>
  <c r="P142" i="2"/>
  <c r="Q26" i="1" s="1"/>
  <c r="P130" i="2"/>
  <c r="P144" i="2"/>
  <c r="P86" i="2"/>
  <c r="P7" i="2"/>
  <c r="H43" i="2"/>
  <c r="D48" i="2"/>
  <c r="L43" i="2"/>
  <c r="P43" i="2"/>
  <c r="G7" i="2"/>
  <c r="K7" i="2"/>
  <c r="O7" i="2"/>
  <c r="R16" i="2"/>
  <c r="R67" i="2"/>
  <c r="L20" i="3"/>
  <c r="P31" i="1"/>
  <c r="D8" i="2"/>
  <c r="D10" i="2"/>
  <c r="D13" i="2"/>
  <c r="R19" i="2"/>
  <c r="R22" i="2"/>
  <c r="D40" i="2"/>
  <c r="E24" i="2"/>
  <c r="R39" i="2"/>
  <c r="I144" i="2"/>
  <c r="I86" i="2"/>
  <c r="M144" i="2"/>
  <c r="M86" i="2"/>
  <c r="F86" i="2"/>
  <c r="F130" i="2"/>
  <c r="F142" i="2" s="1"/>
  <c r="R44" i="2"/>
  <c r="D45" i="2"/>
  <c r="E43" i="2"/>
  <c r="R45" i="2"/>
  <c r="R60" i="2"/>
  <c r="R75" i="2"/>
  <c r="R70" i="2"/>
  <c r="R74" i="2" s="1"/>
  <c r="I130" i="2"/>
  <c r="I142" i="2"/>
  <c r="J26" i="1" s="1"/>
  <c r="D11" i="3"/>
  <c r="D13" i="3" s="1"/>
  <c r="D15" i="3" s="1"/>
  <c r="D19" i="3" s="1"/>
  <c r="D9" i="3"/>
  <c r="H11" i="3"/>
  <c r="H15" i="3"/>
  <c r="H13" i="3"/>
  <c r="H9" i="3"/>
  <c r="L11" i="3"/>
  <c r="L15" i="3"/>
  <c r="L13" i="3"/>
  <c r="L9" i="3"/>
  <c r="R17" i="2"/>
  <c r="D20" i="2"/>
  <c r="R20" i="2"/>
  <c r="R23" i="2"/>
  <c r="D23" i="2"/>
  <c r="J86" i="2"/>
  <c r="J142" i="2"/>
  <c r="K26" i="1" s="1"/>
  <c r="J130" i="2"/>
  <c r="D70" i="2"/>
  <c r="F74" i="2"/>
  <c r="R84" i="2"/>
  <c r="D126" i="2"/>
  <c r="M130" i="2"/>
  <c r="M142" i="2"/>
  <c r="N26" i="1" s="1"/>
  <c r="N12" i="3"/>
  <c r="R18" i="2"/>
  <c r="R40" i="2"/>
  <c r="G142" i="2"/>
  <c r="H26" i="1" s="1"/>
  <c r="G130" i="2"/>
  <c r="G144" i="2"/>
  <c r="K142" i="2"/>
  <c r="L26" i="1" s="1"/>
  <c r="K130" i="2"/>
  <c r="K144" i="2"/>
  <c r="O142" i="2"/>
  <c r="P26" i="1" s="1"/>
  <c r="O130" i="2"/>
  <c r="O144" i="2"/>
  <c r="N86" i="2"/>
  <c r="N142" i="2"/>
  <c r="O26" i="1" s="1"/>
  <c r="N130" i="2"/>
  <c r="G86" i="2"/>
  <c r="R98" i="2"/>
  <c r="H19" i="3"/>
  <c r="D47" i="2"/>
  <c r="D71" i="2"/>
  <c r="B11" i="3"/>
  <c r="G15" i="3"/>
  <c r="K15" i="3"/>
  <c r="E19" i="3"/>
  <c r="I19" i="3"/>
  <c r="M19" i="3"/>
  <c r="R71" i="2"/>
  <c r="N8" i="3"/>
  <c r="C11" i="3"/>
  <c r="C13" i="3" s="1"/>
  <c r="C15" i="3" s="1"/>
  <c r="C19" i="3" s="1"/>
  <c r="G11" i="3"/>
  <c r="K11" i="3"/>
  <c r="E13" i="3"/>
  <c r="I13" i="3"/>
  <c r="M13" i="3"/>
  <c r="F19" i="3"/>
  <c r="J19" i="3"/>
  <c r="F9" i="3"/>
  <c r="N9" i="3" s="1"/>
  <c r="J9" i="3"/>
  <c r="J11" i="3" s="1"/>
  <c r="D20" i="3" l="1"/>
  <c r="H31" i="1"/>
  <c r="C20" i="3"/>
  <c r="G31" i="1"/>
  <c r="R142" i="2"/>
  <c r="G26" i="1"/>
  <c r="G27" i="1" s="1"/>
  <c r="G29" i="1" s="1"/>
  <c r="G32" i="1" s="1"/>
  <c r="H32" i="1"/>
  <c r="I20" i="3"/>
  <c r="M31" i="1"/>
  <c r="F144" i="2"/>
  <c r="E20" i="3"/>
  <c r="I31" i="1"/>
  <c r="J20" i="3"/>
  <c r="N31" i="1"/>
  <c r="H20" i="3"/>
  <c r="L31" i="1"/>
  <c r="E86" i="2"/>
  <c r="D86" i="2" s="1"/>
  <c r="D24" i="2"/>
  <c r="E130" i="2"/>
  <c r="E7" i="2"/>
  <c r="F6" i="1"/>
  <c r="I5" i="1"/>
  <c r="H14" i="1"/>
  <c r="M35" i="1"/>
  <c r="M34" i="1"/>
  <c r="M42" i="1"/>
  <c r="M41" i="1"/>
  <c r="M40" i="1"/>
  <c r="M39" i="1"/>
  <c r="M38" i="1"/>
  <c r="M37" i="1"/>
  <c r="M32" i="1"/>
  <c r="M25" i="1"/>
  <c r="M36" i="1"/>
  <c r="M27" i="1"/>
  <c r="M29" i="1" s="1"/>
  <c r="F20" i="3"/>
  <c r="J31" i="1"/>
  <c r="F11" i="3"/>
  <c r="M20" i="3"/>
  <c r="Q31" i="1"/>
  <c r="B13" i="3"/>
  <c r="N11" i="3"/>
  <c r="R43" i="2"/>
  <c r="R48" i="2" s="1"/>
  <c r="D43" i="2"/>
  <c r="F7" i="3"/>
  <c r="E18" i="3"/>
  <c r="D7" i="2" l="1"/>
  <c r="R7" i="2"/>
  <c r="R24" i="2" s="1"/>
  <c r="R86" i="2" s="1"/>
  <c r="N13" i="3"/>
  <c r="B15" i="3"/>
  <c r="D6" i="1"/>
  <c r="F13" i="1"/>
  <c r="D130" i="2"/>
  <c r="R130" i="2"/>
  <c r="G7" i="3"/>
  <c r="F18" i="3"/>
  <c r="J5" i="1"/>
  <c r="I14" i="1"/>
  <c r="E142" i="2"/>
  <c r="J14" i="1" l="1"/>
  <c r="K5" i="1"/>
  <c r="N15" i="3"/>
  <c r="N19" i="3" s="1"/>
  <c r="N20" i="3" s="1"/>
  <c r="B19" i="3"/>
  <c r="D142" i="2"/>
  <c r="F26" i="1"/>
  <c r="D26" i="1" s="1"/>
  <c r="F25" i="1"/>
  <c r="D13" i="1"/>
  <c r="G18" i="3"/>
  <c r="H7" i="3"/>
  <c r="E144" i="2"/>
  <c r="D144" i="2" s="1"/>
  <c r="D25" i="1" l="1"/>
  <c r="F27" i="1"/>
  <c r="H18" i="3"/>
  <c r="I7" i="3"/>
  <c r="K14" i="1"/>
  <c r="L5" i="1"/>
  <c r="B20" i="3"/>
  <c r="F31" i="1"/>
  <c r="D31" i="1" s="1"/>
  <c r="J7" i="3" l="1"/>
  <c r="I18" i="3"/>
  <c r="M5" i="1"/>
  <c r="L14" i="1"/>
  <c r="F29" i="1"/>
  <c r="D27" i="1"/>
  <c r="N5" i="1" l="1"/>
  <c r="M14" i="1"/>
  <c r="D29" i="1"/>
  <c r="F32" i="1"/>
  <c r="K7" i="3"/>
  <c r="J18" i="3"/>
  <c r="D32" i="1" l="1"/>
  <c r="F34" i="1"/>
  <c r="K18" i="3"/>
  <c r="L7" i="3"/>
  <c r="N14" i="1"/>
  <c r="O5" i="1"/>
  <c r="L18" i="3" l="1"/>
  <c r="M7" i="3"/>
  <c r="M18" i="3" s="1"/>
  <c r="G34" i="1"/>
  <c r="F36" i="1"/>
  <c r="F39" i="1" s="1"/>
  <c r="F35" i="1"/>
  <c r="F37" i="1"/>
  <c r="O14" i="1"/>
  <c r="P5" i="1"/>
  <c r="F40" i="1" l="1"/>
  <c r="F41" i="1" s="1"/>
  <c r="F42" i="1"/>
  <c r="H34" i="1"/>
  <c r="G39" i="1"/>
  <c r="G40" i="1" s="1"/>
  <c r="G41" i="1" s="1"/>
  <c r="G36" i="1"/>
  <c r="G35" i="1"/>
  <c r="G37" i="1"/>
  <c r="Q5" i="1"/>
  <c r="Q14" i="1" s="1"/>
  <c r="P14" i="1"/>
  <c r="F38" i="1"/>
  <c r="G38" i="1" l="1"/>
  <c r="H36" i="1"/>
  <c r="H37" i="1"/>
  <c r="H39" i="1" s="1"/>
  <c r="H35" i="1"/>
  <c r="G42" i="1"/>
  <c r="H40" i="1" l="1"/>
  <c r="H41" i="1" s="1"/>
  <c r="D41" i="1" s="1"/>
  <c r="H42" i="1"/>
  <c r="H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Kettner, Cheryl</author>
    <author>CKettner</author>
    <author>tzj0fg</author>
    <author>Lori Hamilton</author>
  </authors>
  <commentList>
    <comment ref="B8" authorId="0" shapeId="0" xr:uid="{9521EF2D-5729-4CD7-970A-A3DED7D226D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E0AFCD4E-FC93-4790-B606-94BAFC077F4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74BFE4EB-2C9D-41E1-9791-E1BFA7ED94D8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770B3E33-5705-4D61-AFE6-85EE877EAE7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FE1B7971-D70F-4E29-9BA8-ED32B242D37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30E30A60-7443-4A99-ACA9-28BF8BF21A2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4E6EB1A3-8E2B-422B-9CBC-C5AB55706455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1B58AF0F-D419-4751-8259-0ABDED1DA3C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EF83DA35-A1D8-4720-AF0E-B2886832C71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91DCBAB7-B120-472F-B597-CB14269E1FB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0D51A8AE-343F-413D-8D4E-E1121D41ADC2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250C1993-FF1B-4D73-8ABE-99262CFBCCE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7" authorId="2" shapeId="0" xr:uid="{50860F33-C358-4B86-BAEB-68244EA91334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Purchased Power - EIM</t>
        </r>
      </text>
    </comment>
    <comment ref="C38" authorId="3" shapeId="0" xr:uid="{D4F477D1-2C65-4AB2-A78A-55A2B932E6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8" authorId="3" shapeId="0" xr:uid="{EEFF6AC5-4863-474A-B08B-9B2F222865C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2022 is: 628</t>
        </r>
      </text>
    </comment>
    <comment ref="F38" authorId="3" shapeId="0" xr:uid="{61E0139C-A3DF-49FA-963D-5A0BA8FA0A0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Feb 2022 is: 2,320</t>
        </r>
      </text>
    </comment>
    <comment ref="G38" authorId="3" shapeId="0" xr:uid="{1DABE5B2-BD5F-4AC7-8806-1850DDEE1CB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Mar 2022 is: 3,326</t>
        </r>
      </text>
    </comment>
    <comment ref="H38" authorId="3" shapeId="0" xr:uid="{99C9CBB2-FAE1-42B3-9FAA-30C01537299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I38" authorId="3" shapeId="0" xr:uid="{12E65BA4-414A-4435-A4D2-F809DE6B89A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J38" authorId="3" shapeId="0" xr:uid="{28C801B3-E135-4A55-8887-0C557C8B09E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K38" authorId="3" shapeId="0" xr:uid="{4B285630-2914-42BF-9C20-9FA7BB363D9B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L38" authorId="3" shapeId="0" xr:uid="{CEA1A169-3E19-4FA1-85BC-D376F9FC4D7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M38" authorId="3" shapeId="0" xr:uid="{16DFD022-57AB-4A07-AA10-35B9AB5E9BC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N38" authorId="3" shapeId="0" xr:uid="{9E48416A-0D53-472E-A258-75474A2B923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O38" authorId="3" shapeId="0" xr:uid="{C75B79FE-13ED-4DB7-BB2D-0C71131420A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P38" authorId="3" shapeId="0" xr:uid="{1674C4FD-C913-4663-BCB1-D017BA4DAFF8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4, Variability Integration Cost of 43,092/12months = 3,591.
$1.25 for year 4 Operating Reserve Cost Estimate multiplied by actual generation of solar farm.
Transmission loss savings of .0063 multiplied by monthly theoretical revenue.
Actual generation for Jan 2021 is: 1,048</t>
        </r>
      </text>
    </comment>
    <comment ref="B39" authorId="0" shapeId="0" xr:uid="{A3ED188B-3C16-43EE-9670-A33EF430A1DF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4" authorId="1" shapeId="0" xr:uid="{0BE910A0-7FA6-484B-B817-AE1181641BBF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3" authorId="2" shapeId="0" xr:uid="{36288980-581F-49B5-B73B-47BE41556D36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3" authorId="3" shapeId="0" xr:uid="{BF8195D1-8C05-41EC-AD17-E307258A3AE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3" authorId="3" shapeId="0" xr:uid="{0C8AF114-E926-4CFC-BFCE-C942A601781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3" authorId="3" shapeId="0" xr:uid="{BC879D9F-4BEF-497B-B6B5-C754A34D45CC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3" authorId="3" shapeId="0" xr:uid="{6F61ABDA-374A-457F-8E32-5A5E58EA7D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3" authorId="3" shapeId="0" xr:uid="{EA22D479-BD63-47B6-9C7C-CE2E32FB7C6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3" authorId="3" shapeId="0" xr:uid="{D7BE53B0-8321-49C8-811D-B91668AE8F9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3" authorId="3" shapeId="0" xr:uid="{FF9B12E9-1A01-4DE5-A4EA-87491842D6D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3" authorId="3" shapeId="0" xr:uid="{8A00BE66-A390-4F9E-891A-864EA0F140D0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3" authorId="3" shapeId="0" xr:uid="{F776BFF3-120C-4D37-A7C0-FF7B86A13BE1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3" authorId="3" shapeId="0" xr:uid="{04D0387C-6097-4FA2-A5F7-D65670FD709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3" authorId="3" shapeId="0" xr:uid="{1B15BA3B-78C5-47F3-991B-D5842642B45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3" authorId="3" shapeId="0" xr:uid="{08F02422-3A4E-4E4B-A254-EAC19545B5E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4" authorId="4" shapeId="0" xr:uid="{F7079E4E-CDA3-4DF6-980E-7D51AF8B976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5" authorId="3" shapeId="0" xr:uid="{C2BA27F3-BA7B-44DA-9EA0-6BC9E503D569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6" authorId="4" shapeId="0" xr:uid="{4DB8479D-C6F9-45D2-8F98-3BC785F3061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7" authorId="4" shapeId="0" xr:uid="{285531F8-AA0C-4F5D-9EFE-051DB96EC13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8" authorId="4" shapeId="0" xr:uid="{4AD1975C-7430-497B-8F4D-ED4BF957CE6B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59" authorId="2" shapeId="0" xr:uid="{F37AEE0C-F847-464B-A09F-BFC148532E02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Sale For Resale - EIM</t>
        </r>
      </text>
    </comment>
    <comment ref="B113" authorId="5" shapeId="0" xr:uid="{55588463-9443-43D5-A705-CB8A157EB152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4" authorId="4" shapeId="0" xr:uid="{2B456DE2-2C63-43F8-A9C2-C4B72B8CCC7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5" authorId="4" shapeId="0" xr:uid="{FAC4BE2E-9134-49C1-9775-9E7B3DFE708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1" authorId="3" shapeId="0" xr:uid="{643F5B43-7D89-42B5-828C-6FBBD96F7DA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2" authorId="2" shapeId="0" xr:uid="{315E8DD9-7835-4D55-9455-BCE7E3E60EA6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33" authorId="4" shapeId="0" xr:uid="{3C32E686-555D-48AA-8881-27C8FBFE8182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5" authorId="4" shapeId="0" xr:uid="{44C1FB26-D6CF-4523-B2BF-221380DE78E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40" authorId="4" shapeId="0" xr:uid="{FCA234D8-01BF-4C2D-BB0D-EAF76405126F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8" authorId="0" shapeId="0" xr:uid="{1C352A2B-53E8-4B8C-A141-81818C3B275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0" authorId="0" shapeId="0" xr:uid="{F9DDABFE-715F-47DA-892B-5F8DDD2F312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<sst xmlns="http://schemas.openxmlformats.org/spreadsheetml/2006/main" count="198" uniqueCount="175">
  <si>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</si>
  <si>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</si>
  <si>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</si>
  <si>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</si>
  <si>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</si>
  <si>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</si>
  <si>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</si>
  <si>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</si>
  <si>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</si>
  <si>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</si>
  <si>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</si>
  <si>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</si>
  <si>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</si>
  <si>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</si>
  <si>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</si>
  <si>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Mar</t>
  </si>
  <si>
    <t>557 Broker Fees - Other Expenses</t>
  </si>
  <si>
    <t>456 Other Revenue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</si>
  <si>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</si>
  <si>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</si>
  <si>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</si>
  <si>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</si>
  <si>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</si>
  <si>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</si>
  <si>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</si>
  <si>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</si>
  <si>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</si>
  <si>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</si>
  <si>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</si>
  <si>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</si>
  <si>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</si>
  <si>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</si>
  <si>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</si>
  <si>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</si>
  <si>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</si>
  <si>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</si>
  <si>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</si>
  <si>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</si>
  <si>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</si>
  <si>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</si>
  <si>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</si>
  <si>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</si>
  <si>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</si>
  <si>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</si>
  <si>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</si>
  <si>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</si>
  <si>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</si>
  <si>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</si>
  <si>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</si>
  <si>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</si>
  <si>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</si>
  <si>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</si>
  <si>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</si>
  <si>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</si>
  <si>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</si>
  <si>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</si>
  <si>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</si>
  <si>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</si>
  <si>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</si>
  <si>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</si>
  <si>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</si>
  <si>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</si>
  <si>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</si>
  <si>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</si>
  <si>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</si>
  <si>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</si>
  <si>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</si>
  <si>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</si>
  <si>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</si>
  <si>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</si>
  <si>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</si>
  <si>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</si>
  <si>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</si>
  <si>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</si>
  <si>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</si>
  <si>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</si>
  <si>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</si>
  <si>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</si>
  <si>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</si>
  <si>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</si>
  <si>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</si>
  <si>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</si>
  <si>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</si>
  <si>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</si>
  <si>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</si>
  <si>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</si>
  <si>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</si>
  <si>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</si>
  <si>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</si>
  <si>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</si>
  <si>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</si>
  <si>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</si>
  <si>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</si>
  <si>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</si>
  <si>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</si>
  <si>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</si>
  <si>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</si>
  <si>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</si>
  <si>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</si>
  <si>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</si>
  <si>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</si>
  <si>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</si>
  <si>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</si>
  <si>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</si>
  <si>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</si>
  <si>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</si>
  <si>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</si>
  <si>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</si>
  <si>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</si>
  <si>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</si>
  <si>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</si>
  <si>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</si>
  <si>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</si>
  <si>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</si>
  <si>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</si>
  <si>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</si>
  <si>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</si>
  <si>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</si>
  <si>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</si>
  <si>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</si>
  <si>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</si>
  <si>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</si>
  <si>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</si>
  <si>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</si>
  <si>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</si>
  <si>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</si>
  <si>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</si>
  <si>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</si>
  <si>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</si>
  <si>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</si>
  <si>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</si>
  <si>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</si>
  <si>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</si>
  <si>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</si>
  <si>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</si>
  <si>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</si>
  <si>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</si>
  <si>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</si>
  <si>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</si>
  <si>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</si>
  <si>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</si>
  <si>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</si>
  <si>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</si>
  <si>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</si>
  <si>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</si>
  <si>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</si>
  <si>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</si>
  <si>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</si>
  <si>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</si>
  <si>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</si>
  <si>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</si>
  <si>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</si>
  <si>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</si>
  <si>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</si>
  <si>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</si>
  <si>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</si>
  <si>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</si>
  <si>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</si>
  <si>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</si>
  <si>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</si>
  <si>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</si>
  <si>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- 2022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</si>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</sst>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</numFmts>
  <fonts count="34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right"/>
    </xf>
    <xf numFmtId="5" fontId="1" fillId="0" borderId="0" xfId="1" applyNumberFormat="1" applyFont="1" applyFill="1" applyBorder="1"/>
    <xf numFmtId="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0" xfId="0" applyFont="1"/>
    <xf numFmtId="0" fontId="2" fillId="0" borderId="3" xfId="0" applyFont="1" applyBorder="1"/>
    <xf numFmtId="164" fontId="2" fillId="0" borderId="3" xfId="0" applyNumberFormat="1" applyFont="1" applyBorder="1" applyAlignment="1">
      <alignment horizontal="right"/>
    </xf>
    <xf numFmtId="5" fontId="2" fillId="0" borderId="3" xfId="1" applyNumberFormat="1" applyFont="1" applyFill="1" applyBorder="1"/>
    <xf numFmtId="164" fontId="5" fillId="0" borderId="3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5" fontId="6" fillId="0" borderId="0" xfId="2" applyNumberFormat="1" applyFont="1" applyFill="1" applyBorder="1" applyAlignment="1">
      <alignment horizontal="right"/>
    </xf>
    <xf numFmtId="5" fontId="6" fillId="0" borderId="0" xfId="2" applyNumberFormat="1" applyFont="1" applyFill="1" applyBorder="1"/>
    <xf numFmtId="5" fontId="7" fillId="0" borderId="0" xfId="0" applyNumberFormat="1" applyFont="1"/>
    <xf numFmtId="166" fontId="1" fillId="0" borderId="0" xfId="1" applyNumberFormat="1" applyFont="1" applyFill="1" applyBorder="1"/>
    <xf numFmtId="5" fontId="6" fillId="0" borderId="0" xfId="1" applyNumberFormat="1" applyFont="1" applyFill="1" applyBorder="1"/>
    <xf numFmtId="5" fontId="6" fillId="0" borderId="0" xfId="0" applyNumberFormat="1" applyFont="1"/>
    <xf numFmtId="5" fontId="2" fillId="0" borderId="3" xfId="0" applyNumberFormat="1" applyFont="1" applyBorder="1"/>
    <xf numFmtId="5" fontId="2" fillId="0" borderId="3" xfId="0" applyNumberFormat="1" applyFont="1" applyBorder="1" applyAlignment="1">
      <alignment horizontal="right"/>
    </xf>
    <xf numFmtId="0" fontId="1" fillId="0" borderId="3" xfId="0" applyFont="1" applyBorder="1"/>
    <xf numFmtId="5" fontId="1" fillId="0" borderId="3" xfId="2" applyNumberFormat="1" applyFont="1" applyFill="1" applyBorder="1" applyAlignment="1">
      <alignment horizontal="right"/>
    </xf>
    <xf numFmtId="5" fontId="1" fillId="0" borderId="3" xfId="2" applyNumberFormat="1" applyFont="1" applyFill="1" applyBorder="1"/>
    <xf numFmtId="5" fontId="1" fillId="0" borderId="0" xfId="0" applyNumberFormat="1" applyFont="1"/>
    <xf numFmtId="5" fontId="1" fillId="0" borderId="0" xfId="2" applyNumberFormat="1" applyFont="1" applyFill="1" applyBorder="1"/>
    <xf numFmtId="10" fontId="1" fillId="0" borderId="0" xfId="3" applyNumberFormat="1" applyFont="1" applyFill="1" applyBorder="1"/>
    <xf numFmtId="5" fontId="1" fillId="0" borderId="0" xfId="2" applyNumberFormat="1" applyFont="1" applyFill="1" applyBorder="1" applyAlignment="1">
      <alignment horizontal="right"/>
    </xf>
    <xf numFmtId="5" fontId="1" fillId="0" borderId="0" xfId="4" applyNumberFormat="1" applyFont="1" applyFill="1" applyBorder="1"/>
    <xf numFmtId="0" fontId="1" fillId="0" borderId="1" xfId="0" applyFont="1" applyBorder="1" applyAlignment="1">
      <alignment horizontal="left" vertical="center" wrapText="1"/>
    </xf>
    <xf numFmtId="5" fontId="1" fillId="0" borderId="1" xfId="2" applyNumberFormat="1" applyFont="1" applyFill="1" applyBorder="1" applyAlignment="1">
      <alignment horizontal="right" vertical="center"/>
    </xf>
    <xf numFmtId="5" fontId="1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wrapText="1"/>
    </xf>
    <xf numFmtId="5" fontId="2" fillId="0" borderId="2" xfId="2" applyNumberFormat="1" applyFont="1" applyFill="1" applyBorder="1" applyAlignment="1">
      <alignment horizontal="right" vertical="center"/>
    </xf>
    <xf numFmtId="5" fontId="2" fillId="0" borderId="2" xfId="2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5" fontId="2" fillId="0" borderId="2" xfId="2" applyNumberFormat="1" applyFont="1" applyFill="1" applyBorder="1" applyAlignment="1">
      <alignment horizontal="right" vertical="center"/>
    </xf>
    <xf numFmtId="5" fontId="6" fillId="0" borderId="2" xfId="2" applyNumberFormat="1" applyFont="1" applyFill="1" applyBorder="1" applyAlignment="1">
      <alignment vertical="center"/>
    </xf>
    <xf numFmtId="164" fontId="10" fillId="0" borderId="3" xfId="2" applyNumberFormat="1" applyFont="1" applyFill="1" applyBorder="1"/>
    <xf numFmtId="5" fontId="2" fillId="0" borderId="3" xfId="2" applyNumberFormat="1" applyFont="1" applyFill="1" applyBorder="1"/>
    <xf numFmtId="3" fontId="4" fillId="0" borderId="0" xfId="1" applyNumberFormat="1" applyFont="1" applyFill="1" applyBorder="1"/>
    <xf numFmtId="9" fontId="1" fillId="0" borderId="0" xfId="1" applyNumberFormat="1" applyFont="1" applyFill="1" applyBorder="1"/>
    <xf numFmtId="9" fontId="4" fillId="0" borderId="0" xfId="1" applyNumberFormat="1" applyFont="1" applyFill="1" applyBorder="1"/>
    <xf numFmtId="3" fontId="1" fillId="0" borderId="0" xfId="2" applyNumberFormat="1" applyFont="1" applyFill="1" applyBorder="1" applyAlignme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2" applyNumberFormat="1" applyFont="1" applyFill="1" applyBorder="1" applyAlignment="1"/>
    <xf numFmtId="3" fontId="1" fillId="0" borderId="0" xfId="0" applyNumberFormat="1" applyFont="1"/>
    <xf numFmtId="166" fontId="1" fillId="0" borderId="0" xfId="1" applyNumberFormat="1" applyFont="1" applyFill="1" applyBorder="1" applyAlignment="1"/>
    <xf numFmtId="5" fontId="2" fillId="0" borderId="3" xfId="2" applyNumberFormat="1" applyFont="1" applyFill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/>
    <xf numFmtId="5" fontId="2" fillId="0" borderId="4" xfId="2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4" fontId="2" fillId="0" borderId="0" xfId="2" applyFont="1" applyFill="1" applyAlignment="1">
      <alignment horizontal="center"/>
    </xf>
    <xf numFmtId="0" fontId="0" fillId="0" borderId="0" xfId="0" applyAlignment="1">
      <alignment horizontal="right"/>
    </xf>
    <xf numFmtId="43" fontId="1" fillId="0" borderId="0" xfId="1" applyFont="1" applyFill="1" applyBorder="1"/>
    <xf numFmtId="5" fontId="2" fillId="0" borderId="0" xfId="2" applyNumberFormat="1" applyFont="1" applyFill="1" applyBorder="1" applyAlignment="1">
      <alignment vertical="center"/>
    </xf>
    <xf numFmtId="44" fontId="0" fillId="0" borderId="0" xfId="0" applyNumberFormat="1"/>
    <xf numFmtId="7" fontId="1" fillId="0" borderId="0" xfId="0" applyNumberFormat="1" applyFont="1"/>
    <xf numFmtId="0" fontId="0" fillId="0" borderId="0" xfId="0" applyAlignment="1">
      <alignment horizontal="center"/>
    </xf>
    <xf numFmtId="166" fontId="1" fillId="0" borderId="0" xfId="1" applyNumberForma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" fontId="2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1" fillId="0" borderId="0" xfId="1" applyNumberFormat="1" applyFont="1" applyFill="1"/>
    <xf numFmtId="5" fontId="0" fillId="0" borderId="0" xfId="0" applyNumberFormat="1"/>
    <xf numFmtId="5" fontId="0" fillId="0" borderId="0" xfId="1" applyNumberFormat="1" applyFont="1" applyFill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Fill="1"/>
    <xf numFmtId="5" fontId="6" fillId="0" borderId="0" xfId="1" applyNumberFormat="1" applyFont="1" applyFill="1" applyProtection="1">
      <protection locked="0"/>
    </xf>
    <xf numFmtId="0" fontId="0" fillId="0" borderId="0" xfId="0" applyAlignment="1">
      <alignment horizontal="left"/>
    </xf>
    <xf numFmtId="5" fontId="1" fillId="0" borderId="0" xfId="1" applyNumberFormat="1" applyFill="1"/>
    <xf numFmtId="5" fontId="1" fillId="0" borderId="0" xfId="1" applyNumberFormat="1" applyFont="1" applyFill="1" applyBorder="1" applyProtection="1">
      <protection locked="0"/>
    </xf>
    <xf numFmtId="0" fontId="2" fillId="0" borderId="3" xfId="0" applyFont="1" applyBorder="1" applyAlignment="1">
      <alignment vertical="center"/>
    </xf>
    <xf numFmtId="5" fontId="2" fillId="0" borderId="3" xfId="0" applyNumberFormat="1" applyFont="1" applyBorder="1" applyAlignment="1">
      <alignment vertical="center"/>
    </xf>
    <xf numFmtId="5" fontId="2" fillId="0" borderId="3" xfId="1" applyNumberFormat="1" applyFont="1" applyFill="1" applyBorder="1" applyAlignment="1">
      <alignment horizontal="right" vertical="center"/>
    </xf>
    <xf numFmtId="5" fontId="2" fillId="0" borderId="0" xfId="1" applyNumberFormat="1" applyFont="1" applyFill="1" applyBorder="1" applyProtection="1">
      <protection locked="0"/>
    </xf>
    <xf numFmtId="5" fontId="2" fillId="0" borderId="4" xfId="1" applyNumberFormat="1" applyFont="1" applyFill="1" applyBorder="1" applyAlignment="1">
      <alignment horizontal="right"/>
    </xf>
    <xf numFmtId="0" fontId="2" fillId="0" borderId="0" xfId="0" applyFont="1"/>
    <xf numFmtId="5" fontId="1" fillId="0" borderId="0" xfId="0" applyNumberFormat="1" applyFont="1" applyAlignment="1" applyProtection="1">
      <alignment horizontal="center"/>
      <protection locked="0"/>
    </xf>
    <xf numFmtId="166" fontId="1" fillId="0" borderId="0" xfId="1" applyNumberFormat="1" applyFill="1"/>
    <xf numFmtId="0" fontId="15" fillId="0" borderId="0" xfId="0" applyFont="1"/>
    <xf numFmtId="5" fontId="0" fillId="0" borderId="1" xfId="0" applyNumberFormat="1" applyBorder="1"/>
    <xf numFmtId="43" fontId="6" fillId="0" borderId="1" xfId="1" applyFont="1" applyFill="1" applyBorder="1"/>
    <xf numFmtId="0" fontId="16" fillId="0" borderId="0" xfId="0" applyFont="1"/>
    <xf numFmtId="5" fontId="2" fillId="0" borderId="0" xfId="0" applyNumberFormat="1" applyFont="1"/>
    <xf numFmtId="5" fontId="1" fillId="0" borderId="0" xfId="1" applyNumberFormat="1" applyFill="1" applyBorder="1"/>
    <xf numFmtId="0" fontId="1" fillId="0" borderId="0" xfId="0" applyFont="1" applyAlignment="1">
      <alignment vertical="top"/>
    </xf>
    <xf numFmtId="5" fontId="1" fillId="0" borderId="0" xfId="1" applyNumberFormat="1" applyFont="1" applyFill="1" applyProtection="1">
      <protection locked="0"/>
    </xf>
    <xf numFmtId="0" fontId="2" fillId="0" borderId="3" xfId="0" applyFont="1" applyBorder="1" applyAlignment="1">
      <alignment horizontal="center" vertical="center"/>
    </xf>
    <xf numFmtId="5" fontId="2" fillId="0" borderId="0" xfId="1" applyNumberFormat="1" applyFont="1" applyFill="1" applyBorder="1" applyAlignment="1">
      <alignment horizontal="right"/>
    </xf>
    <xf numFmtId="166" fontId="1" fillId="0" borderId="0" xfId="1" applyNumberFormat="1" applyFill="1" applyBorder="1"/>
    <xf numFmtId="0" fontId="11" fillId="0" borderId="0" xfId="0" applyFont="1"/>
    <xf numFmtId="168" fontId="1" fillId="0" borderId="0" xfId="1" applyNumberFormat="1" applyFill="1" applyBorder="1"/>
    <xf numFmtId="5" fontId="0" fillId="0" borderId="1" xfId="1" applyNumberFormat="1" applyFont="1" applyFill="1" applyBorder="1"/>
    <xf numFmtId="5" fontId="0" fillId="0" borderId="0" xfId="1" applyNumberFormat="1" applyFont="1" applyFill="1" applyBorder="1"/>
    <xf numFmtId="5" fontId="2" fillId="0" borderId="2" xfId="0" applyNumberFormat="1" applyFont="1" applyBorder="1"/>
    <xf numFmtId="5" fontId="2" fillId="0" borderId="2" xfId="2" applyNumberFormat="1" applyFont="1" applyFill="1" applyBorder="1"/>
    <xf numFmtId="168" fontId="2" fillId="0" borderId="0" xfId="1" applyNumberFormat="1" applyFont="1" applyFill="1" applyBorder="1"/>
    <xf numFmtId="168" fontId="1" fillId="0" borderId="0" xfId="1" applyNumberFormat="1" applyFont="1" applyFill="1" applyBorder="1"/>
    <xf numFmtId="5" fontId="1" fillId="0" borderId="1" xfId="0" applyNumberFormat="1" applyFont="1" applyBorder="1"/>
    <xf numFmtId="168" fontId="2" fillId="0" borderId="0" xfId="1" applyNumberFormat="1" applyFont="1" applyFill="1" applyBorder="1" applyAlignment="1">
      <alignment horizontal="right"/>
    </xf>
    <xf numFmtId="166" fontId="0" fillId="0" borderId="0" xfId="0" applyNumberFormat="1"/>
    <xf numFmtId="166" fontId="6" fillId="0" borderId="0" xfId="1" applyNumberFormat="1" applyFont="1" applyFill="1"/>
    <xf numFmtId="166" fontId="0" fillId="0" borderId="0" xfId="1" applyNumberFormat="1" applyFont="1" applyFill="1"/>
    <xf numFmtId="7" fontId="1" fillId="0" borderId="0" xfId="2" applyNumberFormat="1" applyFill="1"/>
    <xf numFmtId="169" fontId="1" fillId="0" borderId="0" xfId="2" applyNumberFormat="1" applyFill="1" applyBorder="1"/>
    <xf numFmtId="169" fontId="1" fillId="0" borderId="0" xfId="2" applyNumberFormat="1" applyFill="1"/>
    <xf numFmtId="164" fontId="1" fillId="0" borderId="0" xfId="1" applyNumberFormat="1" applyFill="1" applyBorder="1"/>
    <xf numFmtId="164" fontId="0" fillId="0" borderId="0" xfId="0" applyNumberFormat="1"/>
    <xf numFmtId="0" fontId="0" fillId="0" borderId="1" xfId="0" applyBorder="1"/>
    <xf numFmtId="5" fontId="1" fillId="0" borderId="1" xfId="2" applyNumberFormat="1" applyFont="1" applyFill="1" applyBorder="1"/>
    <xf numFmtId="164" fontId="0" fillId="0" borderId="1" xfId="0" applyNumberFormat="1" applyBorder="1"/>
    <xf numFmtId="164" fontId="2" fillId="0" borderId="0" xfId="1" applyNumberFormat="1" applyFont="1" applyFill="1" applyBorder="1"/>
    <xf numFmtId="164" fontId="2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Fill="1" applyBorder="1" applyAlignment="1">
      <alignment horizontal="right"/>
    </xf>
    <xf numFmtId="164" fontId="16" fillId="0" borderId="3" xfId="1" applyNumberFormat="1" applyFont="1" applyFill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 applyFill="1"/>
    <xf numFmtId="5" fontId="9" fillId="0" borderId="0" xfId="2" applyNumberFormat="1" applyFont="1" applyFill="1" applyBorder="1"/>
    <xf numFmtId="164" fontId="1" fillId="0" borderId="0" xfId="1" applyNumberFormat="1" applyFont="1" applyFill="1" applyBorder="1"/>
    <xf numFmtId="0" fontId="9" fillId="0" borderId="1" xfId="0" applyFont="1" applyBorder="1"/>
    <xf numFmtId="0" fontId="2" fillId="0" borderId="3" xfId="0" applyFont="1" applyBorder="1" applyAlignment="1">
      <alignment horizontal="left" vertical="center"/>
    </xf>
    <xf numFmtId="5" fontId="1" fillId="0" borderId="0" xfId="2" applyNumberFormat="1" applyFont="1" applyFill="1"/>
    <xf numFmtId="0" fontId="0" fillId="0" borderId="1" xfId="0" applyBorder="1" applyAlignment="1">
      <alignment horizontal="center"/>
    </xf>
    <xf numFmtId="0" fontId="18" fillId="0" borderId="0" xfId="0" applyFont="1"/>
    <xf numFmtId="5" fontId="1" fillId="0" borderId="1" xfId="1" applyNumberFormat="1" applyFont="1" applyFill="1" applyBorder="1"/>
    <xf numFmtId="0" fontId="0" fillId="0" borderId="3" xfId="0" applyBorder="1" applyAlignment="1">
      <alignment horizontal="center" vertical="center"/>
    </xf>
    <xf numFmtId="5" fontId="2" fillId="0" borderId="3" xfId="1" applyNumberFormat="1" applyFont="1" applyFill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5" fontId="1" fillId="0" borderId="5" xfId="2" applyNumberFormat="1" applyFill="1" applyBorder="1"/>
    <xf numFmtId="5" fontId="1" fillId="0" borderId="0" xfId="2" applyNumberFormat="1" applyFill="1" applyBorder="1"/>
    <xf numFmtId="5" fontId="1" fillId="0" borderId="1" xfId="2" applyNumberFormat="1" applyFill="1" applyBorder="1"/>
    <xf numFmtId="5" fontId="6" fillId="0" borderId="0" xfId="2" applyNumberFormat="1" applyFont="1" applyFill="1"/>
    <xf numFmtId="0" fontId="7" fillId="0" borderId="0" xfId="0" applyFont="1"/>
    <xf numFmtId="0" fontId="1" fillId="0" borderId="1" xfId="0" applyFont="1" applyBorder="1" applyAlignment="1">
      <alignment horizontal="left"/>
    </xf>
    <xf numFmtId="5" fontId="2" fillId="0" borderId="0" xfId="2" applyNumberFormat="1" applyFont="1" applyFill="1"/>
    <xf numFmtId="0" fontId="9" fillId="0" borderId="0" xfId="0" applyFont="1" applyAlignment="1">
      <alignment horizontal="right"/>
    </xf>
    <xf numFmtId="1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5" fontId="2" fillId="0" borderId="4" xfId="0" applyNumberFormat="1" applyFont="1" applyBorder="1" applyAlignment="1">
      <alignment vertical="center"/>
    </xf>
    <xf numFmtId="5" fontId="2" fillId="0" borderId="4" xfId="1" applyNumberFormat="1" applyFont="1" applyFill="1" applyBorder="1" applyAlignment="1">
      <alignment vertical="center"/>
    </xf>
    <xf numFmtId="164" fontId="2" fillId="0" borderId="0" xfId="0" applyNumberFormat="1" applyFont="1"/>
    <xf numFmtId="166" fontId="1" fillId="0" borderId="0" xfId="1" applyNumberFormat="1" applyFont="1" applyFill="1"/>
    <xf numFmtId="0" fontId="23" fillId="0" borderId="0" xfId="0" applyFont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Fill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 applyFill="1"/>
    <xf numFmtId="166" fontId="23" fillId="0" borderId="0" xfId="1" applyNumberFormat="1" applyFont="1" applyFill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Fill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Fill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Fill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2/03%20Mar%202022/Mar%202022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5">
          <cell r="C5">
            <v>9697042</v>
          </cell>
          <cell r="D5">
            <v>9727222</v>
          </cell>
          <cell r="E5">
            <v>9316726</v>
          </cell>
          <cell r="F5">
            <v>8655718</v>
          </cell>
          <cell r="G5">
            <v>8101450</v>
          </cell>
          <cell r="H5">
            <v>7979962</v>
          </cell>
          <cell r="I5">
            <v>8430289</v>
          </cell>
          <cell r="J5">
            <v>8522715</v>
          </cell>
          <cell r="K5">
            <v>7743072</v>
          </cell>
          <cell r="L5">
            <v>8843272</v>
          </cell>
          <cell r="M5">
            <v>9402762</v>
          </cell>
          <cell r="N5">
            <v>9592788</v>
          </cell>
        </row>
        <row r="6">
          <cell r="C6">
            <v>-6647885</v>
          </cell>
          <cell r="D6">
            <v>-2273919</v>
          </cell>
          <cell r="E6">
            <v>-5958093</v>
          </cell>
          <cell r="F6">
            <v>-8844783</v>
          </cell>
          <cell r="G6">
            <v>-8347877</v>
          </cell>
          <cell r="H6">
            <v>-11960906</v>
          </cell>
          <cell r="I6">
            <v>-19865107</v>
          </cell>
          <cell r="J6">
            <v>-6919471</v>
          </cell>
          <cell r="K6">
            <v>-12578240</v>
          </cell>
          <cell r="L6">
            <v>-8663704</v>
          </cell>
          <cell r="M6">
            <v>-8697132</v>
          </cell>
          <cell r="N6">
            <v>-11768210</v>
          </cell>
        </row>
        <row r="7">
          <cell r="C7">
            <v>3390501</v>
          </cell>
          <cell r="D7">
            <v>2926995</v>
          </cell>
          <cell r="E7">
            <v>2561828</v>
          </cell>
          <cell r="F7">
            <v>2285403</v>
          </cell>
          <cell r="G7">
            <v>1756150</v>
          </cell>
          <cell r="H7">
            <v>1936414</v>
          </cell>
          <cell r="I7">
            <v>3237585</v>
          </cell>
          <cell r="J7">
            <v>3378274</v>
          </cell>
          <cell r="K7">
            <v>3112767</v>
          </cell>
          <cell r="L7">
            <v>3193370</v>
          </cell>
          <cell r="M7">
            <v>2640329</v>
          </cell>
          <cell r="N7">
            <v>2771729</v>
          </cell>
        </row>
        <row r="8">
          <cell r="C8">
            <v>11943274</v>
          </cell>
          <cell r="D8">
            <v>8892939</v>
          </cell>
          <cell r="E8">
            <v>7016061</v>
          </cell>
          <cell r="F8">
            <v>5399258</v>
          </cell>
          <cell r="G8">
            <v>3372909</v>
          </cell>
          <cell r="H8">
            <v>4272021</v>
          </cell>
          <cell r="I8">
            <v>8240675</v>
          </cell>
          <cell r="J8">
            <v>8751270</v>
          </cell>
          <cell r="K8">
            <v>8235613</v>
          </cell>
          <cell r="L8">
            <v>9531785</v>
          </cell>
          <cell r="M8">
            <v>9667646</v>
          </cell>
          <cell r="N8">
            <v>12083216</v>
          </cell>
        </row>
        <row r="9">
          <cell r="C9">
            <v>-1682730</v>
          </cell>
          <cell r="D9">
            <v>-1861088</v>
          </cell>
          <cell r="E9">
            <v>-1893205</v>
          </cell>
          <cell r="F9">
            <v>-1768623</v>
          </cell>
          <cell r="G9">
            <v>-2440323</v>
          </cell>
          <cell r="H9">
            <v>-2631984</v>
          </cell>
          <cell r="I9">
            <v>-2630239</v>
          </cell>
          <cell r="J9">
            <v>-2508879</v>
          </cell>
          <cell r="K9">
            <v>-2192244</v>
          </cell>
          <cell r="L9">
            <v>-1643339</v>
          </cell>
          <cell r="M9">
            <v>-1954560</v>
          </cell>
          <cell r="N9">
            <v>-2258481</v>
          </cell>
        </row>
        <row r="10">
          <cell r="C10">
            <v>1439897</v>
          </cell>
          <cell r="D10">
            <v>1439897</v>
          </cell>
          <cell r="E10">
            <v>1439897</v>
          </cell>
          <cell r="F10">
            <v>1439897</v>
          </cell>
          <cell r="G10">
            <v>1439897</v>
          </cell>
          <cell r="H10">
            <v>1439897</v>
          </cell>
          <cell r="I10">
            <v>1439897</v>
          </cell>
          <cell r="J10">
            <v>1439897</v>
          </cell>
          <cell r="K10">
            <v>1439897</v>
          </cell>
          <cell r="L10">
            <v>1439897</v>
          </cell>
          <cell r="M10">
            <v>1439897</v>
          </cell>
          <cell r="N10">
            <v>1439897</v>
          </cell>
        </row>
        <row r="11">
          <cell r="C11">
            <v>52636</v>
          </cell>
          <cell r="D11">
            <v>52636</v>
          </cell>
          <cell r="E11">
            <v>52636</v>
          </cell>
          <cell r="F11">
            <v>52636</v>
          </cell>
          <cell r="G11">
            <v>52636</v>
          </cell>
          <cell r="H11">
            <v>52636</v>
          </cell>
          <cell r="I11">
            <v>52636</v>
          </cell>
          <cell r="J11">
            <v>52636</v>
          </cell>
          <cell r="K11">
            <v>52636</v>
          </cell>
          <cell r="L11">
            <v>52636</v>
          </cell>
          <cell r="M11">
            <v>52636</v>
          </cell>
          <cell r="N11">
            <v>52636</v>
          </cell>
        </row>
        <row r="12">
          <cell r="C12">
            <v>-187743</v>
          </cell>
          <cell r="D12">
            <v>-408011</v>
          </cell>
          <cell r="E12">
            <v>-649388</v>
          </cell>
          <cell r="F12">
            <v>-519824</v>
          </cell>
          <cell r="G12">
            <v>-734745</v>
          </cell>
          <cell r="H12">
            <v>-643118</v>
          </cell>
          <cell r="I12">
            <v>-509939</v>
          </cell>
          <cell r="J12">
            <v>-509641</v>
          </cell>
          <cell r="K12">
            <v>-478278</v>
          </cell>
          <cell r="L12">
            <v>-420270</v>
          </cell>
          <cell r="M12">
            <v>-363660</v>
          </cell>
          <cell r="N12">
            <v>127075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C14">
            <v>0.65639999999999998</v>
          </cell>
          <cell r="D14">
            <v>0.65639999999999998</v>
          </cell>
          <cell r="E14">
            <v>0.65639999999999998</v>
          </cell>
          <cell r="F14">
            <v>0.65639999999999998</v>
          </cell>
          <cell r="G14">
            <v>0.65639999999999998</v>
          </cell>
          <cell r="H14">
            <v>0.65639999999999998</v>
          </cell>
          <cell r="I14">
            <v>0.65639999999999998</v>
          </cell>
          <cell r="J14">
            <v>0.65639999999999998</v>
          </cell>
          <cell r="K14">
            <v>0.65639999999999998</v>
          </cell>
          <cell r="L14">
            <v>0.65639999999999998</v>
          </cell>
          <cell r="M14">
            <v>0.65639999999999998</v>
          </cell>
          <cell r="N14">
            <v>0.65639999999999998</v>
          </cell>
        </row>
        <row r="19">
          <cell r="C19">
            <v>1239333.33</v>
          </cell>
          <cell r="D19">
            <v>1239333.33</v>
          </cell>
          <cell r="E19">
            <v>1239333.33</v>
          </cell>
        </row>
        <row r="20">
          <cell r="C20">
            <v>275710.40999999997</v>
          </cell>
          <cell r="D20">
            <v>234857.57</v>
          </cell>
          <cell r="E20">
            <v>178914.26</v>
          </cell>
        </row>
        <row r="21">
          <cell r="C21">
            <v>187829</v>
          </cell>
          <cell r="D21">
            <v>187829</v>
          </cell>
          <cell r="E21">
            <v>187829</v>
          </cell>
        </row>
        <row r="22">
          <cell r="C22">
            <v>1429538.04</v>
          </cell>
          <cell r="D22">
            <v>1429538.04</v>
          </cell>
          <cell r="E22">
            <v>1429538.04</v>
          </cell>
        </row>
        <row r="24">
          <cell r="C24">
            <v>1402.15</v>
          </cell>
          <cell r="D24">
            <v>1616.35</v>
          </cell>
          <cell r="E24">
            <v>1595.35</v>
          </cell>
        </row>
        <row r="25">
          <cell r="C25">
            <v>101738.28</v>
          </cell>
          <cell r="D25">
            <v>113617.67</v>
          </cell>
          <cell r="E25">
            <v>122233.07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139683.65</v>
          </cell>
          <cell r="D35">
            <v>106342.55</v>
          </cell>
          <cell r="E35">
            <v>90583.08</v>
          </cell>
        </row>
        <row r="36">
          <cell r="C36">
            <v>255050.88</v>
          </cell>
          <cell r="D36">
            <v>195545.28</v>
          </cell>
          <cell r="E36">
            <v>251977.60000000001</v>
          </cell>
        </row>
        <row r="37">
          <cell r="C37">
            <v>443909.2</v>
          </cell>
          <cell r="D37">
            <v>520423.76</v>
          </cell>
          <cell r="E37">
            <v>427102.52</v>
          </cell>
        </row>
        <row r="38">
          <cell r="C38">
            <v>1416.5</v>
          </cell>
          <cell r="D38">
            <v>1965.19</v>
          </cell>
          <cell r="E38">
            <v>0</v>
          </cell>
        </row>
        <row r="39">
          <cell r="C39">
            <v>2536804.73</v>
          </cell>
          <cell r="D39">
            <v>2459575.0499999998</v>
          </cell>
          <cell r="E39">
            <v>2423684.2000000002</v>
          </cell>
        </row>
        <row r="40">
          <cell r="C40">
            <v>1970703.54</v>
          </cell>
          <cell r="D40">
            <v>2210056.29</v>
          </cell>
          <cell r="E40">
            <v>2061559.89</v>
          </cell>
        </row>
        <row r="41">
          <cell r="C41">
            <v>665883.91</v>
          </cell>
          <cell r="D41">
            <v>984063.69</v>
          </cell>
          <cell r="E41">
            <v>1238157.18</v>
          </cell>
        </row>
        <row r="45">
          <cell r="C45">
            <v>-91370.92</v>
          </cell>
          <cell r="D45">
            <v>-80283.58</v>
          </cell>
          <cell r="E45">
            <v>-76918.399999999994</v>
          </cell>
        </row>
        <row r="46">
          <cell r="C46">
            <v>-12530.5</v>
          </cell>
          <cell r="D46">
            <v>-11480.76</v>
          </cell>
          <cell r="E46">
            <v>-12636.9</v>
          </cell>
        </row>
        <row r="47">
          <cell r="C47">
            <v>-36290.980000000003</v>
          </cell>
          <cell r="D47">
            <v>-30850.639999999999</v>
          </cell>
          <cell r="E47">
            <v>-34959.980000000003</v>
          </cell>
        </row>
        <row r="50">
          <cell r="C50">
            <v>41132</v>
          </cell>
          <cell r="D50">
            <v>53137</v>
          </cell>
          <cell r="E50">
            <v>51108</v>
          </cell>
        </row>
        <row r="51">
          <cell r="C51">
            <v>103081</v>
          </cell>
          <cell r="D51">
            <v>83755</v>
          </cell>
          <cell r="E51">
            <v>99302</v>
          </cell>
        </row>
        <row r="54">
          <cell r="C54">
            <v>570066</v>
          </cell>
          <cell r="D54">
            <v>525153</v>
          </cell>
          <cell r="E54">
            <v>540861</v>
          </cell>
        </row>
        <row r="55">
          <cell r="C55">
            <v>307661</v>
          </cell>
          <cell r="D55">
            <v>275383</v>
          </cell>
          <cell r="E55">
            <v>231672</v>
          </cell>
        </row>
        <row r="56">
          <cell r="C56">
            <v>545742</v>
          </cell>
          <cell r="D56">
            <v>461878</v>
          </cell>
          <cell r="E56">
            <v>485113</v>
          </cell>
          <cell r="F56">
            <v>413424</v>
          </cell>
          <cell r="G56">
            <v>435935</v>
          </cell>
          <cell r="H56">
            <v>419692</v>
          </cell>
          <cell r="I56">
            <v>493733</v>
          </cell>
          <cell r="J56">
            <v>470991</v>
          </cell>
          <cell r="K56">
            <v>419374</v>
          </cell>
          <cell r="L56">
            <v>453843</v>
          </cell>
          <cell r="M56">
            <v>464733</v>
          </cell>
          <cell r="N56">
            <v>551297</v>
          </cell>
        </row>
        <row r="57">
          <cell r="C57">
            <v>13</v>
          </cell>
          <cell r="D57">
            <v>13</v>
          </cell>
          <cell r="E57">
            <v>13</v>
          </cell>
          <cell r="F57">
            <v>13</v>
          </cell>
          <cell r="G57">
            <v>13</v>
          </cell>
          <cell r="H57">
            <v>13</v>
          </cell>
          <cell r="I57">
            <v>13</v>
          </cell>
          <cell r="J57">
            <v>13</v>
          </cell>
          <cell r="K57">
            <v>13</v>
          </cell>
          <cell r="L57">
            <v>13</v>
          </cell>
          <cell r="M57">
            <v>13</v>
          </cell>
          <cell r="N57">
            <v>13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5698E-1762-4812-A7CD-A87CDB1CFB20}">
  <sheetPr>
    <pageSetUpPr fitToPage="1"/>
  </sheetPr>
  <dimension ref="A1:S90"/>
  <sheetViews>
    <sheetView tabSelected="1" zoomScaleNormal="100" workbookViewId="0">
      <pane xSplit="3" ySplit="5" topLeftCell="D18" activePane="bottomRight" state="frozen"/>
      <selection activeCell="D28" sqref="D28:E28"/>
      <selection pane="topRight" activeCell="D28" sqref="D28:E28"/>
      <selection pane="bottomLeft" activeCell="D28" sqref="D28:E28"/>
      <selection pane="bottomRight" sqref="A1:XFD1048576"/>
    </sheetView>
  </sheetViews>
  <sheetFormatPr defaultColWidth="9.1328125" defaultRowHeight="12.75" outlineLevelRow="1" outlineLevelCol="1"/>
  <cols>
    <col min="1" max="1" width="4.86328125" style="5" customWidth="1"/>
    <col min="2" max="2" width="10.73046875" style="2" customWidth="1"/>
    <col min="3" max="3" width="24.265625" style="2" customWidth="1"/>
    <col min="4" max="4" width="9" style="2" customWidth="1" outlineLevel="1"/>
    <col min="5" max="5" width="5.265625" style="2" customWidth="1" outlineLevel="1"/>
    <col min="6" max="6" width="14.59765625" style="2" bestFit="1" customWidth="1"/>
    <col min="7" max="10" width="15.73046875" style="2" bestFit="1" customWidth="1"/>
    <col min="11" max="11" width="12.73046875" style="2" customWidth="1"/>
    <col min="12" max="17" width="15.73046875" style="2" bestFit="1" customWidth="1"/>
    <col min="18" max="18" width="13.1328125" style="2" customWidth="1"/>
    <col min="19" max="19" width="13.86328125" style="2" customWidth="1"/>
    <col min="20" max="20" width="13.1328125" style="2" customWidth="1"/>
    <col min="21" max="16384" width="9.1328125" style="2"/>
  </cols>
  <sheetData>
    <row r="1" spans="1:19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>
      <c r="A3" s="4" t="s">
        <v>2</v>
      </c>
    </row>
    <row r="4" spans="1:19" ht="13.15">
      <c r="A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3.15">
      <c r="B5" s="7" t="s">
        <v>4</v>
      </c>
      <c r="C5" s="8"/>
      <c r="D5" s="9" t="s">
        <v>5</v>
      </c>
      <c r="E5" s="9"/>
      <c r="F5" s="10">
        <v>44592</v>
      </c>
      <c r="G5" s="10">
        <f>EOMONTH(F5,1)</f>
        <v>44620</v>
      </c>
      <c r="H5" s="10">
        <f t="shared" ref="H5:Q5" si="0">EOMONTH(G5,1)</f>
        <v>44651</v>
      </c>
      <c r="I5" s="10">
        <f t="shared" si="0"/>
        <v>44681</v>
      </c>
      <c r="J5" s="10">
        <f t="shared" si="0"/>
        <v>44712</v>
      </c>
      <c r="K5" s="10">
        <f t="shared" si="0"/>
        <v>44742</v>
      </c>
      <c r="L5" s="10">
        <f t="shared" si="0"/>
        <v>44773</v>
      </c>
      <c r="M5" s="10">
        <f t="shared" si="0"/>
        <v>44804</v>
      </c>
      <c r="N5" s="10">
        <f t="shared" si="0"/>
        <v>44834</v>
      </c>
      <c r="O5" s="10">
        <f t="shared" si="0"/>
        <v>44865</v>
      </c>
      <c r="P5" s="10">
        <f t="shared" si="0"/>
        <v>44895</v>
      </c>
      <c r="Q5" s="10">
        <f t="shared" si="0"/>
        <v>44926</v>
      </c>
    </row>
    <row r="6" spans="1:19" ht="15.95" customHeight="1">
      <c r="A6" s="5">
        <v>1</v>
      </c>
      <c r="B6" s="2" t="s">
        <v>6</v>
      </c>
      <c r="D6" s="11">
        <f>SUM(F6:Q6)</f>
        <v>34646216.497500002</v>
      </c>
      <c r="E6" s="11"/>
      <c r="F6" s="12">
        <f>'WA Monthly'!E24</f>
        <v>11479790.2368</v>
      </c>
      <c r="G6" s="12">
        <f>'WA Monthly'!F24</f>
        <v>12111512.623600001</v>
      </c>
      <c r="H6" s="12">
        <f>'WA Monthly'!G24</f>
        <v>11054913.6371</v>
      </c>
      <c r="I6" s="12">
        <f>'WA Monthly'!H24</f>
        <v>0</v>
      </c>
      <c r="J6" s="12">
        <f>'WA Monthly'!I24</f>
        <v>0</v>
      </c>
      <c r="K6" s="12">
        <f>'WA Monthly'!J24</f>
        <v>0</v>
      </c>
      <c r="L6" s="12">
        <f>'WA Monthly'!K24</f>
        <v>0</v>
      </c>
      <c r="M6" s="12">
        <f>'WA Monthly'!L24</f>
        <v>0</v>
      </c>
      <c r="N6" s="12">
        <f>'WA Monthly'!M24</f>
        <v>0</v>
      </c>
      <c r="O6" s="12">
        <f>'WA Monthly'!N24</f>
        <v>0</v>
      </c>
      <c r="P6" s="12">
        <f>'WA Monthly'!O24</f>
        <v>0</v>
      </c>
      <c r="Q6" s="12">
        <f>'WA Monthly'!P24</f>
        <v>0</v>
      </c>
    </row>
    <row r="7" spans="1:19" ht="15.95" customHeight="1">
      <c r="A7" s="5">
        <f t="shared" ref="A7:A13" si="1">A6+1</f>
        <v>2</v>
      </c>
      <c r="B7" s="2" t="s">
        <v>7</v>
      </c>
      <c r="D7" s="13">
        <f t="shared" ref="D7:D13" si="2">SUM(F7:Q7)</f>
        <v>-30733597</v>
      </c>
      <c r="E7" s="13"/>
      <c r="F7" s="12">
        <f>'WA Monthly'!E48</f>
        <v>-9801103</v>
      </c>
      <c r="G7" s="12">
        <f>'WA Monthly'!F48</f>
        <v>-7831225</v>
      </c>
      <c r="H7" s="12">
        <f>'WA Monthly'!G48</f>
        <v>-13101269</v>
      </c>
      <c r="I7" s="12">
        <f>'WA Monthly'!H48</f>
        <v>0</v>
      </c>
      <c r="J7" s="12">
        <f>'WA Monthly'!I48</f>
        <v>0</v>
      </c>
      <c r="K7" s="12">
        <f>'WA Monthly'!J48</f>
        <v>0</v>
      </c>
      <c r="L7" s="12">
        <f>'WA Monthly'!K48</f>
        <v>0</v>
      </c>
      <c r="M7" s="12">
        <f>'WA Monthly'!L48</f>
        <v>0</v>
      </c>
      <c r="N7" s="12">
        <f>'WA Monthly'!M48</f>
        <v>0</v>
      </c>
      <c r="O7" s="12">
        <f>'WA Monthly'!N48</f>
        <v>0</v>
      </c>
      <c r="P7" s="12">
        <f>'WA Monthly'!O48</f>
        <v>0</v>
      </c>
      <c r="Q7" s="12">
        <f>'WA Monthly'!P48</f>
        <v>0</v>
      </c>
    </row>
    <row r="8" spans="1:19" ht="15.95" customHeight="1">
      <c r="A8" s="5">
        <f t="shared" si="1"/>
        <v>3</v>
      </c>
      <c r="B8" s="2" t="s">
        <v>8</v>
      </c>
      <c r="D8" s="14">
        <f t="shared" si="2"/>
        <v>11218588</v>
      </c>
      <c r="E8" s="14"/>
      <c r="F8" s="12">
        <f>'WA Monthly'!E67</f>
        <v>3525207</v>
      </c>
      <c r="G8" s="12">
        <f>'WA Monthly'!F67</f>
        <v>3769567</v>
      </c>
      <c r="H8" s="12">
        <f>'WA Monthly'!G67</f>
        <v>3923814</v>
      </c>
      <c r="I8" s="12">
        <f>'WA Monthly'!H67</f>
        <v>0</v>
      </c>
      <c r="J8" s="12">
        <f>'WA Monthly'!I67</f>
        <v>0</v>
      </c>
      <c r="K8" s="12">
        <f>'WA Monthly'!J67</f>
        <v>0</v>
      </c>
      <c r="L8" s="12">
        <f>'WA Monthly'!K67</f>
        <v>0</v>
      </c>
      <c r="M8" s="12">
        <f>'WA Monthly'!L67</f>
        <v>0</v>
      </c>
      <c r="N8" s="12">
        <f>'WA Monthly'!M67</f>
        <v>0</v>
      </c>
      <c r="O8" s="12">
        <f>'WA Monthly'!N67</f>
        <v>0</v>
      </c>
      <c r="P8" s="12">
        <f>'WA Monthly'!O67</f>
        <v>0</v>
      </c>
      <c r="Q8" s="12">
        <f>'WA Monthly'!P67</f>
        <v>0</v>
      </c>
    </row>
    <row r="9" spans="1:19" ht="15.95" customHeight="1">
      <c r="A9" s="5">
        <f t="shared" si="1"/>
        <v>4</v>
      </c>
      <c r="B9" s="2" t="s">
        <v>9</v>
      </c>
      <c r="D9" s="14">
        <f t="shared" si="2"/>
        <v>31485161</v>
      </c>
      <c r="E9" s="14"/>
      <c r="F9" s="12">
        <f>'WA Monthly'!E84</f>
        <v>9309676</v>
      </c>
      <c r="G9" s="12">
        <f>'WA Monthly'!F84</f>
        <v>12116423</v>
      </c>
      <c r="H9" s="12">
        <f>'WA Monthly'!G84</f>
        <v>10059062</v>
      </c>
      <c r="I9" s="12">
        <f>'WA Monthly'!H84</f>
        <v>0</v>
      </c>
      <c r="J9" s="12">
        <f>'WA Monthly'!I84</f>
        <v>0</v>
      </c>
      <c r="K9" s="12">
        <f>'WA Monthly'!J84</f>
        <v>0</v>
      </c>
      <c r="L9" s="12">
        <f>'WA Monthly'!K84</f>
        <v>0</v>
      </c>
      <c r="M9" s="12">
        <f>'WA Monthly'!L84</f>
        <v>0</v>
      </c>
      <c r="N9" s="12">
        <f>'WA Monthly'!M84</f>
        <v>0</v>
      </c>
      <c r="O9" s="12">
        <f>'WA Monthly'!N84</f>
        <v>0</v>
      </c>
      <c r="P9" s="12">
        <f>'WA Monthly'!O84</f>
        <v>0</v>
      </c>
      <c r="Q9" s="12">
        <f>'WA Monthly'!P84</f>
        <v>0</v>
      </c>
    </row>
    <row r="10" spans="1:19" ht="15.95" customHeight="1">
      <c r="A10" s="5">
        <f t="shared" si="1"/>
        <v>5</v>
      </c>
      <c r="B10" s="2" t="s">
        <v>10</v>
      </c>
      <c r="C10" s="15"/>
      <c r="D10" s="13">
        <f t="shared" si="2"/>
        <v>-5111906</v>
      </c>
      <c r="E10" s="13"/>
      <c r="F10" s="12">
        <f>'WA Monthly'!E98</f>
        <v>-1695661</v>
      </c>
      <c r="G10" s="12">
        <f>'WA Monthly'!F98</f>
        <v>-1679673</v>
      </c>
      <c r="H10" s="12">
        <f>'WA Monthly'!G98</f>
        <v>-1736572</v>
      </c>
      <c r="I10" s="12">
        <f>'WA Monthly'!H98</f>
        <v>0</v>
      </c>
      <c r="J10" s="12">
        <f>'WA Monthly'!I98</f>
        <v>0</v>
      </c>
      <c r="K10" s="12">
        <f>'WA Monthly'!J98</f>
        <v>0</v>
      </c>
      <c r="L10" s="12">
        <f>'WA Monthly'!K98</f>
        <v>0</v>
      </c>
      <c r="M10" s="12">
        <f>'WA Monthly'!L98</f>
        <v>0</v>
      </c>
      <c r="N10" s="12">
        <f>'WA Monthly'!M98</f>
        <v>0</v>
      </c>
      <c r="O10" s="12">
        <f>'WA Monthly'!N98</f>
        <v>0</v>
      </c>
      <c r="P10" s="12">
        <f>'WA Monthly'!O98</f>
        <v>0</v>
      </c>
      <c r="Q10" s="12">
        <f>'WA Monthly'!P98</f>
        <v>0</v>
      </c>
    </row>
    <row r="11" spans="1:19" ht="15.95" customHeight="1">
      <c r="A11" s="5">
        <f t="shared" si="1"/>
        <v>6</v>
      </c>
      <c r="B11" s="2" t="s">
        <v>11</v>
      </c>
      <c r="C11" s="15"/>
      <c r="D11" s="14">
        <f t="shared" si="2"/>
        <v>5096085</v>
      </c>
      <c r="E11" s="14"/>
      <c r="F11" s="12">
        <f>'WA Monthly'!E104</f>
        <v>1552554</v>
      </c>
      <c r="G11" s="12">
        <f>'WA Monthly'!F104</f>
        <v>1820410</v>
      </c>
      <c r="H11" s="12">
        <f>'WA Monthly'!G104</f>
        <v>1723121</v>
      </c>
      <c r="I11" s="12">
        <f>'WA Monthly'!H104</f>
        <v>0</v>
      </c>
      <c r="J11" s="12">
        <f>'WA Monthly'!I104</f>
        <v>0</v>
      </c>
      <c r="K11" s="12">
        <f>'WA Monthly'!J104</f>
        <v>0</v>
      </c>
      <c r="L11" s="12">
        <f>'WA Monthly'!K104</f>
        <v>0</v>
      </c>
      <c r="M11" s="12">
        <f>'WA Monthly'!L104</f>
        <v>0</v>
      </c>
      <c r="N11" s="12">
        <f>'WA Monthly'!M104</f>
        <v>0</v>
      </c>
      <c r="O11" s="12">
        <f>'WA Monthly'!N104</f>
        <v>0</v>
      </c>
      <c r="P11" s="12">
        <f>'WA Monthly'!O104</f>
        <v>0</v>
      </c>
      <c r="Q11" s="12">
        <f>'WA Monthly'!P104</f>
        <v>0</v>
      </c>
    </row>
    <row r="12" spans="1:19" ht="15.95" customHeight="1">
      <c r="A12" s="5">
        <f t="shared" si="1"/>
        <v>7</v>
      </c>
      <c r="B12" s="2" t="s">
        <v>12</v>
      </c>
      <c r="C12" s="15"/>
      <c r="D12" s="14">
        <f t="shared" si="2"/>
        <v>129136</v>
      </c>
      <c r="E12" s="14"/>
      <c r="F12" s="12">
        <f>'WA Monthly'!E111</f>
        <v>33251</v>
      </c>
      <c r="G12" s="12">
        <f>'WA Monthly'!F111</f>
        <v>44523</v>
      </c>
      <c r="H12" s="12">
        <f>'WA Monthly'!G111</f>
        <v>51362</v>
      </c>
      <c r="I12" s="12">
        <f>'WA Monthly'!H111</f>
        <v>0</v>
      </c>
      <c r="J12" s="12">
        <f>'WA Monthly'!I111</f>
        <v>0</v>
      </c>
      <c r="K12" s="12">
        <f>'WA Monthly'!J111</f>
        <v>0</v>
      </c>
      <c r="L12" s="12">
        <f>'WA Monthly'!K111</f>
        <v>0</v>
      </c>
      <c r="M12" s="12">
        <f>'WA Monthly'!L111</f>
        <v>0</v>
      </c>
      <c r="N12" s="12">
        <f>'WA Monthly'!M111</f>
        <v>0</v>
      </c>
      <c r="O12" s="12">
        <f>'WA Monthly'!N111</f>
        <v>0</v>
      </c>
      <c r="P12" s="12">
        <f>'WA Monthly'!O111</f>
        <v>0</v>
      </c>
      <c r="Q12" s="12">
        <f>'WA Monthly'!P111</f>
        <v>0</v>
      </c>
    </row>
    <row r="13" spans="1:19" ht="15.95" customHeight="1">
      <c r="A13" s="5">
        <f t="shared" si="1"/>
        <v>8</v>
      </c>
      <c r="B13" s="16" t="s">
        <v>13</v>
      </c>
      <c r="C13" s="16"/>
      <c r="D13" s="17">
        <f t="shared" si="2"/>
        <v>46729683.497500002</v>
      </c>
      <c r="E13" s="17"/>
      <c r="F13" s="18">
        <f t="shared" ref="F13:Q13" si="3">SUM(F6:F12)</f>
        <v>14403714.2368</v>
      </c>
      <c r="G13" s="18">
        <f t="shared" si="3"/>
        <v>20351537.623599999</v>
      </c>
      <c r="H13" s="18">
        <f t="shared" si="3"/>
        <v>11974431.6371</v>
      </c>
      <c r="I13" s="18">
        <f t="shared" si="3"/>
        <v>0</v>
      </c>
      <c r="J13" s="18">
        <f t="shared" si="3"/>
        <v>0</v>
      </c>
      <c r="K13" s="18">
        <f t="shared" si="3"/>
        <v>0</v>
      </c>
      <c r="L13" s="18">
        <f t="shared" si="3"/>
        <v>0</v>
      </c>
      <c r="M13" s="18">
        <f t="shared" si="3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</row>
    <row r="14" spans="1:19" ht="37.5" customHeight="1">
      <c r="B14" s="7" t="s">
        <v>14</v>
      </c>
      <c r="C14" s="8"/>
      <c r="D14" s="19" t="s">
        <v>15</v>
      </c>
      <c r="E14" s="20"/>
      <c r="F14" s="21">
        <f>F5</f>
        <v>44592</v>
      </c>
      <c r="G14" s="21">
        <f>G5</f>
        <v>44620</v>
      </c>
      <c r="H14" s="21">
        <f t="shared" ref="H14:Q14" si="4">H5</f>
        <v>44651</v>
      </c>
      <c r="I14" s="21">
        <f t="shared" si="4"/>
        <v>44681</v>
      </c>
      <c r="J14" s="21">
        <f t="shared" si="4"/>
        <v>44712</v>
      </c>
      <c r="K14" s="21">
        <f t="shared" si="4"/>
        <v>44742</v>
      </c>
      <c r="L14" s="21">
        <f t="shared" si="4"/>
        <v>44773</v>
      </c>
      <c r="M14" s="21">
        <f t="shared" si="4"/>
        <v>44804</v>
      </c>
      <c r="N14" s="21">
        <f t="shared" si="4"/>
        <v>44834</v>
      </c>
      <c r="O14" s="21">
        <f t="shared" si="4"/>
        <v>44865</v>
      </c>
      <c r="P14" s="21">
        <f t="shared" si="4"/>
        <v>44895</v>
      </c>
      <c r="Q14" s="21">
        <f t="shared" si="4"/>
        <v>44926</v>
      </c>
    </row>
    <row r="15" spans="1:19" ht="15.95" customHeight="1">
      <c r="A15" s="5">
        <f>A13+1</f>
        <v>9</v>
      </c>
      <c r="B15" s="2" t="s">
        <v>6</v>
      </c>
      <c r="C15" s="15"/>
      <c r="D15" s="22">
        <f t="shared" ref="D15:D23" si="5">SUM(F15:H15)</f>
        <v>28740990</v>
      </c>
      <c r="E15" s="22"/>
      <c r="F15" s="23">
        <f>'[1]Input Tab'!C5</f>
        <v>9697042</v>
      </c>
      <c r="G15" s="23">
        <f>'[1]Input Tab'!D5</f>
        <v>9727222</v>
      </c>
      <c r="H15" s="23">
        <f>'[1]Input Tab'!E5</f>
        <v>9316726</v>
      </c>
      <c r="I15" s="23">
        <f>'[1]Input Tab'!F5</f>
        <v>8655718</v>
      </c>
      <c r="J15" s="23">
        <f>'[1]Input Tab'!G5</f>
        <v>8101450</v>
      </c>
      <c r="K15" s="23">
        <f>'[1]Input Tab'!H5</f>
        <v>7979962</v>
      </c>
      <c r="L15" s="23">
        <f>'[1]Input Tab'!I5</f>
        <v>8430289</v>
      </c>
      <c r="M15" s="23">
        <f>'[1]Input Tab'!J5</f>
        <v>8522715</v>
      </c>
      <c r="N15" s="23">
        <f>'[1]Input Tab'!K5</f>
        <v>7743072</v>
      </c>
      <c r="O15" s="23">
        <f>'[1]Input Tab'!L5</f>
        <v>8843272</v>
      </c>
      <c r="P15" s="23">
        <f>'[1]Input Tab'!M5</f>
        <v>9402762</v>
      </c>
      <c r="Q15" s="23">
        <f>'[1]Input Tab'!N5</f>
        <v>9592788</v>
      </c>
      <c r="R15" s="24"/>
      <c r="S15" s="25"/>
    </row>
    <row r="16" spans="1:19" ht="15.95" customHeight="1">
      <c r="A16" s="5">
        <f t="shared" ref="A16:A34" si="6">A15+1</f>
        <v>10</v>
      </c>
      <c r="B16" s="2" t="s">
        <v>7</v>
      </c>
      <c r="C16" s="15"/>
      <c r="D16" s="22">
        <f t="shared" si="5"/>
        <v>-14879897</v>
      </c>
      <c r="E16" s="22"/>
      <c r="F16" s="26">
        <f>'[1]Input Tab'!C6</f>
        <v>-6647885</v>
      </c>
      <c r="G16" s="26">
        <f>'[1]Input Tab'!D6</f>
        <v>-2273919</v>
      </c>
      <c r="H16" s="26">
        <f>'[1]Input Tab'!E6</f>
        <v>-5958093</v>
      </c>
      <c r="I16" s="26">
        <f>'[1]Input Tab'!F6</f>
        <v>-8844783</v>
      </c>
      <c r="J16" s="26">
        <f>'[1]Input Tab'!G6</f>
        <v>-8347877</v>
      </c>
      <c r="K16" s="26">
        <f>'[1]Input Tab'!H6</f>
        <v>-11960906</v>
      </c>
      <c r="L16" s="26">
        <f>'[1]Input Tab'!I6</f>
        <v>-19865107</v>
      </c>
      <c r="M16" s="26">
        <f>'[1]Input Tab'!J6</f>
        <v>-6919471</v>
      </c>
      <c r="N16" s="26">
        <f>'[1]Input Tab'!K6</f>
        <v>-12578240</v>
      </c>
      <c r="O16" s="26">
        <f>'[1]Input Tab'!L6</f>
        <v>-8663704</v>
      </c>
      <c r="P16" s="26">
        <f>'[1]Input Tab'!M6</f>
        <v>-8697132</v>
      </c>
      <c r="Q16" s="26">
        <f>'[1]Input Tab'!N6</f>
        <v>-11768210</v>
      </c>
      <c r="R16" s="24"/>
      <c r="S16" s="25"/>
    </row>
    <row r="17" spans="1:19" ht="15.95" customHeight="1">
      <c r="A17" s="5">
        <f>A16+1</f>
        <v>11</v>
      </c>
      <c r="B17" s="2" t="s">
        <v>8</v>
      </c>
      <c r="C17" s="15"/>
      <c r="D17" s="22">
        <f t="shared" si="5"/>
        <v>8879324</v>
      </c>
      <c r="E17" s="22"/>
      <c r="F17" s="23">
        <f>'[1]Input Tab'!C7</f>
        <v>3390501</v>
      </c>
      <c r="G17" s="23">
        <f>'[1]Input Tab'!D7</f>
        <v>2926995</v>
      </c>
      <c r="H17" s="23">
        <f>'[1]Input Tab'!E7</f>
        <v>2561828</v>
      </c>
      <c r="I17" s="23">
        <f>'[1]Input Tab'!F7</f>
        <v>2285403</v>
      </c>
      <c r="J17" s="23">
        <f>'[1]Input Tab'!G7</f>
        <v>1756150</v>
      </c>
      <c r="K17" s="23">
        <f>'[1]Input Tab'!H7</f>
        <v>1936414</v>
      </c>
      <c r="L17" s="23">
        <f>'[1]Input Tab'!I7</f>
        <v>3237585</v>
      </c>
      <c r="M17" s="23">
        <f>'[1]Input Tab'!J7</f>
        <v>3378274</v>
      </c>
      <c r="N17" s="23">
        <f>'[1]Input Tab'!K7</f>
        <v>3112767</v>
      </c>
      <c r="O17" s="23">
        <f>'[1]Input Tab'!L7</f>
        <v>3193370</v>
      </c>
      <c r="P17" s="23">
        <f>'[1]Input Tab'!M7</f>
        <v>2640329</v>
      </c>
      <c r="Q17" s="23">
        <f>'[1]Input Tab'!N7</f>
        <v>2771729</v>
      </c>
      <c r="R17" s="24"/>
      <c r="S17" s="25"/>
    </row>
    <row r="18" spans="1:19" ht="15.95" customHeight="1">
      <c r="A18" s="5">
        <f t="shared" si="6"/>
        <v>12</v>
      </c>
      <c r="B18" s="2" t="s">
        <v>9</v>
      </c>
      <c r="C18" s="15"/>
      <c r="D18" s="22">
        <f t="shared" si="5"/>
        <v>27852274</v>
      </c>
      <c r="E18" s="22"/>
      <c r="F18" s="23">
        <f>'[1]Input Tab'!C8</f>
        <v>11943274</v>
      </c>
      <c r="G18" s="23">
        <f>'[1]Input Tab'!D8</f>
        <v>8892939</v>
      </c>
      <c r="H18" s="23">
        <f>'[1]Input Tab'!E8</f>
        <v>7016061</v>
      </c>
      <c r="I18" s="23">
        <f>'[1]Input Tab'!F8</f>
        <v>5399258</v>
      </c>
      <c r="J18" s="23">
        <f>'[1]Input Tab'!G8</f>
        <v>3372909</v>
      </c>
      <c r="K18" s="23">
        <f>'[1]Input Tab'!H8</f>
        <v>4272021</v>
      </c>
      <c r="L18" s="23">
        <f>'[1]Input Tab'!I8</f>
        <v>8240675</v>
      </c>
      <c r="M18" s="23">
        <f>'[1]Input Tab'!J8</f>
        <v>8751270</v>
      </c>
      <c r="N18" s="23">
        <f>'[1]Input Tab'!K8</f>
        <v>8235613</v>
      </c>
      <c r="O18" s="23">
        <f>'[1]Input Tab'!L8</f>
        <v>9531785</v>
      </c>
      <c r="P18" s="23">
        <f>'[1]Input Tab'!M8</f>
        <v>9667646</v>
      </c>
      <c r="Q18" s="23">
        <f>'[1]Input Tab'!N8</f>
        <v>12083216</v>
      </c>
      <c r="R18" s="24"/>
    </row>
    <row r="19" spans="1:19" ht="15.95" customHeight="1">
      <c r="A19" s="5">
        <f t="shared" si="6"/>
        <v>13</v>
      </c>
      <c r="B19" s="2" t="s">
        <v>10</v>
      </c>
      <c r="C19" s="15"/>
      <c r="D19" s="22">
        <f t="shared" si="5"/>
        <v>-5437023</v>
      </c>
      <c r="E19" s="22"/>
      <c r="F19" s="26">
        <f>'[1]Input Tab'!C9</f>
        <v>-1682730</v>
      </c>
      <c r="G19" s="26">
        <f>'[1]Input Tab'!D9</f>
        <v>-1861088</v>
      </c>
      <c r="H19" s="26">
        <f>'[1]Input Tab'!E9</f>
        <v>-1893205</v>
      </c>
      <c r="I19" s="26">
        <f>'[1]Input Tab'!F9</f>
        <v>-1768623</v>
      </c>
      <c r="J19" s="26">
        <f>'[1]Input Tab'!G9</f>
        <v>-2440323</v>
      </c>
      <c r="K19" s="26">
        <f>'[1]Input Tab'!H9</f>
        <v>-2631984</v>
      </c>
      <c r="L19" s="26">
        <f>'[1]Input Tab'!I9</f>
        <v>-2630239</v>
      </c>
      <c r="M19" s="26">
        <f>'[1]Input Tab'!J9</f>
        <v>-2508879</v>
      </c>
      <c r="N19" s="26">
        <f>'[1]Input Tab'!K9</f>
        <v>-2192244</v>
      </c>
      <c r="O19" s="26">
        <f>'[1]Input Tab'!L9</f>
        <v>-1643339</v>
      </c>
      <c r="P19" s="26">
        <f>'[1]Input Tab'!M9</f>
        <v>-1954560</v>
      </c>
      <c r="Q19" s="26">
        <f>'[1]Input Tab'!N9</f>
        <v>-2258481</v>
      </c>
      <c r="R19" s="24"/>
    </row>
    <row r="20" spans="1:19" ht="15.95" customHeight="1">
      <c r="A20" s="5">
        <f t="shared" si="6"/>
        <v>14</v>
      </c>
      <c r="B20" s="2" t="s">
        <v>11</v>
      </c>
      <c r="C20" s="15"/>
      <c r="D20" s="22">
        <f t="shared" si="5"/>
        <v>4319691</v>
      </c>
      <c r="E20" s="22"/>
      <c r="F20" s="27">
        <f>'[1]Input Tab'!C10</f>
        <v>1439897</v>
      </c>
      <c r="G20" s="27">
        <f>'[1]Input Tab'!D10</f>
        <v>1439897</v>
      </c>
      <c r="H20" s="27">
        <f>'[1]Input Tab'!E10</f>
        <v>1439897</v>
      </c>
      <c r="I20" s="27">
        <f>'[1]Input Tab'!F10</f>
        <v>1439897</v>
      </c>
      <c r="J20" s="27">
        <f>'[1]Input Tab'!G10</f>
        <v>1439897</v>
      </c>
      <c r="K20" s="27">
        <f>'[1]Input Tab'!H10</f>
        <v>1439897</v>
      </c>
      <c r="L20" s="27">
        <f>'[1]Input Tab'!I10</f>
        <v>1439897</v>
      </c>
      <c r="M20" s="27">
        <f>'[1]Input Tab'!J10</f>
        <v>1439897</v>
      </c>
      <c r="N20" s="27">
        <f>'[1]Input Tab'!K10</f>
        <v>1439897</v>
      </c>
      <c r="O20" s="27">
        <f>'[1]Input Tab'!L10</f>
        <v>1439897</v>
      </c>
      <c r="P20" s="27">
        <f>'[1]Input Tab'!M10</f>
        <v>1439897</v>
      </c>
      <c r="Q20" s="27">
        <f>'[1]Input Tab'!N10</f>
        <v>1439897</v>
      </c>
      <c r="R20" s="24"/>
    </row>
    <row r="21" spans="1:19" ht="15.95" customHeight="1">
      <c r="A21" s="5">
        <f t="shared" si="6"/>
        <v>15</v>
      </c>
      <c r="B21" s="2" t="s">
        <v>16</v>
      </c>
      <c r="D21" s="22">
        <f t="shared" si="5"/>
        <v>157908</v>
      </c>
      <c r="E21" s="22"/>
      <c r="F21" s="23">
        <f>'[1]Input Tab'!C11</f>
        <v>52636</v>
      </c>
      <c r="G21" s="23">
        <f>'[1]Input Tab'!D11</f>
        <v>52636</v>
      </c>
      <c r="H21" s="23">
        <f>'[1]Input Tab'!E11</f>
        <v>52636</v>
      </c>
      <c r="I21" s="23">
        <f>'[1]Input Tab'!F11</f>
        <v>52636</v>
      </c>
      <c r="J21" s="23">
        <f>'[1]Input Tab'!G11</f>
        <v>52636</v>
      </c>
      <c r="K21" s="23">
        <f>'[1]Input Tab'!H11</f>
        <v>52636</v>
      </c>
      <c r="L21" s="23">
        <f>'[1]Input Tab'!I11</f>
        <v>52636</v>
      </c>
      <c r="M21" s="23">
        <f>'[1]Input Tab'!J11</f>
        <v>52636</v>
      </c>
      <c r="N21" s="23">
        <f>'[1]Input Tab'!K11</f>
        <v>52636</v>
      </c>
      <c r="O21" s="23">
        <f>'[1]Input Tab'!L11</f>
        <v>52636</v>
      </c>
      <c r="P21" s="23">
        <f>'[1]Input Tab'!M11</f>
        <v>52636</v>
      </c>
      <c r="Q21" s="23">
        <f>'[1]Input Tab'!N11</f>
        <v>52636</v>
      </c>
      <c r="R21" s="24"/>
    </row>
    <row r="22" spans="1:19" ht="15.95" customHeight="1">
      <c r="A22" s="5">
        <f t="shared" si="6"/>
        <v>16</v>
      </c>
      <c r="B22" s="2" t="s">
        <v>17</v>
      </c>
      <c r="D22" s="22">
        <f t="shared" si="5"/>
        <v>-1245142</v>
      </c>
      <c r="E22" s="22"/>
      <c r="F22" s="23">
        <f>'[1]Input Tab'!C12</f>
        <v>-187743</v>
      </c>
      <c r="G22" s="23">
        <f>'[1]Input Tab'!D12</f>
        <v>-408011</v>
      </c>
      <c r="H22" s="23">
        <f>'[1]Input Tab'!E12</f>
        <v>-649388</v>
      </c>
      <c r="I22" s="23">
        <f>'[1]Input Tab'!F12</f>
        <v>-519824</v>
      </c>
      <c r="J22" s="23">
        <f>'[1]Input Tab'!G12</f>
        <v>-734745</v>
      </c>
      <c r="K22" s="23">
        <f>'[1]Input Tab'!H12</f>
        <v>-643118</v>
      </c>
      <c r="L22" s="23">
        <f>'[1]Input Tab'!I12</f>
        <v>-509939</v>
      </c>
      <c r="M22" s="23">
        <f>'[1]Input Tab'!J12</f>
        <v>-509641</v>
      </c>
      <c r="N22" s="23">
        <f>'[1]Input Tab'!K12</f>
        <v>-478278</v>
      </c>
      <c r="O22" s="23">
        <f>'[1]Input Tab'!L12</f>
        <v>-420270</v>
      </c>
      <c r="P22" s="23">
        <f>'[1]Input Tab'!M12</f>
        <v>-363660</v>
      </c>
      <c r="Q22" s="23">
        <f>'[1]Input Tab'!N12</f>
        <v>127075</v>
      </c>
      <c r="R22" s="24"/>
    </row>
    <row r="23" spans="1:19" ht="15.95" customHeight="1">
      <c r="A23" s="5">
        <f t="shared" si="6"/>
        <v>17</v>
      </c>
      <c r="B23" s="2" t="s">
        <v>18</v>
      </c>
      <c r="D23" s="22">
        <f t="shared" si="5"/>
        <v>0</v>
      </c>
      <c r="E23" s="22"/>
      <c r="F23" s="23">
        <f>('[1]Input Tab'!C13)/'[1]Input Tab'!C14</f>
        <v>0</v>
      </c>
      <c r="G23" s="23">
        <f>('[1]Input Tab'!D13)/'[1]Input Tab'!D14</f>
        <v>0</v>
      </c>
      <c r="H23" s="23">
        <f>('[1]Input Tab'!E13)/'[1]Input Tab'!E14</f>
        <v>0</v>
      </c>
      <c r="I23" s="23">
        <f>('[1]Input Tab'!F13)/'[1]Input Tab'!F14</f>
        <v>0</v>
      </c>
      <c r="J23" s="23">
        <f>('[1]Input Tab'!G13)/'[1]Input Tab'!G14</f>
        <v>0</v>
      </c>
      <c r="K23" s="23">
        <f>('[1]Input Tab'!H13)/'[1]Input Tab'!H14</f>
        <v>0</v>
      </c>
      <c r="L23" s="23">
        <f>('[1]Input Tab'!I13)/'[1]Input Tab'!I14</f>
        <v>0</v>
      </c>
      <c r="M23" s="23">
        <f>('[1]Input Tab'!J13)/'[1]Input Tab'!J14</f>
        <v>0</v>
      </c>
      <c r="N23" s="23">
        <f>('[1]Input Tab'!K13)/'[1]Input Tab'!K14</f>
        <v>0</v>
      </c>
      <c r="O23" s="23">
        <f>('[1]Input Tab'!L13)/'[1]Input Tab'!L14</f>
        <v>0</v>
      </c>
      <c r="P23" s="23">
        <f>('[1]Input Tab'!M13)/'[1]Input Tab'!M14</f>
        <v>0</v>
      </c>
      <c r="Q23" s="23">
        <f>('[1]Input Tab'!N13)/'[1]Input Tab'!N14</f>
        <v>0</v>
      </c>
      <c r="R23" s="24"/>
    </row>
    <row r="24" spans="1:19" ht="20.25" customHeight="1">
      <c r="A24" s="5">
        <f t="shared" si="6"/>
        <v>18</v>
      </c>
      <c r="B24" s="16" t="s">
        <v>19</v>
      </c>
      <c r="C24" s="16"/>
      <c r="D24" s="17">
        <f>SUM(D15:E23)</f>
        <v>48388125</v>
      </c>
      <c r="E24" s="17"/>
      <c r="F24" s="28">
        <f>SUM(F15:F23)</f>
        <v>18004992</v>
      </c>
      <c r="G24" s="28">
        <f t="shared" ref="G24:Q24" si="7">SUM(G15:G23)</f>
        <v>18496671</v>
      </c>
      <c r="H24" s="28">
        <f t="shared" si="7"/>
        <v>11886462</v>
      </c>
      <c r="I24" s="28">
        <f t="shared" si="7"/>
        <v>6699682</v>
      </c>
      <c r="J24" s="28">
        <f t="shared" si="7"/>
        <v>3200097</v>
      </c>
      <c r="K24" s="28">
        <f t="shared" si="7"/>
        <v>444922</v>
      </c>
      <c r="L24" s="28">
        <f t="shared" si="7"/>
        <v>-1604203</v>
      </c>
      <c r="M24" s="28">
        <f t="shared" si="7"/>
        <v>12206801</v>
      </c>
      <c r="N24" s="28">
        <f t="shared" si="7"/>
        <v>5335223</v>
      </c>
      <c r="O24" s="28">
        <f t="shared" si="7"/>
        <v>12333647</v>
      </c>
      <c r="P24" s="28">
        <f t="shared" si="7"/>
        <v>12187918</v>
      </c>
      <c r="Q24" s="28">
        <f t="shared" si="7"/>
        <v>12040650</v>
      </c>
      <c r="R24" s="24"/>
    </row>
    <row r="25" spans="1:19" ht="28.5" customHeight="1">
      <c r="A25" s="5">
        <f t="shared" si="6"/>
        <v>19</v>
      </c>
      <c r="B25" s="16" t="s">
        <v>20</v>
      </c>
      <c r="C25" s="16"/>
      <c r="D25" s="29">
        <f>SUM(F25:H25)</f>
        <v>-1658441.5025000013</v>
      </c>
      <c r="E25" s="29" t="str">
        <f t="shared" ref="E25:Q25" si="8">IF(E13=0," ",E13-E24)</f>
        <v xml:space="preserve"> </v>
      </c>
      <c r="F25" s="28">
        <f t="shared" si="8"/>
        <v>-3601277.7631999999</v>
      </c>
      <c r="G25" s="28">
        <f t="shared" si="8"/>
        <v>1854866.6235999987</v>
      </c>
      <c r="H25" s="28">
        <f t="shared" si="8"/>
        <v>87969.637099999934</v>
      </c>
      <c r="I25" s="28" t="str">
        <f t="shared" si="8"/>
        <v xml:space="preserve"> </v>
      </c>
      <c r="J25" s="28" t="str">
        <f t="shared" si="8"/>
        <v xml:space="preserve"> </v>
      </c>
      <c r="K25" s="28" t="str">
        <f t="shared" si="8"/>
        <v xml:space="preserve"> </v>
      </c>
      <c r="L25" s="28" t="str">
        <f t="shared" si="8"/>
        <v xml:space="preserve"> </v>
      </c>
      <c r="M25" s="28" t="str">
        <f t="shared" si="8"/>
        <v xml:space="preserve"> </v>
      </c>
      <c r="N25" s="28" t="str">
        <f t="shared" si="8"/>
        <v xml:space="preserve"> </v>
      </c>
      <c r="O25" s="28" t="str">
        <f t="shared" si="8"/>
        <v xml:space="preserve"> </v>
      </c>
      <c r="P25" s="28" t="str">
        <f t="shared" si="8"/>
        <v xml:space="preserve"> </v>
      </c>
      <c r="Q25" s="28" t="str">
        <f t="shared" si="8"/>
        <v xml:space="preserve"> </v>
      </c>
    </row>
    <row r="26" spans="1:19" ht="26.25" customHeight="1">
      <c r="A26" s="5">
        <f t="shared" si="6"/>
        <v>20</v>
      </c>
      <c r="B26" s="30" t="s">
        <v>21</v>
      </c>
      <c r="C26" s="30"/>
      <c r="D26" s="31">
        <f>SUM(F26:Q26)</f>
        <v>-72264</v>
      </c>
      <c r="E26" s="31"/>
      <c r="F26" s="32">
        <f>'WA Monthly'!E142</f>
        <v>1956634</v>
      </c>
      <c r="G26" s="32">
        <f>'WA Monthly'!F142</f>
        <v>-1304291</v>
      </c>
      <c r="H26" s="32">
        <f>'WA Monthly'!G142</f>
        <v>-724607</v>
      </c>
      <c r="I26" s="32" t="str">
        <f>'WA Monthly'!H142</f>
        <v xml:space="preserve"> </v>
      </c>
      <c r="J26" s="32" t="str">
        <f>'WA Monthly'!I142</f>
        <v xml:space="preserve"> </v>
      </c>
      <c r="K26" s="32" t="str">
        <f>'WA Monthly'!J142</f>
        <v xml:space="preserve"> </v>
      </c>
      <c r="L26" s="32" t="str">
        <f>'WA Monthly'!K142</f>
        <v xml:space="preserve"> </v>
      </c>
      <c r="M26" s="32" t="str">
        <f>'WA Monthly'!L142</f>
        <v xml:space="preserve"> </v>
      </c>
      <c r="N26" s="32" t="str">
        <f>'WA Monthly'!M142</f>
        <v xml:space="preserve"> </v>
      </c>
      <c r="O26" s="32" t="str">
        <f>'WA Monthly'!N142</f>
        <v xml:space="preserve"> </v>
      </c>
      <c r="P26" s="32" t="str">
        <f>'WA Monthly'!O142</f>
        <v xml:space="preserve"> </v>
      </c>
      <c r="Q26" s="32" t="str">
        <f>'WA Monthly'!P142</f>
        <v xml:space="preserve"> </v>
      </c>
      <c r="S26" s="33"/>
    </row>
    <row r="27" spans="1:19" ht="19.5" customHeight="1">
      <c r="A27" s="5">
        <f t="shared" si="6"/>
        <v>21</v>
      </c>
      <c r="B27" s="30" t="s">
        <v>22</v>
      </c>
      <c r="C27" s="30"/>
      <c r="D27" s="31">
        <f>SUM(F27:H27)</f>
        <v>-1730705.5025000013</v>
      </c>
      <c r="E27" s="31"/>
      <c r="F27" s="32">
        <f>+F25+F26</f>
        <v>-1644643.7631999999</v>
      </c>
      <c r="G27" s="32">
        <f t="shared" ref="G27:Q27" si="9">IF(G13=0,0,+G25+G26)</f>
        <v>550575.62359999865</v>
      </c>
      <c r="H27" s="32">
        <f t="shared" si="9"/>
        <v>-636637.36290000007</v>
      </c>
      <c r="I27" s="32">
        <f t="shared" si="9"/>
        <v>0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9"/>
        <v>0</v>
      </c>
      <c r="O27" s="32">
        <f t="shared" si="9"/>
        <v>0</v>
      </c>
      <c r="P27" s="32">
        <f t="shared" si="9"/>
        <v>0</v>
      </c>
      <c r="Q27" s="32">
        <f t="shared" si="9"/>
        <v>0</v>
      </c>
    </row>
    <row r="28" spans="1:19" ht="18.75" customHeight="1">
      <c r="A28" s="5">
        <f t="shared" si="6"/>
        <v>22</v>
      </c>
      <c r="B28" s="2" t="s">
        <v>23</v>
      </c>
      <c r="D28" s="34"/>
      <c r="E28" s="34"/>
      <c r="F28" s="35">
        <f>'[1]Input Tab'!C14</f>
        <v>0.65639999999999998</v>
      </c>
      <c r="G28" s="35">
        <f>'[1]Input Tab'!D14</f>
        <v>0.65639999999999998</v>
      </c>
      <c r="H28" s="35">
        <f>'[1]Input Tab'!E14</f>
        <v>0.65639999999999998</v>
      </c>
      <c r="I28" s="35">
        <f>'[1]Input Tab'!F14</f>
        <v>0.65639999999999998</v>
      </c>
      <c r="J28" s="35">
        <f>'[1]Input Tab'!G14</f>
        <v>0.65639999999999998</v>
      </c>
      <c r="K28" s="35">
        <f>'[1]Input Tab'!H14</f>
        <v>0.65639999999999998</v>
      </c>
      <c r="L28" s="35">
        <f>'[1]Input Tab'!I14</f>
        <v>0.65639999999999998</v>
      </c>
      <c r="M28" s="35">
        <f>'[1]Input Tab'!J14</f>
        <v>0.65639999999999998</v>
      </c>
      <c r="N28" s="35">
        <f>'[1]Input Tab'!K14</f>
        <v>0.65639999999999998</v>
      </c>
      <c r="O28" s="35">
        <f>'[1]Input Tab'!L14</f>
        <v>0.65639999999999998</v>
      </c>
      <c r="P28" s="35">
        <f>'[1]Input Tab'!M14</f>
        <v>0.65639999999999998</v>
      </c>
      <c r="Q28" s="35">
        <f>'[1]Input Tab'!N14</f>
        <v>0.65639999999999998</v>
      </c>
    </row>
    <row r="29" spans="1:19" ht="20.25" customHeight="1">
      <c r="A29" s="5">
        <f t="shared" si="6"/>
        <v>23</v>
      </c>
      <c r="B29" s="2" t="s">
        <v>24</v>
      </c>
      <c r="D29" s="36">
        <f>SUM(F29:H29)</f>
        <v>-1136035.0918410008</v>
      </c>
      <c r="E29" s="36"/>
      <c r="F29" s="37">
        <f>+F27*F28</f>
        <v>-1079544.1661644799</v>
      </c>
      <c r="G29" s="37">
        <f>+G27*G28</f>
        <v>361397.83933103911</v>
      </c>
      <c r="H29" s="37">
        <f>+H27*H28</f>
        <v>-417888.76500756002</v>
      </c>
      <c r="I29" s="37">
        <f t="shared" ref="I29:Q29" si="10">+I27*I28</f>
        <v>0</v>
      </c>
      <c r="J29" s="37">
        <f t="shared" si="10"/>
        <v>0</v>
      </c>
      <c r="K29" s="37">
        <f t="shared" si="10"/>
        <v>0</v>
      </c>
      <c r="L29" s="37">
        <f t="shared" si="10"/>
        <v>0</v>
      </c>
      <c r="M29" s="37">
        <f t="shared" si="10"/>
        <v>0</v>
      </c>
      <c r="N29" s="37">
        <f t="shared" si="10"/>
        <v>0</v>
      </c>
      <c r="O29" s="37">
        <f t="shared" si="10"/>
        <v>0</v>
      </c>
      <c r="P29" s="37">
        <f t="shared" si="10"/>
        <v>0</v>
      </c>
      <c r="Q29" s="37">
        <f t="shared" si="10"/>
        <v>0</v>
      </c>
    </row>
    <row r="30" spans="1:19" ht="20.25" customHeight="1">
      <c r="A30" s="5">
        <f t="shared" si="6"/>
        <v>24</v>
      </c>
      <c r="B30" s="2" t="s">
        <v>25</v>
      </c>
      <c r="D30" s="36">
        <f>SUM(F30:H30)</f>
        <v>0</v>
      </c>
      <c r="E30" s="36"/>
      <c r="F30" s="37">
        <f>'WA Monthly'!E140</f>
        <v>0</v>
      </c>
      <c r="G30" s="37">
        <f>'WA Monthly'!F140</f>
        <v>0</v>
      </c>
      <c r="H30" s="37">
        <f>'WA Monthly'!G140</f>
        <v>0</v>
      </c>
      <c r="I30" s="37">
        <f>'WA Monthly'!H140</f>
        <v>0</v>
      </c>
      <c r="J30" s="37">
        <f>'WA Monthly'!I140</f>
        <v>0</v>
      </c>
      <c r="K30" s="37">
        <f>'WA Monthly'!J140</f>
        <v>0</v>
      </c>
      <c r="L30" s="37">
        <f>'WA Monthly'!K140</f>
        <v>0</v>
      </c>
      <c r="M30" s="37">
        <f>'WA Monthly'!L140</f>
        <v>0</v>
      </c>
      <c r="N30" s="37">
        <f>'WA Monthly'!M140</f>
        <v>0</v>
      </c>
      <c r="O30" s="37">
        <f>'WA Monthly'!N140</f>
        <v>0</v>
      </c>
      <c r="P30" s="37">
        <f>'WA Monthly'!O140</f>
        <v>0</v>
      </c>
      <c r="Q30" s="37">
        <f>'WA Monthly'!P140</f>
        <v>0</v>
      </c>
    </row>
    <row r="31" spans="1:19" ht="29.25" customHeight="1">
      <c r="A31" s="5">
        <f t="shared" si="6"/>
        <v>25</v>
      </c>
      <c r="B31" s="38" t="s">
        <v>26</v>
      </c>
      <c r="C31" s="38"/>
      <c r="D31" s="39">
        <f>SUM(F31:Q31)</f>
        <v>-818284.62300000025</v>
      </c>
      <c r="E31" s="39"/>
      <c r="F31" s="40">
        <f>'WA RRC'!B19</f>
        <v>-258842.62300000025</v>
      </c>
      <c r="G31" s="40">
        <f>'WA RRC'!C19</f>
        <v>-402961</v>
      </c>
      <c r="H31" s="40">
        <f>'WA RRC'!D19</f>
        <v>-156481</v>
      </c>
      <c r="I31" s="40" t="str">
        <f>'WA RRC'!E19</f>
        <v xml:space="preserve"> </v>
      </c>
      <c r="J31" s="40" t="str">
        <f>'WA RRC'!F19</f>
        <v xml:space="preserve"> </v>
      </c>
      <c r="K31" s="40" t="str">
        <f>'WA RRC'!G19</f>
        <v xml:space="preserve"> </v>
      </c>
      <c r="L31" s="40" t="str">
        <f>'WA RRC'!H19</f>
        <v xml:space="preserve"> </v>
      </c>
      <c r="M31" s="40" t="str">
        <f>'WA RRC'!I19</f>
        <v xml:space="preserve"> </v>
      </c>
      <c r="N31" s="40" t="str">
        <f>'WA RRC'!J19</f>
        <v xml:space="preserve"> </v>
      </c>
      <c r="O31" s="40" t="str">
        <f>'WA RRC'!K19</f>
        <v xml:space="preserve"> </v>
      </c>
      <c r="P31" s="40" t="str">
        <f>'WA RRC'!L19</f>
        <v xml:space="preserve"> </v>
      </c>
      <c r="Q31" s="40" t="str">
        <f>'WA RRC'!M19</f>
        <v xml:space="preserve"> </v>
      </c>
    </row>
    <row r="32" spans="1:19" ht="27" customHeight="1">
      <c r="A32" s="5">
        <f t="shared" si="6"/>
        <v>26</v>
      </c>
      <c r="B32" s="41" t="s">
        <v>27</v>
      </c>
      <c r="C32" s="41"/>
      <c r="D32" s="42">
        <f>SUM(F32:H32)</f>
        <v>-1954319.7148410012</v>
      </c>
      <c r="E32" s="42"/>
      <c r="F32" s="43">
        <f>IF(F13=0," ",F29+F31+F30)</f>
        <v>-1338386.7891644803</v>
      </c>
      <c r="G32" s="43">
        <f t="shared" ref="G32:Q32" si="11">IF(G13=0," ",G29+G31+G30)</f>
        <v>-41563.160668960889</v>
      </c>
      <c r="H32" s="43">
        <f t="shared" si="11"/>
        <v>-574369.76500756002</v>
      </c>
      <c r="I32" s="43" t="str">
        <f t="shared" si="11"/>
        <v xml:space="preserve"> </v>
      </c>
      <c r="J32" s="43" t="str">
        <f t="shared" si="11"/>
        <v xml:space="preserve"> </v>
      </c>
      <c r="K32" s="43" t="str">
        <f t="shared" si="11"/>
        <v xml:space="preserve"> </v>
      </c>
      <c r="L32" s="43" t="str">
        <f t="shared" si="11"/>
        <v xml:space="preserve"> </v>
      </c>
      <c r="M32" s="43" t="str">
        <f t="shared" si="11"/>
        <v xml:space="preserve"> </v>
      </c>
      <c r="N32" s="43" t="str">
        <f t="shared" si="11"/>
        <v xml:space="preserve"> </v>
      </c>
      <c r="O32" s="43" t="str">
        <f t="shared" si="11"/>
        <v xml:space="preserve"> </v>
      </c>
      <c r="P32" s="43" t="str">
        <f t="shared" si="11"/>
        <v xml:space="preserve"> </v>
      </c>
      <c r="Q32" s="43" t="str">
        <f t="shared" si="11"/>
        <v xml:space="preserve"> </v>
      </c>
    </row>
    <row r="33" spans="1:19" ht="12.75" hidden="1" customHeight="1">
      <c r="A33" s="5">
        <f t="shared" si="6"/>
        <v>27</v>
      </c>
      <c r="B33" s="44" t="s">
        <v>28</v>
      </c>
      <c r="C33" s="44"/>
      <c r="D33" s="45"/>
      <c r="E33" s="45"/>
      <c r="F33" s="43"/>
      <c r="G33" s="43"/>
      <c r="H33" s="43"/>
      <c r="I33" s="43"/>
      <c r="J33" s="43"/>
      <c r="K33" s="43"/>
      <c r="L33" s="46">
        <v>0</v>
      </c>
      <c r="M33" s="43"/>
      <c r="N33" s="43"/>
      <c r="O33" s="43"/>
      <c r="P33" s="43"/>
      <c r="Q33" s="43"/>
    </row>
    <row r="34" spans="1:19" ht="28.5" customHeight="1">
      <c r="A34" s="5">
        <f t="shared" si="6"/>
        <v>28</v>
      </c>
      <c r="B34" s="16" t="s">
        <v>29</v>
      </c>
      <c r="C34" s="16"/>
      <c r="D34" s="47"/>
      <c r="E34" s="47"/>
      <c r="F34" s="48">
        <f>IF(F13=0," ",F32)</f>
        <v>-1338386.7891644803</v>
      </c>
      <c r="G34" s="48">
        <f t="shared" ref="G34:Q34" si="12">IF(G13=0," ",+F34+G32)</f>
        <v>-1379949.9498334411</v>
      </c>
      <c r="H34" s="48">
        <f t="shared" si="12"/>
        <v>-1954319.7148410012</v>
      </c>
      <c r="I34" s="48" t="str">
        <f t="shared" si="12"/>
        <v xml:space="preserve"> </v>
      </c>
      <c r="J34" s="48" t="str">
        <f t="shared" si="12"/>
        <v xml:space="preserve"> </v>
      </c>
      <c r="K34" s="48" t="str">
        <f t="shared" si="12"/>
        <v xml:space="preserve"> </v>
      </c>
      <c r="L34" s="48" t="str">
        <f t="shared" si="12"/>
        <v xml:space="preserve"> </v>
      </c>
      <c r="M34" s="48" t="str">
        <f t="shared" si="12"/>
        <v xml:space="preserve"> </v>
      </c>
      <c r="N34" s="48" t="str">
        <f t="shared" si="12"/>
        <v xml:space="preserve"> </v>
      </c>
      <c r="O34" s="48" t="str">
        <f t="shared" si="12"/>
        <v xml:space="preserve"> </v>
      </c>
      <c r="P34" s="48" t="str">
        <f t="shared" si="12"/>
        <v xml:space="preserve"> </v>
      </c>
      <c r="Q34" s="48" t="str">
        <f t="shared" si="12"/>
        <v xml:space="preserve"> </v>
      </c>
      <c r="R34" s="33"/>
    </row>
    <row r="35" spans="1:19" ht="30.75" hidden="1" customHeight="1" outlineLevel="1">
      <c r="A35" s="2" t="s">
        <v>30</v>
      </c>
      <c r="B35" s="49">
        <v>10000000</v>
      </c>
      <c r="C35" s="50" t="s">
        <v>31</v>
      </c>
      <c r="D35" s="51">
        <v>0.9</v>
      </c>
      <c r="E35" s="51">
        <v>0.9</v>
      </c>
      <c r="F35" s="34">
        <f t="shared" ref="F35:Q35" si="13">IF(F13=0," ",IF(ABS(F$34)&lt;$B35,0,(ABS(F$34)-$B35)*SIGN(F$34)))</f>
        <v>0</v>
      </c>
      <c r="G35" s="34">
        <f t="shared" si="13"/>
        <v>0</v>
      </c>
      <c r="H35" s="34">
        <f t="shared" si="13"/>
        <v>0</v>
      </c>
      <c r="I35" s="34" t="str">
        <f t="shared" si="13"/>
        <v xml:space="preserve"> </v>
      </c>
      <c r="J35" s="34" t="str">
        <f t="shared" si="13"/>
        <v xml:space="preserve"> </v>
      </c>
      <c r="K35" s="34" t="str">
        <f t="shared" si="13"/>
        <v xml:space="preserve"> </v>
      </c>
      <c r="L35" s="34" t="str">
        <f t="shared" si="13"/>
        <v xml:space="preserve"> </v>
      </c>
      <c r="M35" s="34" t="str">
        <f t="shared" si="13"/>
        <v xml:space="preserve"> </v>
      </c>
      <c r="N35" s="34" t="str">
        <f t="shared" si="13"/>
        <v xml:space="preserve"> </v>
      </c>
      <c r="O35" s="34" t="str">
        <f t="shared" si="13"/>
        <v xml:space="preserve"> </v>
      </c>
      <c r="P35" s="34" t="str">
        <f t="shared" si="13"/>
        <v xml:space="preserve"> </v>
      </c>
      <c r="Q35" s="34" t="str">
        <f t="shared" si="13"/>
        <v xml:space="preserve"> </v>
      </c>
      <c r="R35" s="52"/>
      <c r="S35" s="53"/>
    </row>
    <row r="36" spans="1:19" ht="19.5" hidden="1" customHeight="1" outlineLevel="1">
      <c r="A36" s="2" t="s">
        <v>30</v>
      </c>
      <c r="B36" s="49">
        <v>4000000</v>
      </c>
      <c r="C36" s="50" t="str">
        <f>"to "&amp;TEXT(B35,"$#,##0,,")&amp;"M"</f>
        <v>to $10M</v>
      </c>
      <c r="D36" s="51">
        <v>0.5</v>
      </c>
      <c r="E36" s="51">
        <v>0.75</v>
      </c>
      <c r="F36" s="34">
        <f t="shared" ref="F36:Q36" si="14">IF(F13=0," ",IF(ABS(F$34)&lt;$B36,0,MIN($B$35-$B$36,ABS(F$34)-$B36)*SIGN(F$34)))</f>
        <v>0</v>
      </c>
      <c r="G36" s="34">
        <f t="shared" si="14"/>
        <v>0</v>
      </c>
      <c r="H36" s="34">
        <f t="shared" si="14"/>
        <v>0</v>
      </c>
      <c r="I36" s="34" t="str">
        <f t="shared" si="14"/>
        <v xml:space="preserve"> </v>
      </c>
      <c r="J36" s="34" t="str">
        <f t="shared" si="14"/>
        <v xml:space="preserve"> </v>
      </c>
      <c r="K36" s="34" t="str">
        <f t="shared" si="14"/>
        <v xml:space="preserve"> </v>
      </c>
      <c r="L36" s="34" t="str">
        <f t="shared" si="14"/>
        <v xml:space="preserve"> </v>
      </c>
      <c r="M36" s="34" t="str">
        <f t="shared" si="14"/>
        <v xml:space="preserve"> </v>
      </c>
      <c r="N36" s="34" t="str">
        <f t="shared" si="14"/>
        <v xml:space="preserve"> </v>
      </c>
      <c r="O36" s="34" t="str">
        <f t="shared" si="14"/>
        <v xml:space="preserve"> </v>
      </c>
      <c r="P36" s="34" t="str">
        <f t="shared" si="14"/>
        <v xml:space="preserve"> </v>
      </c>
      <c r="Q36" s="34" t="str">
        <f t="shared" si="14"/>
        <v xml:space="preserve"> </v>
      </c>
      <c r="R36" s="52"/>
      <c r="S36" s="53"/>
    </row>
    <row r="37" spans="1:19" ht="21.75" hidden="1" customHeight="1" outlineLevel="1">
      <c r="A37" s="2" t="s">
        <v>30</v>
      </c>
      <c r="B37" s="49">
        <v>0</v>
      </c>
      <c r="C37" s="50" t="str">
        <f>"to "&amp;TEXT(B36,"$#,##0,,")&amp;"M"</f>
        <v>to $4M</v>
      </c>
      <c r="D37" s="51">
        <v>0</v>
      </c>
      <c r="E37" s="51">
        <v>0</v>
      </c>
      <c r="F37" s="34">
        <f t="shared" ref="F37:Q37" si="15">IF(F13=0," ",IF(ABS(F$34)&lt;$B37,0,MIN($B$36-$B$37,ABS(F$34)-$B37)*SIGN(F$34)))</f>
        <v>-1338386.7891644803</v>
      </c>
      <c r="G37" s="34">
        <f t="shared" si="15"/>
        <v>-1379949.9498334411</v>
      </c>
      <c r="H37" s="34">
        <f t="shared" si="15"/>
        <v>-1954319.7148410012</v>
      </c>
      <c r="I37" s="34" t="str">
        <f t="shared" si="15"/>
        <v xml:space="preserve"> </v>
      </c>
      <c r="J37" s="34" t="str">
        <f t="shared" si="15"/>
        <v xml:space="preserve"> </v>
      </c>
      <c r="K37" s="34" t="str">
        <f t="shared" si="15"/>
        <v xml:space="preserve"> </v>
      </c>
      <c r="L37" s="34" t="str">
        <f t="shared" si="15"/>
        <v xml:space="preserve"> </v>
      </c>
      <c r="M37" s="34" t="str">
        <f t="shared" si="15"/>
        <v xml:space="preserve"> </v>
      </c>
      <c r="N37" s="34" t="str">
        <f t="shared" si="15"/>
        <v xml:space="preserve"> </v>
      </c>
      <c r="O37" s="34" t="str">
        <f t="shared" si="15"/>
        <v xml:space="preserve"> </v>
      </c>
      <c r="P37" s="34" t="str">
        <f t="shared" si="15"/>
        <v xml:space="preserve"> </v>
      </c>
      <c r="Q37" s="34" t="str">
        <f t="shared" si="15"/>
        <v xml:space="preserve"> </v>
      </c>
      <c r="R37" s="52"/>
    </row>
    <row r="38" spans="1:19" ht="15.95" hidden="1" customHeight="1" outlineLevel="1">
      <c r="A38" s="2"/>
      <c r="B38" s="54"/>
      <c r="C38" s="2" t="s">
        <v>32</v>
      </c>
      <c r="D38" s="55"/>
      <c r="E38" s="55"/>
      <c r="F38" s="33">
        <f t="shared" ref="F38:Q38" si="16">IF(F13=0," ",SUM(F35:F37)-F34)</f>
        <v>0</v>
      </c>
      <c r="G38" s="33">
        <f t="shared" si="16"/>
        <v>0</v>
      </c>
      <c r="H38" s="33">
        <f t="shared" si="16"/>
        <v>0</v>
      </c>
      <c r="I38" s="33" t="str">
        <f t="shared" si="16"/>
        <v xml:space="preserve"> </v>
      </c>
      <c r="J38" s="33" t="str">
        <f t="shared" si="16"/>
        <v xml:space="preserve"> </v>
      </c>
      <c r="K38" s="33" t="str">
        <f t="shared" si="16"/>
        <v xml:space="preserve"> </v>
      </c>
      <c r="L38" s="33" t="str">
        <f t="shared" si="16"/>
        <v xml:space="preserve"> </v>
      </c>
      <c r="M38" s="33" t="str">
        <f t="shared" si="16"/>
        <v xml:space="preserve"> </v>
      </c>
      <c r="N38" s="33" t="str">
        <f t="shared" si="16"/>
        <v xml:space="preserve"> </v>
      </c>
      <c r="O38" s="33" t="str">
        <f t="shared" si="16"/>
        <v xml:space="preserve"> </v>
      </c>
      <c r="P38" s="33" t="str">
        <f t="shared" si="16"/>
        <v xml:space="preserve"> </v>
      </c>
      <c r="Q38" s="33" t="str">
        <f t="shared" si="16"/>
        <v xml:space="preserve"> </v>
      </c>
      <c r="R38" s="56"/>
    </row>
    <row r="39" spans="1:19" ht="23.25" customHeight="1" collapsed="1">
      <c r="A39" s="2" t="s">
        <v>33</v>
      </c>
      <c r="D39" s="57"/>
      <c r="E39" s="57"/>
      <c r="F39" s="34">
        <f t="shared" ref="F39:Q39" si="17">IF(F13=0," ",SUMPRODUCT(IF(F34&gt;0,$D$35:$D$37,$E$35:$E$37),F35:F37))</f>
        <v>0</v>
      </c>
      <c r="G39" s="34">
        <f t="shared" si="17"/>
        <v>0</v>
      </c>
      <c r="H39" s="34">
        <f t="shared" si="17"/>
        <v>0</v>
      </c>
      <c r="I39" s="34" t="str">
        <f t="shared" si="17"/>
        <v xml:space="preserve"> </v>
      </c>
      <c r="J39" s="34" t="str">
        <f t="shared" si="17"/>
        <v xml:space="preserve"> </v>
      </c>
      <c r="K39" s="34" t="str">
        <f t="shared" si="17"/>
        <v xml:space="preserve"> </v>
      </c>
      <c r="L39" s="34" t="str">
        <f t="shared" si="17"/>
        <v xml:space="preserve"> </v>
      </c>
      <c r="M39" s="34" t="str">
        <f t="shared" si="17"/>
        <v xml:space="preserve"> </v>
      </c>
      <c r="N39" s="34" t="str">
        <f t="shared" si="17"/>
        <v xml:space="preserve"> </v>
      </c>
      <c r="O39" s="34" t="str">
        <f t="shared" si="17"/>
        <v xml:space="preserve"> </v>
      </c>
      <c r="P39" s="34" t="str">
        <f t="shared" si="17"/>
        <v xml:space="preserve"> </v>
      </c>
      <c r="Q39" s="34" t="str">
        <f t="shared" si="17"/>
        <v xml:space="preserve"> </v>
      </c>
      <c r="R39" s="52" t="s">
        <v>34</v>
      </c>
    </row>
    <row r="40" spans="1:19" ht="20.25" customHeight="1">
      <c r="A40" s="2" t="s">
        <v>35</v>
      </c>
      <c r="F40" s="34">
        <f>IF(F13=0," ",F39-D39)</f>
        <v>0</v>
      </c>
      <c r="G40" s="34">
        <f t="shared" ref="G40:Q40" si="18">IF(G13=0," ",G39-F39)</f>
        <v>0</v>
      </c>
      <c r="H40" s="34">
        <f t="shared" si="18"/>
        <v>0</v>
      </c>
      <c r="I40" s="34" t="str">
        <f t="shared" si="18"/>
        <v xml:space="preserve"> </v>
      </c>
      <c r="J40" s="34" t="str">
        <f t="shared" si="18"/>
        <v xml:space="preserve"> </v>
      </c>
      <c r="K40" s="34" t="str">
        <f t="shared" si="18"/>
        <v xml:space="preserve"> </v>
      </c>
      <c r="L40" s="34" t="str">
        <f t="shared" si="18"/>
        <v xml:space="preserve"> </v>
      </c>
      <c r="M40" s="34" t="str">
        <f t="shared" si="18"/>
        <v xml:space="preserve"> </v>
      </c>
      <c r="N40" s="34" t="str">
        <f t="shared" si="18"/>
        <v xml:space="preserve"> </v>
      </c>
      <c r="O40" s="34" t="str">
        <f t="shared" si="18"/>
        <v xml:space="preserve"> </v>
      </c>
      <c r="P40" s="34" t="str">
        <f t="shared" si="18"/>
        <v xml:space="preserve"> </v>
      </c>
      <c r="Q40" s="34" t="str">
        <f t="shared" si="18"/>
        <v xml:space="preserve"> </v>
      </c>
      <c r="R40" s="56"/>
    </row>
    <row r="41" spans="1:19" ht="24.75" customHeight="1">
      <c r="A41" s="44" t="s">
        <v>36</v>
      </c>
      <c r="B41" s="44"/>
      <c r="C41" s="44"/>
      <c r="D41" s="42">
        <f>SUM(F41:H41)</f>
        <v>0</v>
      </c>
      <c r="E41" s="42"/>
      <c r="F41" s="58">
        <f t="shared" ref="F41:Q41" si="19">IF(F13=0," ",-F40)</f>
        <v>0</v>
      </c>
      <c r="G41" s="58">
        <f t="shared" si="19"/>
        <v>0</v>
      </c>
      <c r="H41" s="58">
        <f t="shared" si="19"/>
        <v>0</v>
      </c>
      <c r="I41" s="58" t="str">
        <f t="shared" si="19"/>
        <v xml:space="preserve"> </v>
      </c>
      <c r="J41" s="58" t="str">
        <f t="shared" si="19"/>
        <v xml:space="preserve"> </v>
      </c>
      <c r="K41" s="58" t="str">
        <f t="shared" si="19"/>
        <v xml:space="preserve"> </v>
      </c>
      <c r="L41" s="58" t="str">
        <f t="shared" si="19"/>
        <v xml:space="preserve"> </v>
      </c>
      <c r="M41" s="58" t="str">
        <f t="shared" si="19"/>
        <v xml:space="preserve"> </v>
      </c>
      <c r="N41" s="58" t="str">
        <f t="shared" si="19"/>
        <v xml:space="preserve"> </v>
      </c>
      <c r="O41" s="58" t="str">
        <f t="shared" si="19"/>
        <v xml:space="preserve"> </v>
      </c>
      <c r="P41" s="58" t="str">
        <f t="shared" si="19"/>
        <v xml:space="preserve"> </v>
      </c>
      <c r="Q41" s="58" t="str">
        <f t="shared" si="19"/>
        <v xml:space="preserve"> </v>
      </c>
      <c r="R41" s="52"/>
    </row>
    <row r="42" spans="1:19" ht="26.25" customHeight="1" thickBot="1">
      <c r="A42" s="59" t="s">
        <v>37</v>
      </c>
      <c r="B42" s="59"/>
      <c r="C42" s="59"/>
      <c r="D42" s="60"/>
      <c r="E42" s="60"/>
      <c r="F42" s="61">
        <f t="shared" ref="F42:Q42" si="20">IF(F13=0," ",F34-F39)</f>
        <v>-1338386.7891644803</v>
      </c>
      <c r="G42" s="61">
        <f t="shared" si="20"/>
        <v>-1379949.9498334411</v>
      </c>
      <c r="H42" s="61">
        <f t="shared" si="20"/>
        <v>-1954319.7148410012</v>
      </c>
      <c r="I42" s="61" t="str">
        <f t="shared" si="20"/>
        <v xml:space="preserve"> </v>
      </c>
      <c r="J42" s="61" t="str">
        <f t="shared" si="20"/>
        <v xml:space="preserve"> </v>
      </c>
      <c r="K42" s="61" t="str">
        <f t="shared" si="20"/>
        <v xml:space="preserve"> </v>
      </c>
      <c r="L42" s="61" t="str">
        <f t="shared" si="20"/>
        <v xml:space="preserve"> </v>
      </c>
      <c r="M42" s="61" t="str">
        <f t="shared" si="20"/>
        <v xml:space="preserve"> </v>
      </c>
      <c r="N42" s="61" t="str">
        <f t="shared" si="20"/>
        <v xml:space="preserve"> </v>
      </c>
      <c r="O42" s="61" t="str">
        <f t="shared" si="20"/>
        <v xml:space="preserve"> </v>
      </c>
      <c r="P42" s="61" t="str">
        <f t="shared" si="20"/>
        <v xml:space="preserve"> </v>
      </c>
      <c r="Q42" s="61" t="str">
        <f t="shared" si="20"/>
        <v xml:space="preserve"> </v>
      </c>
    </row>
    <row r="43" spans="1:19" ht="13.5" thickTop="1">
      <c r="A43" s="62"/>
    </row>
    <row r="44" spans="1:19" ht="13.15">
      <c r="E44" s="63"/>
      <c r="F44" s="64" t="s">
        <v>38</v>
      </c>
      <c r="Q44" s="34"/>
      <c r="R44" s="33"/>
    </row>
    <row r="45" spans="1:19" ht="13.15">
      <c r="E45" s="65"/>
      <c r="F45"/>
      <c r="H45" s="66"/>
      <c r="I45" s="66"/>
      <c r="J45" s="66"/>
      <c r="K45" s="66"/>
      <c r="Q45" s="67"/>
      <c r="R45" s="33"/>
    </row>
    <row r="46" spans="1:19" ht="13.15">
      <c r="E46" s="63"/>
      <c r="F46" s="68"/>
      <c r="H46" s="66"/>
      <c r="I46" s="66"/>
      <c r="J46" s="66"/>
      <c r="K46" s="66"/>
      <c r="Q46" s="67"/>
      <c r="R46" s="33"/>
    </row>
    <row r="47" spans="1:19">
      <c r="H47" s="66"/>
      <c r="I47" s="66"/>
      <c r="J47" s="66"/>
      <c r="K47" s="66"/>
    </row>
    <row r="48" spans="1:19">
      <c r="F48" s="69"/>
      <c r="H48" s="66"/>
      <c r="I48" s="66"/>
      <c r="J48" s="66"/>
      <c r="K48" s="66"/>
    </row>
    <row r="49" spans="6:17">
      <c r="F49" s="69"/>
      <c r="H49" s="66"/>
      <c r="I49" s="66"/>
      <c r="J49" s="66"/>
      <c r="K49" s="66"/>
      <c r="Q49" s="33"/>
    </row>
    <row r="50" spans="6:17">
      <c r="H50" s="66"/>
      <c r="I50" s="66"/>
      <c r="J50" s="66"/>
      <c r="K50" s="66"/>
    </row>
    <row r="51" spans="6:17">
      <c r="H51" s="66"/>
      <c r="I51" s="66"/>
      <c r="J51" s="66"/>
      <c r="K51" s="66"/>
    </row>
    <row r="52" spans="6:17">
      <c r="H52" s="66"/>
      <c r="I52" s="66"/>
      <c r="J52" s="66"/>
      <c r="K52" s="66"/>
    </row>
    <row r="56" spans="6:17" hidden="1"/>
    <row r="57" spans="6:17" hidden="1"/>
    <row r="58" spans="6:17" hidden="1"/>
    <row r="59" spans="6:17" hidden="1"/>
    <row r="60" spans="6:17" hidden="1"/>
    <row r="61" spans="6:17" hidden="1"/>
    <row r="62" spans="6:17" hidden="1"/>
    <row r="63" spans="6:17" hidden="1"/>
    <row r="64" spans="6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</sheetData>
  <mergeCells count="35">
    <mergeCell ref="B33:C33"/>
    <mergeCell ref="A41:C41"/>
    <mergeCell ref="D41:E41"/>
    <mergeCell ref="A42:C42"/>
    <mergeCell ref="D27:E27"/>
    <mergeCell ref="D29:E29"/>
    <mergeCell ref="D30:E30"/>
    <mergeCell ref="B31:C31"/>
    <mergeCell ref="D31:E31"/>
    <mergeCell ref="B32:C32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1:Q1"/>
    <mergeCell ref="A2:Q2"/>
    <mergeCell ref="D5:E5"/>
    <mergeCell ref="D6:E6"/>
    <mergeCell ref="D7:E7"/>
    <mergeCell ref="D8:E8"/>
  </mergeCells>
  <conditionalFormatting sqref="F38:R38">
    <cfRule type="expression" dxfId="0" priority="1" stopIfTrue="1">
      <formula>ABS(F38)&gt;0.1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B407-51D6-40C6-837F-DCAF4EA390FE}">
  <sheetPr>
    <tabColor theme="8" tint="-0.249977111117893"/>
  </sheetPr>
  <dimension ref="A1:T503"/>
  <sheetViews>
    <sheetView zoomScaleNormal="100" zoomScaleSheetLayoutView="100" workbookViewId="0">
      <pane xSplit="4" ySplit="5" topLeftCell="E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3984375" defaultRowHeight="12.75" outlineLevelRow="2" outlineLevelCol="1"/>
  <cols>
    <col min="1" max="1" width="5" style="84" customWidth="1"/>
    <col min="2" max="2" width="46.1328125" customWidth="1"/>
    <col min="3" max="3" width="33.59765625" hidden="1" customWidth="1" outlineLevel="1"/>
    <col min="4" max="4" width="13.3984375" bestFit="1" customWidth="1" collapsed="1"/>
    <col min="5" max="5" width="13.73046875" customWidth="1"/>
    <col min="6" max="6" width="12.73046875" customWidth="1"/>
    <col min="7" max="7" width="12.3984375" customWidth="1"/>
    <col min="8" max="8" width="12.59765625" customWidth="1"/>
    <col min="9" max="9" width="12.1328125" customWidth="1"/>
    <col min="10" max="10" width="12.59765625" customWidth="1"/>
    <col min="11" max="16" width="12.73046875" customWidth="1"/>
    <col min="17" max="17" width="2.73046875" hidden="1" customWidth="1" outlineLevel="1"/>
    <col min="18" max="18" width="14.265625" hidden="1" customWidth="1" outlineLevel="1"/>
    <col min="19" max="19" width="11.3984375" collapsed="1"/>
    <col min="20" max="20" width="13.265625" bestFit="1" customWidth="1"/>
  </cols>
  <sheetData>
    <row r="1" spans="1:18" ht="13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3.15">
      <c r="A2" s="1" t="s">
        <v>39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8.25" customHeight="1">
      <c r="A3"/>
    </row>
    <row r="4" spans="1:18">
      <c r="A4" s="70" t="s">
        <v>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8" ht="13.15">
      <c r="A5" s="72" t="s">
        <v>3</v>
      </c>
      <c r="C5" t="s">
        <v>40</v>
      </c>
      <c r="D5" s="73" t="s">
        <v>5</v>
      </c>
      <c r="E5" s="10">
        <v>44592</v>
      </c>
      <c r="F5" s="10">
        <f t="shared" ref="F5:P5" si="0">EOMONTH(E5,1)</f>
        <v>44620</v>
      </c>
      <c r="G5" s="10">
        <f t="shared" si="0"/>
        <v>44651</v>
      </c>
      <c r="H5" s="10">
        <f t="shared" si="0"/>
        <v>44681</v>
      </c>
      <c r="I5" s="10">
        <f t="shared" si="0"/>
        <v>44712</v>
      </c>
      <c r="J5" s="10">
        <f t="shared" si="0"/>
        <v>44742</v>
      </c>
      <c r="K5" s="10">
        <f t="shared" si="0"/>
        <v>44773</v>
      </c>
      <c r="L5" s="10">
        <f t="shared" si="0"/>
        <v>44804</v>
      </c>
      <c r="M5" s="10">
        <f t="shared" si="0"/>
        <v>44834</v>
      </c>
      <c r="N5" s="10">
        <f t="shared" si="0"/>
        <v>44865</v>
      </c>
      <c r="O5" s="10">
        <f t="shared" si="0"/>
        <v>44895</v>
      </c>
      <c r="P5" s="10">
        <f t="shared" si="0"/>
        <v>44926</v>
      </c>
      <c r="Q5" s="74"/>
      <c r="R5" s="10" t="s">
        <v>41</v>
      </c>
    </row>
    <row r="6" spans="1:18" ht="13.15">
      <c r="A6" s="70"/>
      <c r="B6" s="75" t="s">
        <v>42</v>
      </c>
      <c r="C6" s="76"/>
    </row>
    <row r="7" spans="1:18">
      <c r="A7" s="70">
        <f>A6+1</f>
        <v>1</v>
      </c>
      <c r="B7" s="2" t="s">
        <v>43</v>
      </c>
      <c r="C7" s="4"/>
      <c r="D7" s="77">
        <f>SUM(E7:P7)</f>
        <v>5672608.5875000022</v>
      </c>
      <c r="E7" s="77">
        <f>E24-SUM(E8:E23)</f>
        <v>2065904.616799999</v>
      </c>
      <c r="F7" s="77">
        <f t="shared" ref="F7:P7" si="1">F24-SUM(F8:F23)</f>
        <v>2293064.8536000028</v>
      </c>
      <c r="G7" s="77">
        <f t="shared" si="1"/>
        <v>1313639.1171000004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0</v>
      </c>
      <c r="P7" s="77">
        <f t="shared" si="1"/>
        <v>0</v>
      </c>
      <c r="Q7" s="78"/>
      <c r="R7" s="79">
        <f t="shared" ref="R7:R23" si="2">SUM(E7:P7)</f>
        <v>5672608.5875000022</v>
      </c>
    </row>
    <row r="8" spans="1:18">
      <c r="A8" s="70">
        <v>2</v>
      </c>
      <c r="B8" s="80" t="s">
        <v>44</v>
      </c>
      <c r="C8" s="81">
        <v>100096</v>
      </c>
      <c r="D8" s="77">
        <f t="shared" ref="D8:D23" si="3">SUM(E8:P8)</f>
        <v>3717999.99</v>
      </c>
      <c r="E8" s="82">
        <f>'[1]Input Tab'!C19</f>
        <v>1239333.33</v>
      </c>
      <c r="F8" s="82">
        <f>'[1]Input Tab'!D19</f>
        <v>1239333.33</v>
      </c>
      <c r="G8" s="82">
        <f>'[1]Input Tab'!E19</f>
        <v>1239333.33</v>
      </c>
      <c r="H8" s="82">
        <f>'[1]Input Tab'!F19</f>
        <v>0</v>
      </c>
      <c r="I8" s="82">
        <f>'[1]Input Tab'!G19</f>
        <v>0</v>
      </c>
      <c r="J8" s="82">
        <f>'[1]Input Tab'!H19</f>
        <v>0</v>
      </c>
      <c r="K8" s="82">
        <f>'[1]Input Tab'!I19</f>
        <v>0</v>
      </c>
      <c r="L8" s="82">
        <f>'[1]Input Tab'!J19</f>
        <v>0</v>
      </c>
      <c r="M8" s="82">
        <f>'[1]Input Tab'!K19</f>
        <v>0</v>
      </c>
      <c r="N8" s="82">
        <f>'[1]Input Tab'!L19</f>
        <v>0</v>
      </c>
      <c r="O8" s="82">
        <f>'[1]Input Tab'!M19</f>
        <v>0</v>
      </c>
      <c r="P8" s="82">
        <f>'[1]Input Tab'!N19</f>
        <v>0</v>
      </c>
      <c r="Q8" s="78"/>
      <c r="R8" s="79">
        <f t="shared" si="2"/>
        <v>3717999.99</v>
      </c>
    </row>
    <row r="9" spans="1:18">
      <c r="A9" s="70">
        <v>3</v>
      </c>
      <c r="B9" s="80" t="s">
        <v>45</v>
      </c>
      <c r="C9" s="81">
        <v>107240</v>
      </c>
      <c r="D9" s="77">
        <f t="shared" si="3"/>
        <v>689482.23999999999</v>
      </c>
      <c r="E9" s="82">
        <f>'[1]Input Tab'!C20</f>
        <v>275710.40999999997</v>
      </c>
      <c r="F9" s="82">
        <f>'[1]Input Tab'!D20</f>
        <v>234857.57</v>
      </c>
      <c r="G9" s="82">
        <f>'[1]Input Tab'!E20</f>
        <v>178914.26</v>
      </c>
      <c r="H9" s="82">
        <f>'[1]Input Tab'!F20</f>
        <v>0</v>
      </c>
      <c r="I9" s="82">
        <f>'[1]Input Tab'!G20</f>
        <v>0</v>
      </c>
      <c r="J9" s="82">
        <f>'[1]Input Tab'!H20</f>
        <v>0</v>
      </c>
      <c r="K9" s="82">
        <f>'[1]Input Tab'!I20</f>
        <v>0</v>
      </c>
      <c r="L9" s="82">
        <f>'[1]Input Tab'!J20</f>
        <v>0</v>
      </c>
      <c r="M9" s="82">
        <f>'[1]Input Tab'!K20</f>
        <v>0</v>
      </c>
      <c r="N9" s="82">
        <f>'[1]Input Tab'!L20</f>
        <v>0</v>
      </c>
      <c r="O9" s="82">
        <f>'[1]Input Tab'!M20</f>
        <v>0</v>
      </c>
      <c r="P9" s="82">
        <f>'[1]Input Tab'!N20</f>
        <v>0</v>
      </c>
      <c r="Q9" s="78"/>
      <c r="R9" s="79">
        <f>SUM(E9:P9)</f>
        <v>689482.23999999999</v>
      </c>
    </row>
    <row r="10" spans="1:18">
      <c r="A10" s="70">
        <v>4</v>
      </c>
      <c r="B10" s="2" t="s">
        <v>46</v>
      </c>
      <c r="C10" s="4">
        <v>100131</v>
      </c>
      <c r="D10" s="77">
        <f t="shared" si="3"/>
        <v>563487</v>
      </c>
      <c r="E10" s="82">
        <f>'[1]Input Tab'!C21</f>
        <v>187829</v>
      </c>
      <c r="F10" s="82">
        <f>'[1]Input Tab'!D21</f>
        <v>187829</v>
      </c>
      <c r="G10" s="82">
        <f>'[1]Input Tab'!E21</f>
        <v>187829</v>
      </c>
      <c r="H10" s="82">
        <f>'[1]Input Tab'!F21</f>
        <v>0</v>
      </c>
      <c r="I10" s="82">
        <f>'[1]Input Tab'!G21</f>
        <v>0</v>
      </c>
      <c r="J10" s="82">
        <f>'[1]Input Tab'!H21</f>
        <v>0</v>
      </c>
      <c r="K10" s="82">
        <f>'[1]Input Tab'!I21</f>
        <v>0</v>
      </c>
      <c r="L10" s="82">
        <f>'[1]Input Tab'!J21</f>
        <v>0</v>
      </c>
      <c r="M10" s="82">
        <f>'[1]Input Tab'!K21</f>
        <v>0</v>
      </c>
      <c r="N10" s="82">
        <f>'[1]Input Tab'!L21</f>
        <v>0</v>
      </c>
      <c r="O10" s="82">
        <f>'[1]Input Tab'!M21</f>
        <v>0</v>
      </c>
      <c r="P10" s="82">
        <f>'[1]Input Tab'!N21</f>
        <v>0</v>
      </c>
      <c r="Q10" s="78"/>
      <c r="R10" s="79">
        <f t="shared" si="2"/>
        <v>563487</v>
      </c>
    </row>
    <row r="11" spans="1:18" ht="13.5" customHeight="1">
      <c r="A11" s="70">
        <v>5</v>
      </c>
      <c r="B11" s="2" t="s">
        <v>47</v>
      </c>
      <c r="C11" s="4">
        <v>100085</v>
      </c>
      <c r="D11" s="77">
        <f t="shared" si="3"/>
        <v>4288614.12</v>
      </c>
      <c r="E11" s="83">
        <f>'[1]Input Tab'!C22</f>
        <v>1429538.04</v>
      </c>
      <c r="F11" s="83">
        <f>'[1]Input Tab'!D22</f>
        <v>1429538.04</v>
      </c>
      <c r="G11" s="83">
        <f>'[1]Input Tab'!E22</f>
        <v>1429538.04</v>
      </c>
      <c r="H11" s="83">
        <f>'[1]Input Tab'!F22</f>
        <v>0</v>
      </c>
      <c r="I11" s="83">
        <f>'[1]Input Tab'!G22</f>
        <v>0</v>
      </c>
      <c r="J11" s="83">
        <f>'[1]Input Tab'!H22</f>
        <v>0</v>
      </c>
      <c r="K11" s="83">
        <f>'[1]Input Tab'!I22</f>
        <v>0</v>
      </c>
      <c r="L11" s="83">
        <f>'[1]Input Tab'!J22</f>
        <v>0</v>
      </c>
      <c r="M11" s="83">
        <f>'[1]Input Tab'!K22</f>
        <v>0</v>
      </c>
      <c r="N11" s="83">
        <f>'[1]Input Tab'!L22</f>
        <v>0</v>
      </c>
      <c r="O11" s="83">
        <f>'[1]Input Tab'!M22</f>
        <v>0</v>
      </c>
      <c r="P11" s="83">
        <f>'[1]Input Tab'!N22</f>
        <v>0</v>
      </c>
      <c r="Q11" s="78"/>
      <c r="R11" s="79">
        <f t="shared" si="2"/>
        <v>4288614.12</v>
      </c>
    </row>
    <row r="12" spans="1:18" ht="14.25">
      <c r="A12" s="70">
        <f>A11+1</f>
        <v>6</v>
      </c>
      <c r="B12" s="2" t="s">
        <v>48</v>
      </c>
      <c r="C12" s="84" t="s">
        <v>49</v>
      </c>
      <c r="D12" s="77">
        <f t="shared" si="3"/>
        <v>0</v>
      </c>
      <c r="E12" s="83">
        <f>'[1]Input Tab'!C23</f>
        <v>0</v>
      </c>
      <c r="F12" s="83">
        <f>'[1]Input Tab'!D23</f>
        <v>0</v>
      </c>
      <c r="G12" s="83">
        <f>'[1]Input Tab'!E23</f>
        <v>0</v>
      </c>
      <c r="H12" s="83">
        <f>'[1]Input Tab'!F23</f>
        <v>0</v>
      </c>
      <c r="I12" s="83">
        <f>'[1]Input Tab'!G23</f>
        <v>0</v>
      </c>
      <c r="J12" s="83">
        <f>'[1]Input Tab'!H23</f>
        <v>0</v>
      </c>
      <c r="K12" s="83">
        <f>'[1]Input Tab'!I23</f>
        <v>0</v>
      </c>
      <c r="L12" s="83">
        <f>'[1]Input Tab'!J23</f>
        <v>0</v>
      </c>
      <c r="M12" s="82">
        <f>'[1]Input Tab'!K23</f>
        <v>0</v>
      </c>
      <c r="N12" s="82">
        <f>'[1]Input Tab'!L23</f>
        <v>0</v>
      </c>
      <c r="O12" s="83">
        <f>'[1]Input Tab'!M23</f>
        <v>0</v>
      </c>
      <c r="P12" s="83">
        <f>'[1]Input Tab'!N23</f>
        <v>0</v>
      </c>
      <c r="Q12" s="78"/>
      <c r="R12" s="79">
        <f t="shared" si="2"/>
        <v>0</v>
      </c>
    </row>
    <row r="13" spans="1:18">
      <c r="A13" s="70">
        <f t="shared" ref="A13:A16" si="4">A12+1</f>
        <v>7</v>
      </c>
      <c r="B13" t="s">
        <v>50</v>
      </c>
      <c r="C13" s="84">
        <v>100137</v>
      </c>
      <c r="D13" s="77">
        <f t="shared" si="3"/>
        <v>4613.8500000000004</v>
      </c>
      <c r="E13" s="83">
        <f>'[1]Input Tab'!C24</f>
        <v>1402.15</v>
      </c>
      <c r="F13" s="83">
        <f>'[1]Input Tab'!D24</f>
        <v>1616.35</v>
      </c>
      <c r="G13" s="83">
        <f>'[1]Input Tab'!E24</f>
        <v>1595.35</v>
      </c>
      <c r="H13" s="83">
        <f>'[1]Input Tab'!F24</f>
        <v>0</v>
      </c>
      <c r="I13" s="83">
        <f>'[1]Input Tab'!G24</f>
        <v>0</v>
      </c>
      <c r="J13" s="83">
        <f>'[1]Input Tab'!H24</f>
        <v>0</v>
      </c>
      <c r="K13" s="83">
        <f>'[1]Input Tab'!I24</f>
        <v>0</v>
      </c>
      <c r="L13" s="83">
        <f>'[1]Input Tab'!J24</f>
        <v>0</v>
      </c>
      <c r="M13" s="83">
        <f>'[1]Input Tab'!K24</f>
        <v>0</v>
      </c>
      <c r="N13" s="83">
        <f>'[1]Input Tab'!L24</f>
        <v>0</v>
      </c>
      <c r="O13" s="83">
        <f>'[1]Input Tab'!M24</f>
        <v>0</v>
      </c>
      <c r="P13" s="83">
        <f>'[1]Input Tab'!N24</f>
        <v>0</v>
      </c>
      <c r="Q13" s="78"/>
      <c r="R13" s="79">
        <f t="shared" si="2"/>
        <v>4613.8500000000004</v>
      </c>
    </row>
    <row r="14" spans="1:18">
      <c r="A14" s="70">
        <f t="shared" si="4"/>
        <v>8</v>
      </c>
      <c r="B14" t="s">
        <v>51</v>
      </c>
      <c r="C14" s="4" t="s">
        <v>52</v>
      </c>
      <c r="D14" s="77">
        <f t="shared" si="3"/>
        <v>337589.02</v>
      </c>
      <c r="E14" s="83">
        <f>'[1]Input Tab'!C25</f>
        <v>101738.28</v>
      </c>
      <c r="F14" s="83">
        <f>'[1]Input Tab'!D25</f>
        <v>113617.67</v>
      </c>
      <c r="G14" s="83">
        <f>'[1]Input Tab'!E25</f>
        <v>122233.07</v>
      </c>
      <c r="H14" s="83">
        <f>'[1]Input Tab'!F25</f>
        <v>0</v>
      </c>
      <c r="I14" s="83">
        <f>'[1]Input Tab'!G25</f>
        <v>0</v>
      </c>
      <c r="J14" s="83">
        <f>'[1]Input Tab'!H25</f>
        <v>0</v>
      </c>
      <c r="K14" s="83">
        <f>'[1]Input Tab'!I25</f>
        <v>0</v>
      </c>
      <c r="L14" s="83">
        <f>'[1]Input Tab'!J25</f>
        <v>0</v>
      </c>
      <c r="M14" s="83">
        <f>'[1]Input Tab'!K25</f>
        <v>0</v>
      </c>
      <c r="N14" s="83">
        <f>'[1]Input Tab'!L25</f>
        <v>0</v>
      </c>
      <c r="O14" s="83">
        <f>'[1]Input Tab'!M25</f>
        <v>0</v>
      </c>
      <c r="P14" s="83">
        <f>'[1]Input Tab'!N25</f>
        <v>0</v>
      </c>
      <c r="Q14" s="78"/>
      <c r="R14" s="79">
        <f t="shared" si="2"/>
        <v>337589.02</v>
      </c>
    </row>
    <row r="15" spans="1:18">
      <c r="A15" s="70">
        <f t="shared" si="4"/>
        <v>9</v>
      </c>
      <c r="B15" s="2" t="s">
        <v>53</v>
      </c>
      <c r="C15" s="4">
        <v>185895</v>
      </c>
      <c r="D15" s="77">
        <f t="shared" si="3"/>
        <v>336609.28000000003</v>
      </c>
      <c r="E15" s="83">
        <f>'[1]Input Tab'!C35</f>
        <v>139683.65</v>
      </c>
      <c r="F15" s="83">
        <f>'[1]Input Tab'!D35</f>
        <v>106342.55</v>
      </c>
      <c r="G15" s="83">
        <f>'[1]Input Tab'!E35</f>
        <v>90583.08</v>
      </c>
      <c r="H15" s="83">
        <f>'[1]Input Tab'!F35</f>
        <v>0</v>
      </c>
      <c r="I15" s="83">
        <f>'[1]Input Tab'!G35</f>
        <v>0</v>
      </c>
      <c r="J15" s="83">
        <f>'[1]Input Tab'!H35</f>
        <v>0</v>
      </c>
      <c r="K15" s="83">
        <f>'[1]Input Tab'!I35</f>
        <v>0</v>
      </c>
      <c r="L15" s="83">
        <f>'[1]Input Tab'!J35</f>
        <v>0</v>
      </c>
      <c r="M15" s="83">
        <f>'[1]Input Tab'!K35</f>
        <v>0</v>
      </c>
      <c r="N15" s="83">
        <f>'[1]Input Tab'!L35</f>
        <v>0</v>
      </c>
      <c r="O15" s="83">
        <f>'[1]Input Tab'!M35</f>
        <v>0</v>
      </c>
      <c r="P15" s="83">
        <f>'[1]Input Tab'!N35</f>
        <v>0</v>
      </c>
      <c r="Q15" s="78"/>
      <c r="R15" s="79">
        <f t="shared" si="2"/>
        <v>336609.28000000003</v>
      </c>
    </row>
    <row r="16" spans="1:18" ht="12.75" customHeight="1">
      <c r="A16" s="70">
        <f t="shared" si="4"/>
        <v>10</v>
      </c>
      <c r="B16" t="s">
        <v>54</v>
      </c>
      <c r="C16" s="4">
        <v>186298</v>
      </c>
      <c r="D16" s="77">
        <f t="shared" si="3"/>
        <v>702573.76</v>
      </c>
      <c r="E16" s="83">
        <f>'[1]Input Tab'!C36</f>
        <v>255050.88</v>
      </c>
      <c r="F16" s="83">
        <f>'[1]Input Tab'!D36</f>
        <v>195545.28</v>
      </c>
      <c r="G16" s="83">
        <f>'[1]Input Tab'!E36</f>
        <v>251977.60000000001</v>
      </c>
      <c r="H16" s="83">
        <f>'[1]Input Tab'!F36</f>
        <v>0</v>
      </c>
      <c r="I16" s="83">
        <f>'[1]Input Tab'!G36</f>
        <v>0</v>
      </c>
      <c r="J16" s="83">
        <f>'[1]Input Tab'!H36</f>
        <v>0</v>
      </c>
      <c r="K16" s="83">
        <f>'[1]Input Tab'!I36</f>
        <v>0</v>
      </c>
      <c r="L16" s="83">
        <f>'[1]Input Tab'!J36</f>
        <v>0</v>
      </c>
      <c r="M16" s="83">
        <f>'[1]Input Tab'!K36</f>
        <v>0</v>
      </c>
      <c r="N16" s="83">
        <f>'[1]Input Tab'!L36</f>
        <v>0</v>
      </c>
      <c r="O16" s="83">
        <f>'[1]Input Tab'!M36</f>
        <v>0</v>
      </c>
      <c r="P16" s="83">
        <f>'[1]Input Tab'!N36</f>
        <v>0</v>
      </c>
      <c r="Q16" s="78"/>
      <c r="R16" s="79">
        <f t="shared" si="2"/>
        <v>702573.76</v>
      </c>
    </row>
    <row r="17" spans="1:20">
      <c r="A17" s="70">
        <f>A16+1</f>
        <v>11</v>
      </c>
      <c r="B17" s="2" t="s">
        <v>55</v>
      </c>
      <c r="C17" s="4">
        <v>223063</v>
      </c>
      <c r="D17" s="77">
        <f t="shared" si="3"/>
        <v>1391435.48</v>
      </c>
      <c r="E17" s="83">
        <f>'[1]Input Tab'!C37</f>
        <v>443909.2</v>
      </c>
      <c r="F17" s="83">
        <f>'[1]Input Tab'!D37</f>
        <v>520423.76</v>
      </c>
      <c r="G17" s="83">
        <f>'[1]Input Tab'!E37</f>
        <v>427102.52</v>
      </c>
      <c r="H17" s="83">
        <f>'[1]Input Tab'!F37</f>
        <v>0</v>
      </c>
      <c r="I17" s="83">
        <f>'[1]Input Tab'!G37</f>
        <v>0</v>
      </c>
      <c r="J17" s="83">
        <f>'[1]Input Tab'!H37</f>
        <v>0</v>
      </c>
      <c r="K17" s="83">
        <f>'[1]Input Tab'!I37</f>
        <v>0</v>
      </c>
      <c r="L17" s="83">
        <f>'[1]Input Tab'!J37</f>
        <v>0</v>
      </c>
      <c r="M17" s="83">
        <f>'[1]Input Tab'!K37</f>
        <v>0</v>
      </c>
      <c r="N17" s="83">
        <f>'[1]Input Tab'!L37</f>
        <v>0</v>
      </c>
      <c r="O17" s="83">
        <f>'[1]Input Tab'!M37</f>
        <v>0</v>
      </c>
      <c r="P17" s="83">
        <f>'[1]Input Tab'!N37</f>
        <v>0</v>
      </c>
      <c r="Q17" s="78"/>
      <c r="R17" s="79">
        <f t="shared" si="2"/>
        <v>1391435.48</v>
      </c>
    </row>
    <row r="18" spans="1:20">
      <c r="A18" s="70">
        <f>A17+1</f>
        <v>12</v>
      </c>
      <c r="B18" s="2" t="s">
        <v>56</v>
      </c>
      <c r="C18" s="4">
        <v>102475</v>
      </c>
      <c r="D18" s="77">
        <f t="shared" si="3"/>
        <v>3381.69</v>
      </c>
      <c r="E18" s="82">
        <f>'[1]Input Tab'!C38</f>
        <v>1416.5</v>
      </c>
      <c r="F18" s="82">
        <f>'[1]Input Tab'!D38</f>
        <v>1965.19</v>
      </c>
      <c r="G18" s="82">
        <f>'[1]Input Tab'!E38</f>
        <v>0</v>
      </c>
      <c r="H18" s="82">
        <f>'[1]Input Tab'!F38</f>
        <v>0</v>
      </c>
      <c r="I18" s="82">
        <f>'[1]Input Tab'!G38</f>
        <v>0</v>
      </c>
      <c r="J18" s="82">
        <f>'[1]Input Tab'!H38</f>
        <v>0</v>
      </c>
      <c r="K18" s="82">
        <f>'[1]Input Tab'!I38</f>
        <v>0</v>
      </c>
      <c r="L18" s="82">
        <f>'[1]Input Tab'!J38</f>
        <v>0</v>
      </c>
      <c r="M18" s="82">
        <f>'[1]Input Tab'!K38</f>
        <v>0</v>
      </c>
      <c r="N18" s="82">
        <f>'[1]Input Tab'!L38</f>
        <v>0</v>
      </c>
      <c r="O18" s="82">
        <f>'[1]Input Tab'!M38</f>
        <v>0</v>
      </c>
      <c r="P18" s="82">
        <f>'[1]Input Tab'!N38</f>
        <v>0</v>
      </c>
      <c r="Q18" s="78"/>
      <c r="R18" s="79">
        <f t="shared" si="2"/>
        <v>3381.69</v>
      </c>
    </row>
    <row r="19" spans="1:20">
      <c r="A19" s="70">
        <f>A18+1</f>
        <v>13</v>
      </c>
      <c r="B19" s="2" t="s">
        <v>57</v>
      </c>
      <c r="C19" s="4" t="s">
        <v>58</v>
      </c>
      <c r="D19" s="77">
        <f t="shared" si="3"/>
        <v>7420063.9799999995</v>
      </c>
      <c r="E19" s="82">
        <f>'[1]Input Tab'!C39</f>
        <v>2536804.73</v>
      </c>
      <c r="F19" s="82">
        <f>'[1]Input Tab'!D39</f>
        <v>2459575.0499999998</v>
      </c>
      <c r="G19" s="82">
        <f>'[1]Input Tab'!E39</f>
        <v>2423684.2000000002</v>
      </c>
      <c r="H19" s="82">
        <f>'[1]Input Tab'!F39</f>
        <v>0</v>
      </c>
      <c r="I19" s="82">
        <f>'[1]Input Tab'!G39</f>
        <v>0</v>
      </c>
      <c r="J19" s="82">
        <f>'[1]Input Tab'!H39</f>
        <v>0</v>
      </c>
      <c r="K19" s="82">
        <f>'[1]Input Tab'!I39</f>
        <v>0</v>
      </c>
      <c r="L19" s="82">
        <f>'[1]Input Tab'!J39</f>
        <v>0</v>
      </c>
      <c r="M19" s="82">
        <f>'[1]Input Tab'!K39</f>
        <v>0</v>
      </c>
      <c r="N19" s="82">
        <f>'[1]Input Tab'!L39</f>
        <v>0</v>
      </c>
      <c r="O19" s="82">
        <f>'[1]Input Tab'!M39</f>
        <v>0</v>
      </c>
      <c r="P19" s="82">
        <f>'[1]Input Tab'!N39</f>
        <v>0</v>
      </c>
      <c r="Q19" s="78"/>
      <c r="R19" s="79">
        <f t="shared" si="2"/>
        <v>7420063.9799999995</v>
      </c>
    </row>
    <row r="20" spans="1:20">
      <c r="A20" s="70">
        <f>A19+1</f>
        <v>14</v>
      </c>
      <c r="B20" s="2" t="s">
        <v>59</v>
      </c>
      <c r="C20" s="4">
        <v>181462</v>
      </c>
      <c r="D20" s="77">
        <f t="shared" si="3"/>
        <v>6242319.7199999997</v>
      </c>
      <c r="E20" s="82">
        <f>'[1]Input Tab'!C40</f>
        <v>1970703.54</v>
      </c>
      <c r="F20" s="82">
        <f>'[1]Input Tab'!D40</f>
        <v>2210056.29</v>
      </c>
      <c r="G20" s="82">
        <f>'[1]Input Tab'!E40</f>
        <v>2061559.89</v>
      </c>
      <c r="H20" s="82">
        <f>'[1]Input Tab'!F40</f>
        <v>0</v>
      </c>
      <c r="I20" s="82">
        <f>'[1]Input Tab'!G40</f>
        <v>0</v>
      </c>
      <c r="J20" s="82">
        <f>'[1]Input Tab'!H40</f>
        <v>0</v>
      </c>
      <c r="K20" s="82">
        <f>'[1]Input Tab'!I40</f>
        <v>0</v>
      </c>
      <c r="L20" s="82">
        <f>'[1]Input Tab'!J40</f>
        <v>0</v>
      </c>
      <c r="M20" s="82">
        <f>'[1]Input Tab'!K40</f>
        <v>0</v>
      </c>
      <c r="N20" s="82">
        <f>'[1]Input Tab'!L40</f>
        <v>0</v>
      </c>
      <c r="O20" s="82">
        <f>'[1]Input Tab'!M40</f>
        <v>0</v>
      </c>
      <c r="P20" s="82">
        <f>'[1]Input Tab'!N40</f>
        <v>0</v>
      </c>
      <c r="Q20" s="78"/>
      <c r="R20" s="79">
        <f t="shared" si="2"/>
        <v>6242319.7199999997</v>
      </c>
    </row>
    <row r="21" spans="1:20">
      <c r="A21" s="70">
        <f t="shared" ref="A21:A24" si="5">A20+1</f>
        <v>15</v>
      </c>
      <c r="B21" s="2" t="s">
        <v>60</v>
      </c>
      <c r="C21" s="4"/>
      <c r="D21" s="77">
        <f t="shared" si="3"/>
        <v>2888104.7800000003</v>
      </c>
      <c r="E21" s="82">
        <f>'[1]Input Tab'!C41</f>
        <v>665883.91</v>
      </c>
      <c r="F21" s="82">
        <f>'[1]Input Tab'!D41</f>
        <v>984063.69</v>
      </c>
      <c r="G21" s="82">
        <f>'[1]Input Tab'!E41</f>
        <v>1238157.18</v>
      </c>
      <c r="H21" s="82">
        <f>'[1]Input Tab'!F41</f>
        <v>0</v>
      </c>
      <c r="I21" s="82">
        <f>'[1]Input Tab'!G41</f>
        <v>0</v>
      </c>
      <c r="J21" s="82">
        <f>'[1]Input Tab'!H41</f>
        <v>0</v>
      </c>
      <c r="K21" s="82">
        <f>'[1]Input Tab'!I41</f>
        <v>0</v>
      </c>
      <c r="L21" s="82">
        <f>'[1]Input Tab'!J41</f>
        <v>0</v>
      </c>
      <c r="M21" s="82">
        <f>'[1]Input Tab'!K41</f>
        <v>0</v>
      </c>
      <c r="N21" s="82">
        <f>'[1]Input Tab'!L41</f>
        <v>0</v>
      </c>
      <c r="O21" s="82">
        <f>'[1]Input Tab'!M41</f>
        <v>0</v>
      </c>
      <c r="P21" s="82">
        <f>'[1]Input Tab'!N41</f>
        <v>0</v>
      </c>
      <c r="Q21" s="78"/>
      <c r="R21" s="79"/>
    </row>
    <row r="22" spans="1:20">
      <c r="A22" s="70">
        <f t="shared" si="5"/>
        <v>16</v>
      </c>
      <c r="B22" t="s">
        <v>61</v>
      </c>
      <c r="C22" s="84"/>
      <c r="D22" s="77">
        <f t="shared" si="3"/>
        <v>328399</v>
      </c>
      <c r="E22" s="85">
        <f>E36</f>
        <v>109528</v>
      </c>
      <c r="F22" s="85">
        <f>F36</f>
        <v>121472</v>
      </c>
      <c r="G22" s="85">
        <f t="shared" ref="G22:P22" si="6">G36</f>
        <v>97399</v>
      </c>
      <c r="H22" s="85">
        <f t="shared" si="6"/>
        <v>0</v>
      </c>
      <c r="I22" s="85">
        <f t="shared" si="6"/>
        <v>0</v>
      </c>
      <c r="J22" s="85">
        <f t="shared" si="6"/>
        <v>0</v>
      </c>
      <c r="K22" s="85">
        <f t="shared" si="6"/>
        <v>0</v>
      </c>
      <c r="L22" s="85">
        <f t="shared" si="6"/>
        <v>0</v>
      </c>
      <c r="M22" s="85">
        <f>M36</f>
        <v>0</v>
      </c>
      <c r="N22" s="85">
        <f>N36</f>
        <v>0</v>
      </c>
      <c r="O22" s="85">
        <f t="shared" si="6"/>
        <v>0</v>
      </c>
      <c r="P22" s="85">
        <f t="shared" si="6"/>
        <v>0</v>
      </c>
      <c r="Q22" s="85"/>
      <c r="R22" s="79">
        <f t="shared" si="2"/>
        <v>328399</v>
      </c>
    </row>
    <row r="23" spans="1:20">
      <c r="A23" s="70">
        <f t="shared" si="5"/>
        <v>17</v>
      </c>
      <c r="B23" s="2" t="s">
        <v>62</v>
      </c>
      <c r="C23" s="4"/>
      <c r="D23" s="77">
        <f t="shared" si="3"/>
        <v>58934</v>
      </c>
      <c r="E23" s="86">
        <f>E34</f>
        <v>55354</v>
      </c>
      <c r="F23" s="86">
        <f>F34</f>
        <v>12212</v>
      </c>
      <c r="G23" s="86">
        <f t="shared" ref="G23:P23" si="7">G34</f>
        <v>-8632</v>
      </c>
      <c r="H23" s="86">
        <f t="shared" si="7"/>
        <v>0</v>
      </c>
      <c r="I23" s="86">
        <f t="shared" si="7"/>
        <v>0</v>
      </c>
      <c r="J23" s="86">
        <f t="shared" si="7"/>
        <v>0</v>
      </c>
      <c r="K23" s="86">
        <f t="shared" si="7"/>
        <v>0</v>
      </c>
      <c r="L23" s="86">
        <f t="shared" si="7"/>
        <v>0</v>
      </c>
      <c r="M23" s="86">
        <f t="shared" si="7"/>
        <v>0</v>
      </c>
      <c r="N23" s="86">
        <f>N34</f>
        <v>0</v>
      </c>
      <c r="O23" s="86">
        <f t="shared" si="7"/>
        <v>0</v>
      </c>
      <c r="P23" s="86">
        <f t="shared" si="7"/>
        <v>0</v>
      </c>
      <c r="Q23" s="86"/>
      <c r="R23" s="79">
        <f t="shared" si="2"/>
        <v>58934</v>
      </c>
    </row>
    <row r="24" spans="1:20" s="92" customFormat="1" ht="13.5" thickBot="1">
      <c r="A24" s="70">
        <f t="shared" si="5"/>
        <v>18</v>
      </c>
      <c r="B24" s="87" t="s">
        <v>63</v>
      </c>
      <c r="C24" s="87"/>
      <c r="D24" s="88">
        <f>SUM(E24:P24)</f>
        <v>34646216.497500002</v>
      </c>
      <c r="E24" s="89">
        <f>E40</f>
        <v>11479790.2368</v>
      </c>
      <c r="F24" s="89">
        <f t="shared" ref="F24:P24" si="8">F40</f>
        <v>12111512.623600001</v>
      </c>
      <c r="G24" s="89">
        <f>G40</f>
        <v>11054913.6371</v>
      </c>
      <c r="H24" s="89">
        <f t="shared" si="8"/>
        <v>0</v>
      </c>
      <c r="I24" s="89">
        <f t="shared" si="8"/>
        <v>0</v>
      </c>
      <c r="J24" s="89">
        <f t="shared" si="8"/>
        <v>0</v>
      </c>
      <c r="K24" s="89">
        <f t="shared" si="8"/>
        <v>0</v>
      </c>
      <c r="L24" s="89">
        <f t="shared" si="8"/>
        <v>0</v>
      </c>
      <c r="M24" s="89">
        <f>M40</f>
        <v>0</v>
      </c>
      <c r="N24" s="89">
        <f>N40</f>
        <v>0</v>
      </c>
      <c r="O24" s="89">
        <f t="shared" si="8"/>
        <v>0</v>
      </c>
      <c r="P24" s="89">
        <f t="shared" si="8"/>
        <v>0</v>
      </c>
      <c r="Q24" s="90"/>
      <c r="R24" s="91">
        <f>SUM(R7:R22)</f>
        <v>31699177.717500001</v>
      </c>
    </row>
    <row r="25" spans="1:20" ht="13.15" thickTop="1">
      <c r="A25" s="70"/>
      <c r="E25" s="93" t="s">
        <v>64</v>
      </c>
      <c r="F25" s="78" t="s">
        <v>64</v>
      </c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20">
      <c r="A26" s="70"/>
      <c r="B26" s="2" t="s">
        <v>65</v>
      </c>
      <c r="C26" s="2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T26" s="94"/>
    </row>
    <row r="27" spans="1:20" outlineLevel="1">
      <c r="A27" s="70"/>
      <c r="B27" s="95" t="s">
        <v>42</v>
      </c>
      <c r="C27" s="95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20" outlineLevel="1">
      <c r="A28" s="70"/>
      <c r="B28">
        <v>555000</v>
      </c>
      <c r="D28" s="78">
        <f>SUM(E28:P28)</f>
        <v>33797305</v>
      </c>
      <c r="E28" s="34">
        <v>11234745</v>
      </c>
      <c r="F28" s="34">
        <v>11928631</v>
      </c>
      <c r="G28" s="34">
        <v>10633929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78"/>
      <c r="R28" s="79">
        <f t="shared" ref="R28:R39" si="9">SUM(E28:P28)</f>
        <v>33797305</v>
      </c>
    </row>
    <row r="29" spans="1:20" outlineLevel="1">
      <c r="A29" s="70"/>
      <c r="B29">
        <v>555030</v>
      </c>
      <c r="D29" s="78">
        <f>SUM(E29:P29)</f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78"/>
      <c r="R29" s="79"/>
    </row>
    <row r="30" spans="1:20" outlineLevel="1">
      <c r="A30" s="70"/>
      <c r="B30">
        <v>555100</v>
      </c>
      <c r="C30" t="s">
        <v>66</v>
      </c>
      <c r="D30" s="78">
        <f t="shared" ref="D30:D39" si="10">SUM(E30:P30)</f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78"/>
      <c r="R30" s="79">
        <f t="shared" si="9"/>
        <v>0</v>
      </c>
    </row>
    <row r="31" spans="1:20" outlineLevel="1">
      <c r="A31" s="70"/>
      <c r="B31" s="2">
        <v>555312</v>
      </c>
      <c r="C31" s="2" t="s">
        <v>67</v>
      </c>
      <c r="D31" s="78">
        <f t="shared" si="10"/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78"/>
      <c r="R31" s="79">
        <f>SUM(E31:P31)</f>
        <v>0</v>
      </c>
    </row>
    <row r="32" spans="1:20" outlineLevel="1">
      <c r="A32" s="70"/>
      <c r="B32">
        <v>555313</v>
      </c>
      <c r="C32" t="s">
        <v>67</v>
      </c>
      <c r="D32" s="78">
        <f t="shared" si="10"/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78"/>
      <c r="R32" s="79">
        <f>SUM(E32:P32)</f>
        <v>0</v>
      </c>
    </row>
    <row r="33" spans="1:18" outlineLevel="1">
      <c r="A33" s="70"/>
      <c r="B33">
        <v>555380</v>
      </c>
      <c r="C33" t="s">
        <v>68</v>
      </c>
      <c r="D33" s="78">
        <f t="shared" si="10"/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78"/>
      <c r="R33" s="79">
        <f>SUM(E33:P33)</f>
        <v>0</v>
      </c>
    </row>
    <row r="34" spans="1:18" outlineLevel="1">
      <c r="A34" s="70"/>
      <c r="B34">
        <v>555550</v>
      </c>
      <c r="C34" t="s">
        <v>69</v>
      </c>
      <c r="D34" s="78">
        <f t="shared" si="10"/>
        <v>58934</v>
      </c>
      <c r="E34" s="34">
        <v>55354</v>
      </c>
      <c r="F34" s="34">
        <v>12212</v>
      </c>
      <c r="G34" s="34">
        <v>-8632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78"/>
      <c r="R34" s="79">
        <f>SUM(E34:P34)</f>
        <v>58934</v>
      </c>
    </row>
    <row r="35" spans="1:18" outlineLevel="1">
      <c r="A35" s="70"/>
      <c r="B35">
        <v>555700</v>
      </c>
      <c r="C35" t="s">
        <v>70</v>
      </c>
      <c r="D35" s="78">
        <f t="shared" si="10"/>
        <v>478954</v>
      </c>
      <c r="E35" s="34">
        <v>84396</v>
      </c>
      <c r="F35" s="34">
        <v>55210</v>
      </c>
      <c r="G35" s="34">
        <v>339348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78"/>
      <c r="R35" s="79">
        <f t="shared" si="9"/>
        <v>478954</v>
      </c>
    </row>
    <row r="36" spans="1:18" outlineLevel="1">
      <c r="A36" s="70"/>
      <c r="B36">
        <v>555710</v>
      </c>
      <c r="C36" t="s">
        <v>71</v>
      </c>
      <c r="D36" s="78">
        <f t="shared" si="10"/>
        <v>328399</v>
      </c>
      <c r="E36" s="34">
        <v>109528</v>
      </c>
      <c r="F36" s="34">
        <v>121472</v>
      </c>
      <c r="G36" s="34">
        <v>97399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78"/>
      <c r="R36" s="79">
        <f t="shared" si="9"/>
        <v>328399</v>
      </c>
    </row>
    <row r="37" spans="1:18" outlineLevel="1">
      <c r="A37" s="70"/>
      <c r="B37">
        <v>555740</v>
      </c>
      <c r="D37" s="78">
        <f t="shared" si="10"/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78"/>
      <c r="R37" s="79"/>
    </row>
    <row r="38" spans="1:18" outlineLevel="1">
      <c r="A38" s="70"/>
      <c r="C38" t="s">
        <v>72</v>
      </c>
      <c r="D38" s="78">
        <f t="shared" si="10"/>
        <v>-17375.502500000002</v>
      </c>
      <c r="E38" s="34">
        <f>-SUM((43092/12)+(1.25*628)-(E53*0.0063))</f>
        <v>-4232.7632000000003</v>
      </c>
      <c r="F38" s="34">
        <f>-SUM((43092/12)+(1.25*2320)-(F53*0.0063))</f>
        <v>-6012.3764000000001</v>
      </c>
      <c r="G38" s="34">
        <f>-SUM((43092/12)+(1.25*3326)-(G53*0.0063))</f>
        <v>-7130.3629000000001</v>
      </c>
      <c r="H38" s="34"/>
      <c r="I38" s="34"/>
      <c r="J38" s="34"/>
      <c r="K38" s="34"/>
      <c r="L38" s="34"/>
      <c r="M38" s="34"/>
      <c r="N38" s="34"/>
      <c r="O38" s="34"/>
      <c r="P38" s="34"/>
      <c r="Q38" s="78"/>
      <c r="R38" s="79"/>
    </row>
    <row r="39" spans="1:18" outlineLevel="1">
      <c r="A39" s="70"/>
      <c r="B39" s="65" t="s">
        <v>73</v>
      </c>
      <c r="C39" s="4" t="s">
        <v>74</v>
      </c>
      <c r="D39" s="96">
        <f t="shared" si="10"/>
        <v>0</v>
      </c>
      <c r="E39" s="97">
        <f>'[1]Input Tab'!C42</f>
        <v>0</v>
      </c>
      <c r="F39" s="97">
        <f>'[1]Input Tab'!D42</f>
        <v>0</v>
      </c>
      <c r="G39" s="97">
        <f>'[1]Input Tab'!E42</f>
        <v>0</v>
      </c>
      <c r="H39" s="97">
        <f>'[1]Input Tab'!F42</f>
        <v>0</v>
      </c>
      <c r="I39" s="97">
        <f>'[1]Input Tab'!G42</f>
        <v>0</v>
      </c>
      <c r="J39" s="97">
        <f>'[1]Input Tab'!H42</f>
        <v>0</v>
      </c>
      <c r="K39" s="97">
        <f>'[1]Input Tab'!I42</f>
        <v>0</v>
      </c>
      <c r="L39" s="97">
        <f>'[1]Input Tab'!J42</f>
        <v>0</v>
      </c>
      <c r="M39" s="97">
        <f>'[1]Input Tab'!K42</f>
        <v>0</v>
      </c>
      <c r="N39" s="97">
        <f>'[1]Input Tab'!L42</f>
        <v>0</v>
      </c>
      <c r="O39" s="97">
        <f>'[1]Input Tab'!M42</f>
        <v>0</v>
      </c>
      <c r="P39" s="97">
        <f>'[1]Input Tab'!N42</f>
        <v>0</v>
      </c>
      <c r="Q39" s="26"/>
      <c r="R39" s="79">
        <f t="shared" si="9"/>
        <v>0</v>
      </c>
    </row>
    <row r="40" spans="1:18" s="92" customFormat="1" ht="13.15" outlineLevel="1">
      <c r="A40" s="6"/>
      <c r="B40" s="98"/>
      <c r="C40" s="98"/>
      <c r="D40" s="99">
        <f>SUM(E40:P40)</f>
        <v>34646216.497500002</v>
      </c>
      <c r="E40" s="99">
        <f t="shared" ref="E40:P40" si="11">SUM(E28:E39)</f>
        <v>11479790.2368</v>
      </c>
      <c r="F40" s="99">
        <f t="shared" si="11"/>
        <v>12111512.623600001</v>
      </c>
      <c r="G40" s="99">
        <f t="shared" si="11"/>
        <v>11054913.6371</v>
      </c>
      <c r="H40" s="99">
        <f t="shared" si="11"/>
        <v>0</v>
      </c>
      <c r="I40" s="99">
        <f t="shared" si="11"/>
        <v>0</v>
      </c>
      <c r="J40" s="99">
        <f t="shared" si="11"/>
        <v>0</v>
      </c>
      <c r="K40" s="99">
        <f t="shared" si="11"/>
        <v>0</v>
      </c>
      <c r="L40" s="99">
        <f t="shared" si="11"/>
        <v>0</v>
      </c>
      <c r="M40" s="99">
        <f t="shared" si="11"/>
        <v>0</v>
      </c>
      <c r="N40" s="99">
        <f t="shared" si="11"/>
        <v>0</v>
      </c>
      <c r="O40" s="99">
        <f t="shared" si="11"/>
        <v>0</v>
      </c>
      <c r="P40" s="99">
        <f t="shared" si="11"/>
        <v>0</v>
      </c>
      <c r="Q40" s="99"/>
      <c r="R40" s="99">
        <f>SUM(R28:R39)</f>
        <v>34663592</v>
      </c>
    </row>
    <row r="41" spans="1:18" ht="13.15">
      <c r="A41" s="70"/>
      <c r="B41" s="98"/>
      <c r="C41" s="9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1:18" ht="19.5" customHeight="1">
      <c r="A42" s="70"/>
      <c r="B42" s="75" t="s">
        <v>75</v>
      </c>
      <c r="C42" s="75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8" ht="12.95" customHeight="1">
      <c r="A43" s="70">
        <f>A24+1</f>
        <v>19</v>
      </c>
      <c r="B43" t="s">
        <v>76</v>
      </c>
      <c r="C43" s="84"/>
      <c r="D43" s="78">
        <f t="shared" ref="D43:D48" si="12">SUM(E43:P43)</f>
        <v>-25033499.34</v>
      </c>
      <c r="E43" s="86">
        <f t="shared" ref="E43:P43" si="13">E48-SUM(E44:E47)</f>
        <v>-8010093.5999999996</v>
      </c>
      <c r="F43" s="86">
        <f t="shared" si="13"/>
        <v>-6147132.0199999996</v>
      </c>
      <c r="G43" s="86">
        <f t="shared" si="13"/>
        <v>-10876273.720000001</v>
      </c>
      <c r="H43" s="86">
        <f t="shared" si="13"/>
        <v>0</v>
      </c>
      <c r="I43" s="86">
        <f t="shared" si="13"/>
        <v>0</v>
      </c>
      <c r="J43" s="86">
        <f t="shared" si="13"/>
        <v>0</v>
      </c>
      <c r="K43" s="86">
        <f t="shared" si="13"/>
        <v>0</v>
      </c>
      <c r="L43" s="86">
        <f t="shared" si="13"/>
        <v>0</v>
      </c>
      <c r="M43" s="86">
        <f t="shared" si="13"/>
        <v>0</v>
      </c>
      <c r="N43" s="86">
        <f t="shared" si="13"/>
        <v>0</v>
      </c>
      <c r="O43" s="86">
        <f t="shared" si="13"/>
        <v>0</v>
      </c>
      <c r="P43" s="86">
        <f t="shared" si="13"/>
        <v>0</v>
      </c>
      <c r="Q43" s="100"/>
      <c r="R43" s="78">
        <f>SUM(E43:P43)</f>
        <v>-25033499.34</v>
      </c>
    </row>
    <row r="44" spans="1:18">
      <c r="A44" s="70">
        <f>A43+1</f>
        <v>20</v>
      </c>
      <c r="B44" t="s">
        <v>77</v>
      </c>
      <c r="C44" s="84" t="s">
        <v>78</v>
      </c>
      <c r="D44" s="78">
        <f t="shared" si="12"/>
        <v>-248572.9</v>
      </c>
      <c r="E44" s="83">
        <f>'[1]Input Tab'!C45</f>
        <v>-91370.92</v>
      </c>
      <c r="F44" s="83">
        <f>'[1]Input Tab'!D45</f>
        <v>-80283.58</v>
      </c>
      <c r="G44" s="83">
        <f>'[1]Input Tab'!E45</f>
        <v>-76918.399999999994</v>
      </c>
      <c r="H44" s="83">
        <f>'[1]Input Tab'!F45</f>
        <v>0</v>
      </c>
      <c r="I44" s="83">
        <f>'[1]Input Tab'!G45</f>
        <v>0</v>
      </c>
      <c r="J44" s="83">
        <f>'[1]Input Tab'!H45</f>
        <v>0</v>
      </c>
      <c r="K44" s="83">
        <f>'[1]Input Tab'!I45</f>
        <v>0</v>
      </c>
      <c r="L44" s="83">
        <f>'[1]Input Tab'!J45</f>
        <v>0</v>
      </c>
      <c r="M44" s="83">
        <f>'[1]Input Tab'!K45</f>
        <v>0</v>
      </c>
      <c r="N44" s="83">
        <f>'[1]Input Tab'!L45</f>
        <v>0</v>
      </c>
      <c r="O44" s="83">
        <f>'[1]Input Tab'!M45</f>
        <v>0</v>
      </c>
      <c r="P44" s="83">
        <f>'[1]Input Tab'!N45</f>
        <v>0</v>
      </c>
      <c r="Q44" s="100"/>
      <c r="R44" s="78">
        <f>SUM(E44:P44)</f>
        <v>-248572.9</v>
      </c>
    </row>
    <row r="45" spans="1:18">
      <c r="A45" s="70">
        <f>A44+1</f>
        <v>21</v>
      </c>
      <c r="B45" s="2" t="s">
        <v>79</v>
      </c>
      <c r="C45" s="4" t="s">
        <v>80</v>
      </c>
      <c r="D45" s="78">
        <f t="shared" si="12"/>
        <v>-36648.160000000003</v>
      </c>
      <c r="E45" s="83">
        <f>'[1]Input Tab'!C46</f>
        <v>-12530.5</v>
      </c>
      <c r="F45" s="83">
        <f>'[1]Input Tab'!D46</f>
        <v>-11480.76</v>
      </c>
      <c r="G45" s="83">
        <f>'[1]Input Tab'!E46</f>
        <v>-12636.9</v>
      </c>
      <c r="H45" s="83">
        <f>'[1]Input Tab'!F46</f>
        <v>0</v>
      </c>
      <c r="I45" s="83">
        <f>'[1]Input Tab'!G46</f>
        <v>0</v>
      </c>
      <c r="J45" s="83">
        <f>'[1]Input Tab'!H46</f>
        <v>0</v>
      </c>
      <c r="K45" s="83">
        <f>'[1]Input Tab'!I46</f>
        <v>0</v>
      </c>
      <c r="L45" s="83">
        <f>'[1]Input Tab'!J46</f>
        <v>0</v>
      </c>
      <c r="M45" s="83">
        <f>'[1]Input Tab'!K46</f>
        <v>0</v>
      </c>
      <c r="N45" s="83">
        <f>'[1]Input Tab'!L46</f>
        <v>0</v>
      </c>
      <c r="O45" s="83">
        <f>'[1]Input Tab'!M46</f>
        <v>0</v>
      </c>
      <c r="P45" s="83">
        <f>'[1]Input Tab'!N46</f>
        <v>0</v>
      </c>
      <c r="Q45" s="100"/>
      <c r="R45" s="78">
        <f>SUM(E45:P45)</f>
        <v>-36648.160000000003</v>
      </c>
    </row>
    <row r="46" spans="1:18">
      <c r="A46" s="70">
        <f>A45+1</f>
        <v>22</v>
      </c>
      <c r="B46" t="s">
        <v>81</v>
      </c>
      <c r="C46" s="101" t="s">
        <v>82</v>
      </c>
      <c r="D46" s="78">
        <f t="shared" si="12"/>
        <v>-102101.6</v>
      </c>
      <c r="E46" s="83">
        <f>'[1]Input Tab'!C47</f>
        <v>-36290.980000000003</v>
      </c>
      <c r="F46" s="83">
        <f>'[1]Input Tab'!D47</f>
        <v>-30850.639999999999</v>
      </c>
      <c r="G46" s="83">
        <f>'[1]Input Tab'!E47</f>
        <v>-34959.980000000003</v>
      </c>
      <c r="H46" s="83">
        <f>'[1]Input Tab'!F47</f>
        <v>0</v>
      </c>
      <c r="I46" s="83">
        <f>'[1]Input Tab'!G47</f>
        <v>0</v>
      </c>
      <c r="J46" s="83">
        <f>'[1]Input Tab'!H47</f>
        <v>0</v>
      </c>
      <c r="K46" s="83">
        <f>'[1]Input Tab'!I47</f>
        <v>0</v>
      </c>
      <c r="L46" s="83">
        <f>'[1]Input Tab'!J47</f>
        <v>0</v>
      </c>
      <c r="M46" s="83">
        <f>'[1]Input Tab'!K47</f>
        <v>0</v>
      </c>
      <c r="N46" s="83">
        <f>'[1]Input Tab'!L47</f>
        <v>0</v>
      </c>
      <c r="O46" s="83">
        <f>'[1]Input Tab'!M47</f>
        <v>0</v>
      </c>
      <c r="P46" s="83">
        <f>'[1]Input Tab'!N47</f>
        <v>0</v>
      </c>
      <c r="Q46" s="100"/>
      <c r="R46" s="78">
        <f>SUM(E46:P46)</f>
        <v>-102101.6</v>
      </c>
    </row>
    <row r="47" spans="1:18">
      <c r="A47" s="70">
        <f>A46+1</f>
        <v>23</v>
      </c>
      <c r="B47" t="s">
        <v>83</v>
      </c>
      <c r="C47" s="84"/>
      <c r="D47" s="78">
        <f t="shared" si="12"/>
        <v>-5312775</v>
      </c>
      <c r="E47" s="102">
        <f>E58</f>
        <v>-1650817</v>
      </c>
      <c r="F47" s="102">
        <f>F58</f>
        <v>-1561478</v>
      </c>
      <c r="G47" s="102">
        <f t="shared" ref="G47:P47" si="14">G58</f>
        <v>-2100480</v>
      </c>
      <c r="H47" s="102">
        <f t="shared" si="14"/>
        <v>0</v>
      </c>
      <c r="I47" s="102">
        <f t="shared" si="14"/>
        <v>0</v>
      </c>
      <c r="J47" s="102">
        <f>J58</f>
        <v>0</v>
      </c>
      <c r="K47" s="102">
        <f>K58</f>
        <v>0</v>
      </c>
      <c r="L47" s="102">
        <f t="shared" si="14"/>
        <v>0</v>
      </c>
      <c r="M47" s="102">
        <f t="shared" si="14"/>
        <v>0</v>
      </c>
      <c r="N47" s="102">
        <f t="shared" si="14"/>
        <v>0</v>
      </c>
      <c r="O47" s="102">
        <f t="shared" si="14"/>
        <v>0</v>
      </c>
      <c r="P47" s="102">
        <f t="shared" si="14"/>
        <v>0</v>
      </c>
      <c r="Q47" s="100"/>
      <c r="R47" s="78">
        <f>SUM(E47:P47)</f>
        <v>-5312775</v>
      </c>
    </row>
    <row r="48" spans="1:18" s="92" customFormat="1" ht="24.75" customHeight="1" thickBot="1">
      <c r="A48" s="103">
        <f>A47+1</f>
        <v>24</v>
      </c>
      <c r="B48" s="87" t="s">
        <v>84</v>
      </c>
      <c r="C48" s="87"/>
      <c r="D48" s="88">
        <f t="shared" si="12"/>
        <v>-30733597</v>
      </c>
      <c r="E48" s="89">
        <f>E60</f>
        <v>-9801103</v>
      </c>
      <c r="F48" s="89">
        <f>F60</f>
        <v>-7831225</v>
      </c>
      <c r="G48" s="89">
        <f t="shared" ref="G48:P48" si="15">G60</f>
        <v>-13101269</v>
      </c>
      <c r="H48" s="89">
        <f>H60</f>
        <v>0</v>
      </c>
      <c r="I48" s="89">
        <f>I60</f>
        <v>0</v>
      </c>
      <c r="J48" s="89">
        <f t="shared" si="15"/>
        <v>0</v>
      </c>
      <c r="K48" s="89">
        <f t="shared" si="15"/>
        <v>0</v>
      </c>
      <c r="L48" s="89">
        <f t="shared" si="15"/>
        <v>0</v>
      </c>
      <c r="M48" s="89">
        <f>M60</f>
        <v>0</v>
      </c>
      <c r="N48" s="89">
        <f t="shared" si="15"/>
        <v>0</v>
      </c>
      <c r="O48" s="89">
        <f t="shared" si="15"/>
        <v>0</v>
      </c>
      <c r="P48" s="89">
        <f t="shared" si="15"/>
        <v>0</v>
      </c>
      <c r="Q48" s="104"/>
      <c r="R48" s="91">
        <f>SUM(R43:R47)</f>
        <v>-30733597</v>
      </c>
    </row>
    <row r="49" spans="1:18" ht="13.15" thickTop="1">
      <c r="A49" s="70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05"/>
    </row>
    <row r="50" spans="1:18" outlineLevel="2">
      <c r="A50" s="70"/>
      <c r="E50" s="78"/>
      <c r="F50" s="78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105"/>
    </row>
    <row r="51" spans="1:18" outlineLevel="2">
      <c r="A51" s="70"/>
      <c r="B51" s="106" t="s">
        <v>75</v>
      </c>
      <c r="C51" s="106"/>
      <c r="E51" s="78"/>
      <c r="F51" s="78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05"/>
    </row>
    <row r="52" spans="1:18" outlineLevel="2">
      <c r="A52" s="70"/>
      <c r="B52">
        <v>447000</v>
      </c>
      <c r="D52" s="78">
        <f t="shared" ref="D52:D60" si="16">SUM(E52:P52)</f>
        <v>-16463637</v>
      </c>
      <c r="E52" s="34">
        <v>-5173718</v>
      </c>
      <c r="F52" s="34">
        <v>-3861452</v>
      </c>
      <c r="G52" s="34">
        <v>-7428467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107"/>
      <c r="R52" s="79">
        <f t="shared" ref="R52:R58" si="17">SUM(E52:P52)</f>
        <v>-16463637</v>
      </c>
    </row>
    <row r="53" spans="1:18" ht="13.15" outlineLevel="2">
      <c r="A53" s="70"/>
      <c r="B53" t="s">
        <v>85</v>
      </c>
      <c r="C53" s="92" t="s">
        <v>86</v>
      </c>
      <c r="D53" s="78">
        <f t="shared" si="16"/>
        <v>196825</v>
      </c>
      <c r="E53" s="34">
        <v>22736</v>
      </c>
      <c r="F53" s="34">
        <v>75972</v>
      </c>
      <c r="G53" s="34">
        <v>98117</v>
      </c>
      <c r="H53" s="34"/>
      <c r="I53" s="34"/>
      <c r="J53" s="34"/>
      <c r="K53" s="34"/>
      <c r="L53" s="34"/>
      <c r="M53" s="34"/>
      <c r="N53" s="34"/>
      <c r="O53" s="34"/>
      <c r="P53" s="34"/>
      <c r="Q53" s="107"/>
      <c r="R53" s="79"/>
    </row>
    <row r="54" spans="1:18" outlineLevel="2">
      <c r="A54" s="70"/>
      <c r="B54">
        <v>447100</v>
      </c>
      <c r="D54" s="78">
        <f t="shared" si="16"/>
        <v>-151776</v>
      </c>
      <c r="E54" s="34">
        <v>0</v>
      </c>
      <c r="F54" s="34">
        <v>-166176</v>
      </c>
      <c r="G54" s="34">
        <v>14400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107"/>
      <c r="R54" s="79">
        <f t="shared" si="17"/>
        <v>-151776</v>
      </c>
    </row>
    <row r="55" spans="1:18" outlineLevel="2">
      <c r="A55" s="70"/>
      <c r="B55">
        <v>447150</v>
      </c>
      <c r="D55" s="78">
        <f t="shared" si="16"/>
        <v>-6533419</v>
      </c>
      <c r="E55" s="34">
        <v>-2812376</v>
      </c>
      <c r="F55" s="34">
        <v>-2137430</v>
      </c>
      <c r="G55" s="34">
        <v>-1583613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107"/>
      <c r="R55" s="79">
        <f t="shared" si="17"/>
        <v>-6533419</v>
      </c>
    </row>
    <row r="56" spans="1:18" outlineLevel="2">
      <c r="A56" s="70"/>
      <c r="B56">
        <v>447700</v>
      </c>
      <c r="D56" s="78">
        <f t="shared" si="16"/>
        <v>-464119</v>
      </c>
      <c r="E56" s="34">
        <v>-77400</v>
      </c>
      <c r="F56" s="34">
        <v>-59189</v>
      </c>
      <c r="G56" s="34">
        <v>-327530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107"/>
      <c r="R56" s="79">
        <f t="shared" si="17"/>
        <v>-464119</v>
      </c>
    </row>
    <row r="57" spans="1:18" outlineLevel="2">
      <c r="A57" s="70"/>
      <c r="B57">
        <v>447710</v>
      </c>
      <c r="D57" s="78">
        <f t="shared" si="16"/>
        <v>-328399</v>
      </c>
      <c r="E57" s="34">
        <v>-109528</v>
      </c>
      <c r="F57" s="34">
        <v>-121472</v>
      </c>
      <c r="G57" s="34">
        <v>-97399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107"/>
      <c r="R57" s="79">
        <f t="shared" si="17"/>
        <v>-328399</v>
      </c>
    </row>
    <row r="58" spans="1:18" outlineLevel="2">
      <c r="A58" s="70"/>
      <c r="B58">
        <v>447720</v>
      </c>
      <c r="C58" s="2" t="s">
        <v>87</v>
      </c>
      <c r="D58" s="78">
        <f t="shared" si="16"/>
        <v>-5312775</v>
      </c>
      <c r="E58" s="34">
        <v>-1650817</v>
      </c>
      <c r="F58" s="34">
        <v>-1561478</v>
      </c>
      <c r="G58" s="34">
        <v>-2100480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34">
        <v>0</v>
      </c>
      <c r="Q58" s="107"/>
      <c r="R58" s="108">
        <f t="shared" si="17"/>
        <v>-5312775</v>
      </c>
    </row>
    <row r="59" spans="1:18" outlineLevel="2">
      <c r="A59" s="70"/>
      <c r="B59">
        <v>447740</v>
      </c>
      <c r="C59" s="2"/>
      <c r="D59" s="78">
        <f t="shared" si="16"/>
        <v>-1676297</v>
      </c>
      <c r="E59" s="34">
        <v>0</v>
      </c>
      <c r="F59" s="34">
        <v>0</v>
      </c>
      <c r="G59" s="34">
        <v>-1676297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107"/>
      <c r="R59" s="109"/>
    </row>
    <row r="60" spans="1:18" s="92" customFormat="1" ht="13.15" outlineLevel="2">
      <c r="A60" s="6"/>
      <c r="D60" s="110">
        <f t="shared" si="16"/>
        <v>-30733597</v>
      </c>
      <c r="E60" s="111">
        <f t="shared" ref="E60:P60" si="18">SUM(E52:E59)</f>
        <v>-9801103</v>
      </c>
      <c r="F60" s="111">
        <f t="shared" si="18"/>
        <v>-7831225</v>
      </c>
      <c r="G60" s="111">
        <f t="shared" si="18"/>
        <v>-13101269</v>
      </c>
      <c r="H60" s="111">
        <f t="shared" si="18"/>
        <v>0</v>
      </c>
      <c r="I60" s="111">
        <f t="shared" si="18"/>
        <v>0</v>
      </c>
      <c r="J60" s="111">
        <f t="shared" si="18"/>
        <v>0</v>
      </c>
      <c r="K60" s="111">
        <f t="shared" si="18"/>
        <v>0</v>
      </c>
      <c r="L60" s="111">
        <f t="shared" si="18"/>
        <v>0</v>
      </c>
      <c r="M60" s="111">
        <f t="shared" si="18"/>
        <v>0</v>
      </c>
      <c r="N60" s="111">
        <f t="shared" si="18"/>
        <v>0</v>
      </c>
      <c r="O60" s="111">
        <f t="shared" si="18"/>
        <v>0</v>
      </c>
      <c r="P60" s="111">
        <f t="shared" si="18"/>
        <v>0</v>
      </c>
      <c r="Q60" s="112"/>
      <c r="R60" s="99">
        <f>SUM(R52:R58)</f>
        <v>-29254125</v>
      </c>
    </row>
    <row r="61" spans="1:18" outlineLevel="2">
      <c r="A61" s="70"/>
      <c r="E61" s="78"/>
      <c r="F61" s="78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107"/>
      <c r="R61" s="78"/>
    </row>
    <row r="62" spans="1:18" ht="13.15">
      <c r="A62" s="70"/>
      <c r="B62" s="75" t="s">
        <v>88</v>
      </c>
      <c r="C62" s="7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107"/>
      <c r="R62" s="78"/>
    </row>
    <row r="63" spans="1:18">
      <c r="A63" s="70">
        <f>A48+1</f>
        <v>25</v>
      </c>
      <c r="B63" s="2" t="s">
        <v>89</v>
      </c>
      <c r="C63" s="2"/>
      <c r="D63" s="78">
        <f>SUM(E63:P63)</f>
        <v>2212988</v>
      </c>
      <c r="E63" s="34">
        <v>631287</v>
      </c>
      <c r="F63" s="34">
        <v>799627</v>
      </c>
      <c r="G63" s="34">
        <v>782074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113"/>
      <c r="R63" s="33">
        <f>SUM(E63:P63)</f>
        <v>2212988</v>
      </c>
    </row>
    <row r="64" spans="1:18">
      <c r="A64" s="70">
        <f>+A63+1</f>
        <v>26</v>
      </c>
      <c r="B64" s="2" t="s">
        <v>90</v>
      </c>
      <c r="C64" s="2"/>
      <c r="D64" s="78">
        <f>SUM(E64:P64)</f>
        <v>20395</v>
      </c>
      <c r="E64" s="34">
        <v>11538</v>
      </c>
      <c r="F64" s="34">
        <v>3487</v>
      </c>
      <c r="G64" s="34">
        <v>5370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113"/>
      <c r="R64" s="33">
        <f>SUM(E64:P64)</f>
        <v>20395</v>
      </c>
    </row>
    <row r="65" spans="1:18">
      <c r="A65" s="70">
        <f>+A64+1</f>
        <v>27</v>
      </c>
      <c r="B65" t="s">
        <v>91</v>
      </c>
      <c r="D65" s="78">
        <f>SUM(E65:P65)</f>
        <v>8946583</v>
      </c>
      <c r="E65" s="34">
        <v>2860347</v>
      </c>
      <c r="F65" s="34">
        <v>2966453</v>
      </c>
      <c r="G65" s="34">
        <v>3119783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34">
        <v>0</v>
      </c>
      <c r="Q65" s="113"/>
      <c r="R65" s="114">
        <f>SUM(E65:P65)</f>
        <v>8946583</v>
      </c>
    </row>
    <row r="66" spans="1:18">
      <c r="A66" s="70">
        <f>+A65+1</f>
        <v>28</v>
      </c>
      <c r="B66" t="s">
        <v>92</v>
      </c>
      <c r="D66" s="78">
        <f>SUM(E66:P66)</f>
        <v>38622</v>
      </c>
      <c r="E66" s="34">
        <v>22035</v>
      </c>
      <c r="F66" s="34">
        <v>0</v>
      </c>
      <c r="G66" s="34">
        <v>16587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113"/>
      <c r="R66" s="114">
        <f>SUM(E66:P66)</f>
        <v>38622</v>
      </c>
    </row>
    <row r="67" spans="1:18" s="92" customFormat="1" ht="27.75" customHeight="1" thickBot="1">
      <c r="A67" s="103">
        <f>+A66+1</f>
        <v>29</v>
      </c>
      <c r="B67" s="87" t="s">
        <v>93</v>
      </c>
      <c r="C67" s="87"/>
      <c r="D67" s="88">
        <f>SUM(E67:P67)</f>
        <v>11218588</v>
      </c>
      <c r="E67" s="58">
        <f>SUM(E63:E66)</f>
        <v>3525207</v>
      </c>
      <c r="F67" s="58">
        <f t="shared" ref="F67:P67" si="19">SUM(F63:F66)</f>
        <v>3769567</v>
      </c>
      <c r="G67" s="58">
        <f t="shared" si="19"/>
        <v>3923814</v>
      </c>
      <c r="H67" s="58">
        <f t="shared" si="19"/>
        <v>0</v>
      </c>
      <c r="I67" s="58">
        <f t="shared" si="19"/>
        <v>0</v>
      </c>
      <c r="J67" s="58">
        <f t="shared" si="19"/>
        <v>0</v>
      </c>
      <c r="K67" s="58">
        <f t="shared" si="19"/>
        <v>0</v>
      </c>
      <c r="L67" s="58">
        <f t="shared" si="19"/>
        <v>0</v>
      </c>
      <c r="M67" s="58">
        <f t="shared" si="19"/>
        <v>0</v>
      </c>
      <c r="N67" s="58">
        <f t="shared" si="19"/>
        <v>0</v>
      </c>
      <c r="O67" s="58">
        <f t="shared" si="19"/>
        <v>0</v>
      </c>
      <c r="P67" s="58">
        <f t="shared" si="19"/>
        <v>0</v>
      </c>
      <c r="Q67" s="115"/>
      <c r="R67" s="91">
        <f>SUM(E67:P67)</f>
        <v>11218588</v>
      </c>
    </row>
    <row r="68" spans="1:18" ht="13.15" thickTop="1">
      <c r="A68" s="70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105"/>
    </row>
    <row r="69" spans="1:18" ht="18.75" customHeight="1">
      <c r="A69" s="70"/>
      <c r="B69" s="75" t="s">
        <v>94</v>
      </c>
      <c r="C69" s="7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105"/>
    </row>
    <row r="70" spans="1:18">
      <c r="A70" s="70">
        <f>A67+1</f>
        <v>30</v>
      </c>
      <c r="B70" t="s">
        <v>95</v>
      </c>
      <c r="C70" s="2" t="s">
        <v>96</v>
      </c>
      <c r="D70" s="116">
        <f>SUM(E70:P70)</f>
        <v>145377</v>
      </c>
      <c r="E70" s="117">
        <f>'[1]Input Tab'!C50</f>
        <v>41132</v>
      </c>
      <c r="F70" s="117">
        <f>'[1]Input Tab'!D50</f>
        <v>53137</v>
      </c>
      <c r="G70" s="117">
        <f>'[1]Input Tab'!E50</f>
        <v>51108</v>
      </c>
      <c r="H70" s="117">
        <f>'[1]Input Tab'!F50</f>
        <v>0</v>
      </c>
      <c r="I70" s="117">
        <f>'[1]Input Tab'!G50</f>
        <v>0</v>
      </c>
      <c r="J70" s="117">
        <f>'[1]Input Tab'!H50</f>
        <v>0</v>
      </c>
      <c r="K70" s="117">
        <f>'[1]Input Tab'!I50</f>
        <v>0</v>
      </c>
      <c r="L70" s="117">
        <f>'[1]Input Tab'!J50</f>
        <v>0</v>
      </c>
      <c r="M70" s="117">
        <f>'[1]Input Tab'!K50</f>
        <v>0</v>
      </c>
      <c r="N70" s="117">
        <f>'[1]Input Tab'!L50</f>
        <v>0</v>
      </c>
      <c r="O70" s="117">
        <f>'[1]Input Tab'!M50</f>
        <v>0</v>
      </c>
      <c r="P70" s="117">
        <f>'[1]Input Tab'!N50</f>
        <v>0</v>
      </c>
      <c r="Q70" s="105"/>
      <c r="R70" s="118">
        <f>SUM(E70:P70)</f>
        <v>145377</v>
      </c>
    </row>
    <row r="71" spans="1:18">
      <c r="A71" s="70">
        <f>A70+1</f>
        <v>31</v>
      </c>
      <c r="B71" t="s">
        <v>97</v>
      </c>
      <c r="C71" s="2" t="s">
        <v>98</v>
      </c>
      <c r="D71" s="116">
        <f>SUM(E71:P71)</f>
        <v>286138</v>
      </c>
      <c r="E71" s="117">
        <f>'[1]Input Tab'!C51</f>
        <v>103081</v>
      </c>
      <c r="F71" s="117">
        <f>'[1]Input Tab'!D51</f>
        <v>83755</v>
      </c>
      <c r="G71" s="117">
        <f>'[1]Input Tab'!E51</f>
        <v>99302</v>
      </c>
      <c r="H71" s="117">
        <f>'[1]Input Tab'!F51</f>
        <v>0</v>
      </c>
      <c r="I71" s="117">
        <f>'[1]Input Tab'!G51</f>
        <v>0</v>
      </c>
      <c r="J71" s="117">
        <f>'[1]Input Tab'!H51</f>
        <v>0</v>
      </c>
      <c r="K71" s="117">
        <f>'[1]Input Tab'!I51</f>
        <v>0</v>
      </c>
      <c r="L71" s="117">
        <f>'[1]Input Tab'!J51</f>
        <v>0</v>
      </c>
      <c r="M71" s="117">
        <f>'[1]Input Tab'!K51</f>
        <v>0</v>
      </c>
      <c r="N71" s="117">
        <f>'[1]Input Tab'!L51</f>
        <v>0</v>
      </c>
      <c r="O71" s="117">
        <f>'[1]Input Tab'!M51</f>
        <v>0</v>
      </c>
      <c r="P71" s="117">
        <f>'[1]Input Tab'!N51</f>
        <v>0</v>
      </c>
      <c r="Q71" s="105"/>
      <c r="R71" s="118">
        <f>SUM(E71:P71)</f>
        <v>286138</v>
      </c>
    </row>
    <row r="72" spans="1:18">
      <c r="A72" s="70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105"/>
    </row>
    <row r="73" spans="1:18" ht="21" customHeight="1">
      <c r="A73" s="70"/>
      <c r="B73" s="75" t="s">
        <v>99</v>
      </c>
      <c r="C73" s="7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105"/>
    </row>
    <row r="74" spans="1:18">
      <c r="A74" s="70">
        <f>A71+1</f>
        <v>32</v>
      </c>
      <c r="B74" t="s">
        <v>95</v>
      </c>
      <c r="D74" s="70" t="s">
        <v>100</v>
      </c>
      <c r="E74" s="119">
        <f>IF(E70=0," ",E63/E70)</f>
        <v>15.347831372167656</v>
      </c>
      <c r="F74" s="119">
        <f>IF(F70=0," ",F63/F70)</f>
        <v>15.048403184221916</v>
      </c>
      <c r="G74" s="119">
        <f>IF(G70=0," ",G63/G70)</f>
        <v>15.302379275260233</v>
      </c>
      <c r="H74" s="119" t="str">
        <f t="shared" ref="H74:P74" si="20">IF(H70=0," ",H63/H70)</f>
        <v xml:space="preserve"> </v>
      </c>
      <c r="I74" s="119" t="str">
        <f>IF(I70=0," ",I63/I70)</f>
        <v xml:space="preserve"> </v>
      </c>
      <c r="J74" s="119" t="str">
        <f t="shared" si="20"/>
        <v xml:space="preserve"> </v>
      </c>
      <c r="K74" s="119" t="str">
        <f>IF(K70=0," ",K63/K70)</f>
        <v xml:space="preserve"> </v>
      </c>
      <c r="L74" s="119" t="str">
        <f t="shared" si="20"/>
        <v xml:space="preserve"> </v>
      </c>
      <c r="M74" s="119" t="str">
        <f t="shared" si="20"/>
        <v xml:space="preserve"> </v>
      </c>
      <c r="N74" s="119" t="str">
        <f t="shared" si="20"/>
        <v xml:space="preserve"> </v>
      </c>
      <c r="O74" s="119" t="str">
        <f t="shared" si="20"/>
        <v xml:space="preserve"> </v>
      </c>
      <c r="P74" s="119" t="str">
        <f t="shared" si="20"/>
        <v xml:space="preserve"> </v>
      </c>
      <c r="Q74" s="120"/>
      <c r="R74" s="121">
        <f>R63/R70</f>
        <v>15.222407946236338</v>
      </c>
    </row>
    <row r="75" spans="1:18">
      <c r="A75" s="70">
        <f>A74+1</f>
        <v>33</v>
      </c>
      <c r="B75" t="s">
        <v>101</v>
      </c>
      <c r="D75" s="70" t="s">
        <v>102</v>
      </c>
      <c r="E75" s="119">
        <f>IF(E71=0," ",E65/E71)</f>
        <v>27.748537557842862</v>
      </c>
      <c r="F75" s="119">
        <f>IF(F71=0," ",F65/F71)</f>
        <v>35.418219807772672</v>
      </c>
      <c r="G75" s="119">
        <f t="shared" ref="G75:P75" si="21">IF(G71=0," ",G65/G71)</f>
        <v>31.417121508126723</v>
      </c>
      <c r="H75" s="119" t="str">
        <f t="shared" si="21"/>
        <v xml:space="preserve"> </v>
      </c>
      <c r="I75" s="119" t="str">
        <f>IF(I71=0," ",I65/I71)</f>
        <v xml:space="preserve"> </v>
      </c>
      <c r="J75" s="119" t="str">
        <f t="shared" si="21"/>
        <v xml:space="preserve"> </v>
      </c>
      <c r="K75" s="119" t="str">
        <f t="shared" si="21"/>
        <v xml:space="preserve"> </v>
      </c>
      <c r="L75" s="119" t="str">
        <f t="shared" si="21"/>
        <v xml:space="preserve"> </v>
      </c>
      <c r="M75" s="119" t="str">
        <f t="shared" si="21"/>
        <v xml:space="preserve"> </v>
      </c>
      <c r="N75" s="119" t="str">
        <f t="shared" si="21"/>
        <v xml:space="preserve"> </v>
      </c>
      <c r="O75" s="119" t="str">
        <f t="shared" si="21"/>
        <v xml:space="preserve"> </v>
      </c>
      <c r="P75" s="119" t="str">
        <f t="shared" si="21"/>
        <v xml:space="preserve"> </v>
      </c>
      <c r="Q75" s="120"/>
      <c r="R75" s="121">
        <f>R65/R71</f>
        <v>31.266672025386352</v>
      </c>
    </row>
    <row r="76" spans="1:18">
      <c r="A76" s="70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105"/>
    </row>
    <row r="77" spans="1:18" ht="13.15">
      <c r="A77" s="70"/>
      <c r="B77" s="75" t="s">
        <v>103</v>
      </c>
      <c r="C77" s="7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105"/>
    </row>
    <row r="78" spans="1:18">
      <c r="A78" s="70">
        <f>A75+1</f>
        <v>34</v>
      </c>
      <c r="B78" t="s">
        <v>104</v>
      </c>
      <c r="D78" s="78">
        <f t="shared" ref="D78:D84" si="22">SUM(E78:P78)</f>
        <v>20141</v>
      </c>
      <c r="E78" s="34">
        <v>-4649</v>
      </c>
      <c r="F78" s="34">
        <v>5526</v>
      </c>
      <c r="G78" s="34">
        <v>19264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122"/>
      <c r="R78" s="123">
        <f t="shared" ref="R78:R83" si="23">SUM(E78:P78)</f>
        <v>20141</v>
      </c>
    </row>
    <row r="79" spans="1:18">
      <c r="A79" s="70">
        <f t="shared" ref="A79:A84" si="24">A78+1</f>
        <v>35</v>
      </c>
      <c r="B79" t="s">
        <v>105</v>
      </c>
      <c r="D79" s="78">
        <f t="shared" si="22"/>
        <v>170226</v>
      </c>
      <c r="E79" s="34">
        <v>77272</v>
      </c>
      <c r="F79" s="34">
        <v>71797</v>
      </c>
      <c r="G79" s="34">
        <v>21157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122"/>
      <c r="R79" s="123">
        <f t="shared" si="23"/>
        <v>170226</v>
      </c>
    </row>
    <row r="80" spans="1:18">
      <c r="A80" s="70">
        <f t="shared" si="24"/>
        <v>36</v>
      </c>
      <c r="B80" t="s">
        <v>106</v>
      </c>
      <c r="D80" s="78">
        <f t="shared" si="22"/>
        <v>8936</v>
      </c>
      <c r="E80" s="34">
        <v>-951</v>
      </c>
      <c r="F80" s="34">
        <v>7921</v>
      </c>
      <c r="G80" s="34">
        <v>1966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122"/>
      <c r="R80" s="123">
        <f t="shared" si="23"/>
        <v>8936</v>
      </c>
    </row>
    <row r="81" spans="1:18">
      <c r="A81" s="70">
        <f t="shared" si="24"/>
        <v>37</v>
      </c>
      <c r="B81" t="s">
        <v>107</v>
      </c>
      <c r="D81" s="78">
        <f t="shared" si="22"/>
        <v>16327274</v>
      </c>
      <c r="E81" s="34">
        <v>4751336</v>
      </c>
      <c r="F81" s="34">
        <v>6208877</v>
      </c>
      <c r="G81" s="34">
        <v>5367061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122"/>
      <c r="R81" s="123">
        <f t="shared" si="23"/>
        <v>16327274</v>
      </c>
    </row>
    <row r="82" spans="1:18">
      <c r="A82" s="70">
        <f>A81+1</f>
        <v>38</v>
      </c>
      <c r="B82" s="2" t="s">
        <v>108</v>
      </c>
      <c r="C82" s="2"/>
      <c r="D82" s="78">
        <f t="shared" si="22"/>
        <v>14676771</v>
      </c>
      <c r="E82" s="34">
        <v>4378393</v>
      </c>
      <c r="F82" s="34">
        <v>5695889</v>
      </c>
      <c r="G82" s="34">
        <v>4602489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122"/>
      <c r="R82" s="123">
        <f>SUM(E82:P82)</f>
        <v>14676771</v>
      </c>
    </row>
    <row r="83" spans="1:18">
      <c r="A83" s="70">
        <f>A82+1</f>
        <v>39</v>
      </c>
      <c r="B83" s="124" t="s">
        <v>109</v>
      </c>
      <c r="C83" s="124"/>
      <c r="D83" s="78">
        <f t="shared" si="22"/>
        <v>281813</v>
      </c>
      <c r="E83" s="125">
        <v>108275</v>
      </c>
      <c r="F83" s="125">
        <v>126413</v>
      </c>
      <c r="G83" s="125">
        <v>47125</v>
      </c>
      <c r="H83" s="125">
        <v>0</v>
      </c>
      <c r="I83" s="125">
        <v>0</v>
      </c>
      <c r="J83" s="125">
        <v>0</v>
      </c>
      <c r="K83" s="125">
        <v>0</v>
      </c>
      <c r="L83" s="125">
        <v>0</v>
      </c>
      <c r="M83" s="125">
        <v>0</v>
      </c>
      <c r="N83" s="125">
        <v>0</v>
      </c>
      <c r="O83" s="125">
        <v>0</v>
      </c>
      <c r="P83" s="125">
        <v>0</v>
      </c>
      <c r="Q83" s="122"/>
      <c r="R83" s="126">
        <f t="shared" si="23"/>
        <v>281813</v>
      </c>
    </row>
    <row r="84" spans="1:18" s="92" customFormat="1" ht="21.75" customHeight="1">
      <c r="A84" s="103">
        <f t="shared" si="24"/>
        <v>40</v>
      </c>
      <c r="B84" s="87" t="s">
        <v>110</v>
      </c>
      <c r="C84" s="87"/>
      <c r="D84" s="88">
        <f t="shared" si="22"/>
        <v>31485161</v>
      </c>
      <c r="E84" s="58">
        <f t="shared" ref="E84:P84" si="25">SUM(E78:E83)</f>
        <v>9309676</v>
      </c>
      <c r="F84" s="58">
        <f t="shared" si="25"/>
        <v>12116423</v>
      </c>
      <c r="G84" s="58">
        <f t="shared" si="25"/>
        <v>10059062</v>
      </c>
      <c r="H84" s="58">
        <f t="shared" si="25"/>
        <v>0</v>
      </c>
      <c r="I84" s="58">
        <f t="shared" si="25"/>
        <v>0</v>
      </c>
      <c r="J84" s="58">
        <f t="shared" si="25"/>
        <v>0</v>
      </c>
      <c r="K84" s="58">
        <f t="shared" si="25"/>
        <v>0</v>
      </c>
      <c r="L84" s="58">
        <f t="shared" si="25"/>
        <v>0</v>
      </c>
      <c r="M84" s="58">
        <f t="shared" si="25"/>
        <v>0</v>
      </c>
      <c r="N84" s="58">
        <f t="shared" si="25"/>
        <v>0</v>
      </c>
      <c r="O84" s="58">
        <f t="shared" si="25"/>
        <v>0</v>
      </c>
      <c r="P84" s="58">
        <f t="shared" si="25"/>
        <v>0</v>
      </c>
      <c r="Q84" s="127"/>
      <c r="R84" s="128">
        <f>SUM(R78:R83)</f>
        <v>31485161</v>
      </c>
    </row>
    <row r="85" spans="1:18" ht="15.75" customHeight="1">
      <c r="A85" s="70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122"/>
      <c r="R85" s="123"/>
    </row>
    <row r="86" spans="1:18" ht="21" customHeight="1">
      <c r="A86" s="103">
        <f>A84+1</f>
        <v>41</v>
      </c>
      <c r="B86" s="129" t="s">
        <v>111</v>
      </c>
      <c r="C86" s="129"/>
      <c r="D86" s="130">
        <f>SUM(E86:P86)</f>
        <v>46616368.497500002</v>
      </c>
      <c r="E86" s="58">
        <f t="shared" ref="E86:P86" si="26">E24+E48+E67+E84</f>
        <v>14513570.2368</v>
      </c>
      <c r="F86" s="58">
        <f t="shared" si="26"/>
        <v>20166277.623599999</v>
      </c>
      <c r="G86" s="58">
        <f t="shared" si="26"/>
        <v>11936520.6371</v>
      </c>
      <c r="H86" s="58">
        <f t="shared" si="26"/>
        <v>0</v>
      </c>
      <c r="I86" s="58">
        <f t="shared" si="26"/>
        <v>0</v>
      </c>
      <c r="J86" s="58">
        <f t="shared" si="26"/>
        <v>0</v>
      </c>
      <c r="K86" s="58">
        <f t="shared" si="26"/>
        <v>0</v>
      </c>
      <c r="L86" s="58">
        <f t="shared" si="26"/>
        <v>0</v>
      </c>
      <c r="M86" s="58">
        <f t="shared" si="26"/>
        <v>0</v>
      </c>
      <c r="N86" s="58">
        <f t="shared" si="26"/>
        <v>0</v>
      </c>
      <c r="O86" s="58">
        <f t="shared" si="26"/>
        <v>0</v>
      </c>
      <c r="P86" s="58">
        <f t="shared" si="26"/>
        <v>0</v>
      </c>
      <c r="Q86" s="131"/>
      <c r="R86" s="132">
        <f>R24-R48+R67+R84</f>
        <v>105136523.7175</v>
      </c>
    </row>
    <row r="87" spans="1:18" ht="12" customHeight="1"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105"/>
    </row>
    <row r="88" spans="1:18" outlineLevel="1">
      <c r="B88" s="133" t="s">
        <v>64</v>
      </c>
      <c r="C88" s="133"/>
      <c r="E88" s="134">
        <v>202201</v>
      </c>
      <c r="F88" s="134">
        <v>202202</v>
      </c>
      <c r="G88" s="134">
        <v>202203</v>
      </c>
      <c r="H88" s="134">
        <v>202204</v>
      </c>
      <c r="I88" s="134">
        <v>202205</v>
      </c>
      <c r="J88" s="134">
        <v>202206</v>
      </c>
      <c r="K88" s="134">
        <v>202207</v>
      </c>
      <c r="L88" s="134">
        <v>202208</v>
      </c>
      <c r="M88" s="134">
        <v>202209</v>
      </c>
      <c r="N88" s="134">
        <v>202210</v>
      </c>
      <c r="O88" s="134">
        <v>202211</v>
      </c>
      <c r="P88" s="134">
        <v>202212</v>
      </c>
      <c r="Q88" s="105"/>
    </row>
    <row r="89" spans="1:18" ht="13.15">
      <c r="B89" s="76" t="s">
        <v>112</v>
      </c>
      <c r="C89" s="76"/>
      <c r="D89" s="135"/>
      <c r="E89" s="100"/>
      <c r="F89" s="85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05"/>
    </row>
    <row r="90" spans="1:18">
      <c r="A90" s="70">
        <f>A86+1</f>
        <v>42</v>
      </c>
      <c r="B90" s="133" t="s">
        <v>113</v>
      </c>
      <c r="C90" s="133"/>
      <c r="D90" s="78">
        <f t="shared" ref="D90:D98" si="27">SUM(E90:P90)</f>
        <v>-3636057</v>
      </c>
      <c r="E90" s="34">
        <v>-1203651</v>
      </c>
      <c r="F90" s="34">
        <v>-1175793</v>
      </c>
      <c r="G90" s="34">
        <v>-1256613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34">
        <v>0</v>
      </c>
      <c r="P90" s="34">
        <v>0</v>
      </c>
      <c r="Q90" s="122"/>
      <c r="R90" s="123">
        <f t="shared" ref="R90:R98" si="28">SUM(E90:P90)</f>
        <v>-3636057</v>
      </c>
    </row>
    <row r="91" spans="1:18">
      <c r="A91" s="70">
        <v>45</v>
      </c>
      <c r="B91" s="133" t="s">
        <v>114</v>
      </c>
      <c r="C91" s="133"/>
      <c r="D91" s="78">
        <f t="shared" si="27"/>
        <v>-231000</v>
      </c>
      <c r="E91" s="23">
        <v>-77000</v>
      </c>
      <c r="F91" s="23">
        <v>-77000</v>
      </c>
      <c r="G91" s="23">
        <v>-77000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122"/>
      <c r="R91" s="123">
        <f t="shared" si="28"/>
        <v>-231000</v>
      </c>
    </row>
    <row r="92" spans="1:18">
      <c r="A92" s="70">
        <f>A91+1</f>
        <v>46</v>
      </c>
      <c r="B92" s="133" t="s">
        <v>115</v>
      </c>
      <c r="C92" s="133"/>
      <c r="D92" s="78">
        <f t="shared" si="27"/>
        <v>0</v>
      </c>
      <c r="E92" s="34">
        <v>0</v>
      </c>
      <c r="F92" s="34">
        <v>0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34">
        <v>0</v>
      </c>
      <c r="P92" s="34">
        <v>0</v>
      </c>
      <c r="Q92" s="34"/>
      <c r="R92" s="123">
        <f t="shared" si="28"/>
        <v>0</v>
      </c>
    </row>
    <row r="93" spans="1:18">
      <c r="A93" s="70">
        <f>A92+1</f>
        <v>47</v>
      </c>
      <c r="B93" s="133" t="s">
        <v>116</v>
      </c>
      <c r="C93" s="133"/>
      <c r="D93" s="78">
        <f t="shared" si="27"/>
        <v>-412500</v>
      </c>
      <c r="E93" s="34">
        <v>-137500</v>
      </c>
      <c r="F93" s="34">
        <v>-137424</v>
      </c>
      <c r="G93" s="34">
        <v>-137576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34">
        <v>0</v>
      </c>
      <c r="P93" s="34">
        <v>0</v>
      </c>
      <c r="Q93" s="34"/>
      <c r="R93" s="123"/>
    </row>
    <row r="94" spans="1:18">
      <c r="A94" s="70">
        <f>A93+1</f>
        <v>48</v>
      </c>
      <c r="B94" s="133" t="s">
        <v>117</v>
      </c>
      <c r="C94" s="133"/>
      <c r="D94" s="78">
        <f t="shared" si="27"/>
        <v>-328397</v>
      </c>
      <c r="E94" s="34">
        <v>-109526</v>
      </c>
      <c r="F94" s="34">
        <v>-121472</v>
      </c>
      <c r="G94" s="34">
        <v>-97399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34">
        <v>0</v>
      </c>
      <c r="P94" s="34">
        <v>0</v>
      </c>
      <c r="Q94" s="122"/>
      <c r="R94" s="123">
        <f t="shared" si="28"/>
        <v>-328397</v>
      </c>
    </row>
    <row r="95" spans="1:18">
      <c r="A95" s="70">
        <f>+A94+1</f>
        <v>49</v>
      </c>
      <c r="B95" s="2" t="s">
        <v>118</v>
      </c>
      <c r="C95" s="2"/>
      <c r="D95" s="33">
        <f>SUM(E95:P95)</f>
        <v>-30501</v>
      </c>
      <c r="E95" s="137">
        <v>-10167</v>
      </c>
      <c r="F95" s="137">
        <v>-10167</v>
      </c>
      <c r="G95" s="137">
        <v>-10167</v>
      </c>
      <c r="H95" s="137">
        <v>0</v>
      </c>
      <c r="I95" s="137">
        <v>0</v>
      </c>
      <c r="J95" s="137">
        <v>0</v>
      </c>
      <c r="K95" s="137">
        <v>0</v>
      </c>
      <c r="L95" s="137">
        <v>0</v>
      </c>
      <c r="M95" s="137">
        <v>0</v>
      </c>
      <c r="N95" s="137">
        <v>0</v>
      </c>
      <c r="O95" s="137">
        <v>0</v>
      </c>
      <c r="P95" s="137">
        <v>0</v>
      </c>
      <c r="Q95" s="122"/>
      <c r="R95" s="123">
        <f t="shared" si="28"/>
        <v>-30501</v>
      </c>
    </row>
    <row r="96" spans="1:18">
      <c r="A96" s="70">
        <f>+A95+1</f>
        <v>50</v>
      </c>
      <c r="B96" s="133" t="s">
        <v>119</v>
      </c>
      <c r="C96" s="133"/>
      <c r="D96" s="78">
        <f t="shared" si="27"/>
        <v>-28569</v>
      </c>
      <c r="E96" s="34">
        <v>-9523</v>
      </c>
      <c r="F96" s="34">
        <v>-9523</v>
      </c>
      <c r="G96" s="34">
        <v>-9523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138"/>
      <c r="R96" s="123">
        <f t="shared" si="28"/>
        <v>-28569</v>
      </c>
    </row>
    <row r="97" spans="1:18">
      <c r="A97" s="70">
        <f>+A96+1</f>
        <v>51</v>
      </c>
      <c r="B97" s="139" t="s">
        <v>120</v>
      </c>
      <c r="C97" s="139" t="s">
        <v>121</v>
      </c>
      <c r="D97" s="78">
        <f t="shared" si="27"/>
        <v>-444882</v>
      </c>
      <c r="E97" s="125">
        <v>-148294</v>
      </c>
      <c r="F97" s="125">
        <v>-148294</v>
      </c>
      <c r="G97" s="125">
        <v>-148294</v>
      </c>
      <c r="H97" s="125">
        <v>0</v>
      </c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5">
        <v>0</v>
      </c>
      <c r="O97" s="125">
        <v>0</v>
      </c>
      <c r="P97" s="125">
        <v>0</v>
      </c>
      <c r="Q97" s="122"/>
      <c r="R97" s="126">
        <f t="shared" si="28"/>
        <v>-444882</v>
      </c>
    </row>
    <row r="98" spans="1:18" s="92" customFormat="1" ht="20.25" customHeight="1">
      <c r="A98" s="103">
        <f>A97+1</f>
        <v>52</v>
      </c>
      <c r="B98" s="140" t="s">
        <v>122</v>
      </c>
      <c r="C98" s="140"/>
      <c r="D98" s="88">
        <f t="shared" si="27"/>
        <v>-5111906</v>
      </c>
      <c r="E98" s="88">
        <f>SUM(E90:E97)</f>
        <v>-1695661</v>
      </c>
      <c r="F98" s="88">
        <f t="shared" ref="F98:P98" si="29">SUM(F90:F97)</f>
        <v>-1679673</v>
      </c>
      <c r="G98" s="88">
        <f t="shared" si="29"/>
        <v>-1736572</v>
      </c>
      <c r="H98" s="88">
        <f t="shared" si="29"/>
        <v>0</v>
      </c>
      <c r="I98" s="88">
        <f t="shared" si="29"/>
        <v>0</v>
      </c>
      <c r="J98" s="88">
        <f t="shared" si="29"/>
        <v>0</v>
      </c>
      <c r="K98" s="88">
        <f t="shared" si="29"/>
        <v>0</v>
      </c>
      <c r="L98" s="88">
        <f t="shared" si="29"/>
        <v>0</v>
      </c>
      <c r="M98" s="88">
        <f t="shared" si="29"/>
        <v>0</v>
      </c>
      <c r="N98" s="88">
        <f t="shared" si="29"/>
        <v>0</v>
      </c>
      <c r="O98" s="88">
        <f t="shared" si="29"/>
        <v>0</v>
      </c>
      <c r="P98" s="88">
        <f t="shared" si="29"/>
        <v>0</v>
      </c>
      <c r="Q98" s="127"/>
      <c r="R98" s="128">
        <f t="shared" si="28"/>
        <v>-5111906</v>
      </c>
    </row>
    <row r="99" spans="1:18">
      <c r="A99" s="70"/>
      <c r="E99" s="78"/>
      <c r="F99" s="78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122"/>
      <c r="R99" s="123"/>
    </row>
    <row r="100" spans="1:18" ht="13.15">
      <c r="A100" s="70"/>
      <c r="B100" s="75" t="s">
        <v>123</v>
      </c>
      <c r="C100" s="75"/>
      <c r="E100" s="78"/>
      <c r="F100" s="78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122"/>
      <c r="R100" s="123"/>
    </row>
    <row r="101" spans="1:18">
      <c r="A101" s="70">
        <f>A98+1</f>
        <v>53</v>
      </c>
      <c r="B101" s="2" t="s">
        <v>124</v>
      </c>
      <c r="C101" s="2"/>
      <c r="D101" s="78">
        <f>SUM(E101:P101)</f>
        <v>5082477</v>
      </c>
      <c r="E101" s="34">
        <v>1548018</v>
      </c>
      <c r="F101" s="141">
        <v>1815874</v>
      </c>
      <c r="G101" s="141">
        <v>1718585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22"/>
      <c r="R101" s="123">
        <f>SUM(E101:P101)</f>
        <v>5082477</v>
      </c>
    </row>
    <row r="102" spans="1:18">
      <c r="A102" s="70">
        <f>A101+1</f>
        <v>54</v>
      </c>
      <c r="B102" s="2" t="s">
        <v>125</v>
      </c>
      <c r="C102" s="2" t="s">
        <v>67</v>
      </c>
      <c r="D102" s="78">
        <f>SUM(E102:P102)</f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22"/>
      <c r="R102" s="123">
        <f>SUM(E102:P102)</f>
        <v>0</v>
      </c>
    </row>
    <row r="103" spans="1:18">
      <c r="A103" s="142">
        <f>A102+1</f>
        <v>55</v>
      </c>
      <c r="B103" s="8" t="s">
        <v>126</v>
      </c>
      <c r="C103" s="8"/>
      <c r="D103" s="78">
        <f>SUM(E103:P103)</f>
        <v>13608</v>
      </c>
      <c r="E103" s="125">
        <v>4536</v>
      </c>
      <c r="F103" s="125">
        <v>4536</v>
      </c>
      <c r="G103" s="125">
        <v>4536</v>
      </c>
      <c r="H103" s="125">
        <v>0</v>
      </c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5">
        <v>0</v>
      </c>
      <c r="O103" s="125">
        <v>0</v>
      </c>
      <c r="P103" s="125">
        <v>0</v>
      </c>
      <c r="Q103" s="122"/>
      <c r="R103" s="126">
        <f>SUM(E103:P103)</f>
        <v>13608</v>
      </c>
    </row>
    <row r="104" spans="1:18" s="92" customFormat="1" ht="20.25" customHeight="1">
      <c r="A104" s="103">
        <f>A103+1</f>
        <v>56</v>
      </c>
      <c r="B104" s="140" t="s">
        <v>127</v>
      </c>
      <c r="C104" s="140"/>
      <c r="D104" s="88">
        <f>SUM(E104:P104)</f>
        <v>5096085</v>
      </c>
      <c r="E104" s="58">
        <f t="shared" ref="E104:P104" si="30">SUM(E101:E103)</f>
        <v>1552554</v>
      </c>
      <c r="F104" s="58">
        <f t="shared" si="30"/>
        <v>1820410</v>
      </c>
      <c r="G104" s="58">
        <f t="shared" si="30"/>
        <v>1723121</v>
      </c>
      <c r="H104" s="58">
        <f t="shared" si="30"/>
        <v>0</v>
      </c>
      <c r="I104" s="58">
        <f t="shared" si="30"/>
        <v>0</v>
      </c>
      <c r="J104" s="58">
        <f t="shared" si="30"/>
        <v>0</v>
      </c>
      <c r="K104" s="58">
        <f t="shared" si="30"/>
        <v>0</v>
      </c>
      <c r="L104" s="58">
        <f t="shared" si="30"/>
        <v>0</v>
      </c>
      <c r="M104" s="58">
        <f t="shared" si="30"/>
        <v>0</v>
      </c>
      <c r="N104" s="58">
        <f t="shared" si="30"/>
        <v>0</v>
      </c>
      <c r="O104" s="58">
        <f t="shared" si="30"/>
        <v>0</v>
      </c>
      <c r="P104" s="58">
        <f t="shared" si="30"/>
        <v>0</v>
      </c>
      <c r="Q104" s="127"/>
      <c r="R104" s="128">
        <f>SUM(E104:P104)</f>
        <v>5096085</v>
      </c>
    </row>
    <row r="105" spans="1:18">
      <c r="A105" s="70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122"/>
      <c r="R105" s="123"/>
    </row>
    <row r="106" spans="1:18" ht="13.15">
      <c r="A106" s="70"/>
      <c r="B106" s="75" t="s">
        <v>128</v>
      </c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122"/>
      <c r="R106" s="123"/>
    </row>
    <row r="107" spans="1:18">
      <c r="A107" s="70">
        <f>A104+1</f>
        <v>57</v>
      </c>
      <c r="B107" s="2" t="s">
        <v>129</v>
      </c>
      <c r="D107" s="78">
        <f>SUM(E107:P107)</f>
        <v>81931</v>
      </c>
      <c r="E107" s="85">
        <v>20893</v>
      </c>
      <c r="F107" s="85">
        <v>28383</v>
      </c>
      <c r="G107" s="85">
        <v>32655</v>
      </c>
      <c r="H107" s="85">
        <v>0</v>
      </c>
      <c r="I107" s="85">
        <v>0</v>
      </c>
      <c r="J107" s="85">
        <v>0</v>
      </c>
      <c r="K107" s="85">
        <v>0</v>
      </c>
      <c r="L107" s="85">
        <v>0</v>
      </c>
      <c r="M107" s="85">
        <v>0</v>
      </c>
      <c r="N107" s="85">
        <v>0</v>
      </c>
      <c r="O107" s="85">
        <v>0</v>
      </c>
      <c r="P107" s="85">
        <v>0</v>
      </c>
      <c r="Q107" s="122"/>
      <c r="R107" s="123"/>
    </row>
    <row r="108" spans="1:18">
      <c r="A108" s="70">
        <f>A107+1</f>
        <v>58</v>
      </c>
      <c r="B108" t="s">
        <v>130</v>
      </c>
      <c r="D108" s="78">
        <f>SUM(E108:P108)</f>
        <v>0</v>
      </c>
      <c r="E108" s="85">
        <v>0</v>
      </c>
      <c r="F108" s="85">
        <v>0</v>
      </c>
      <c r="G108" s="85">
        <v>0</v>
      </c>
      <c r="H108" s="85">
        <v>0</v>
      </c>
      <c r="I108" s="85">
        <v>0</v>
      </c>
      <c r="J108" s="85">
        <v>0</v>
      </c>
      <c r="K108" s="85">
        <v>0</v>
      </c>
      <c r="L108" s="85">
        <v>0</v>
      </c>
      <c r="M108" s="85">
        <v>0</v>
      </c>
      <c r="N108" s="85">
        <v>0</v>
      </c>
      <c r="O108" s="85">
        <v>0</v>
      </c>
      <c r="P108" s="85">
        <v>0</v>
      </c>
      <c r="Q108" s="122"/>
      <c r="R108" s="123"/>
    </row>
    <row r="109" spans="1:18">
      <c r="A109" s="70">
        <f>A108+1</f>
        <v>59</v>
      </c>
      <c r="B109" t="s">
        <v>131</v>
      </c>
      <c r="C109" t="s">
        <v>132</v>
      </c>
      <c r="D109" s="78">
        <f>SUM(E109:P109)</f>
        <v>36514</v>
      </c>
      <c r="E109" s="85">
        <v>8671</v>
      </c>
      <c r="F109" s="85">
        <v>12827</v>
      </c>
      <c r="G109" s="85">
        <v>15016</v>
      </c>
      <c r="H109" s="85">
        <v>0</v>
      </c>
      <c r="I109" s="85">
        <v>0</v>
      </c>
      <c r="J109" s="85">
        <v>0</v>
      </c>
      <c r="K109" s="85">
        <v>0</v>
      </c>
      <c r="L109" s="85">
        <v>0</v>
      </c>
      <c r="M109" s="85">
        <v>0</v>
      </c>
      <c r="N109" s="85">
        <v>0</v>
      </c>
      <c r="O109" s="85">
        <v>0</v>
      </c>
      <c r="P109" s="85">
        <v>0</v>
      </c>
      <c r="Q109" s="122"/>
      <c r="R109" s="123"/>
    </row>
    <row r="110" spans="1:18">
      <c r="A110" s="70">
        <f>A109+1</f>
        <v>60</v>
      </c>
      <c r="B110" t="s">
        <v>133</v>
      </c>
      <c r="C110" t="s">
        <v>134</v>
      </c>
      <c r="D110" s="78">
        <f>SUM(E110:P110)</f>
        <v>10691</v>
      </c>
      <c r="E110" s="85">
        <v>3687</v>
      </c>
      <c r="F110" s="85">
        <v>3313</v>
      </c>
      <c r="G110" s="85">
        <v>3691</v>
      </c>
      <c r="H110" s="85">
        <v>0</v>
      </c>
      <c r="I110" s="85">
        <v>0</v>
      </c>
      <c r="J110" s="85">
        <v>0</v>
      </c>
      <c r="K110" s="85">
        <v>0</v>
      </c>
      <c r="L110" s="85">
        <v>0</v>
      </c>
      <c r="M110" s="85">
        <v>0</v>
      </c>
      <c r="N110" s="85">
        <v>0</v>
      </c>
      <c r="O110" s="85">
        <v>0</v>
      </c>
      <c r="P110" s="85">
        <v>0</v>
      </c>
      <c r="Q110" s="122"/>
      <c r="R110" s="123"/>
    </row>
    <row r="111" spans="1:18" s="92" customFormat="1" ht="20.25" customHeight="1">
      <c r="A111" s="70">
        <f>A110+1</f>
        <v>61</v>
      </c>
      <c r="B111" s="140" t="s">
        <v>135</v>
      </c>
      <c r="C111" s="140"/>
      <c r="D111" s="88">
        <f>D107+D108+D109+D110</f>
        <v>129136</v>
      </c>
      <c r="E111" s="88">
        <f>E107+E108+E109+E110</f>
        <v>33251</v>
      </c>
      <c r="F111" s="88">
        <f t="shared" ref="F111:P111" si="31">F107+F108+F109+F110</f>
        <v>44523</v>
      </c>
      <c r="G111" s="88">
        <f t="shared" si="31"/>
        <v>51362</v>
      </c>
      <c r="H111" s="88">
        <f t="shared" si="31"/>
        <v>0</v>
      </c>
      <c r="I111" s="88">
        <f t="shared" si="31"/>
        <v>0</v>
      </c>
      <c r="J111" s="88">
        <f t="shared" si="31"/>
        <v>0</v>
      </c>
      <c r="K111" s="88">
        <f t="shared" si="31"/>
        <v>0</v>
      </c>
      <c r="L111" s="88">
        <f t="shared" si="31"/>
        <v>0</v>
      </c>
      <c r="M111" s="88">
        <f t="shared" si="31"/>
        <v>0</v>
      </c>
      <c r="N111" s="88">
        <f t="shared" si="31"/>
        <v>0</v>
      </c>
      <c r="O111" s="88">
        <f t="shared" si="31"/>
        <v>0</v>
      </c>
      <c r="P111" s="88">
        <f t="shared" si="31"/>
        <v>0</v>
      </c>
      <c r="Q111" s="127"/>
      <c r="R111" s="128"/>
    </row>
    <row r="112" spans="1:18" ht="9" customHeight="1">
      <c r="A112" s="70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122"/>
      <c r="R112" s="123"/>
    </row>
    <row r="113" spans="1:18" ht="13.15">
      <c r="A113" s="70"/>
      <c r="B113" s="143" t="s">
        <v>136</v>
      </c>
      <c r="C113" s="143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122"/>
      <c r="R113" s="123"/>
    </row>
    <row r="114" spans="1:18">
      <c r="A114" s="70">
        <f>A111+1</f>
        <v>62</v>
      </c>
      <c r="B114" t="s">
        <v>137</v>
      </c>
      <c r="D114" s="78">
        <f>SUM(E114:P114)</f>
        <v>-1736747</v>
      </c>
      <c r="E114" s="77">
        <v>-3219304</v>
      </c>
      <c r="F114" s="77">
        <v>1501227</v>
      </c>
      <c r="G114" s="77">
        <v>-18670</v>
      </c>
      <c r="H114" s="77">
        <v>0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77">
        <v>0</v>
      </c>
      <c r="O114" s="77">
        <v>0</v>
      </c>
      <c r="P114" s="77">
        <v>0</v>
      </c>
      <c r="Q114" s="122"/>
      <c r="R114" s="123">
        <f t="shared" ref="R114:R125" si="32">SUM(E114:P114)</f>
        <v>-1736747</v>
      </c>
    </row>
    <row r="115" spans="1:18">
      <c r="A115" s="70">
        <f>A114+1</f>
        <v>63</v>
      </c>
      <c r="B115" t="s">
        <v>138</v>
      </c>
      <c r="D115" s="78">
        <f t="shared" ref="D115:D125" si="33">SUM(E115:P115)</f>
        <v>1737439</v>
      </c>
      <c r="E115" s="77">
        <v>3077287</v>
      </c>
      <c r="F115" s="77">
        <v>-1109407</v>
      </c>
      <c r="G115" s="77">
        <v>-230441</v>
      </c>
      <c r="H115" s="77">
        <v>0</v>
      </c>
      <c r="I115" s="77">
        <v>0</v>
      </c>
      <c r="J115" s="77">
        <v>0</v>
      </c>
      <c r="K115" s="77">
        <v>0</v>
      </c>
      <c r="L115" s="77">
        <v>0</v>
      </c>
      <c r="M115" s="77">
        <v>0</v>
      </c>
      <c r="N115" s="77">
        <v>0</v>
      </c>
      <c r="O115" s="77">
        <v>0</v>
      </c>
      <c r="P115" s="77">
        <v>0</v>
      </c>
      <c r="Q115" s="122"/>
      <c r="R115" s="123">
        <f t="shared" si="32"/>
        <v>1737439</v>
      </c>
    </row>
    <row r="116" spans="1:18">
      <c r="A116" s="70">
        <f t="shared" ref="A116:A125" si="34">A115+1</f>
        <v>64</v>
      </c>
      <c r="B116" t="s">
        <v>139</v>
      </c>
      <c r="D116" s="78">
        <f t="shared" si="33"/>
        <v>393794</v>
      </c>
      <c r="E116" s="77">
        <v>104025</v>
      </c>
      <c r="F116" s="77">
        <v>192213</v>
      </c>
      <c r="G116" s="77">
        <v>97556</v>
      </c>
      <c r="H116" s="77">
        <v>0</v>
      </c>
      <c r="I116" s="77">
        <v>0</v>
      </c>
      <c r="J116" s="77">
        <v>0</v>
      </c>
      <c r="K116" s="77">
        <v>0</v>
      </c>
      <c r="L116" s="77">
        <v>0</v>
      </c>
      <c r="M116" s="77">
        <v>0</v>
      </c>
      <c r="N116" s="77">
        <v>0</v>
      </c>
      <c r="O116" s="77">
        <v>0</v>
      </c>
      <c r="P116" s="77">
        <v>0</v>
      </c>
      <c r="Q116" s="122"/>
      <c r="R116" s="123">
        <f t="shared" si="32"/>
        <v>393794</v>
      </c>
    </row>
    <row r="117" spans="1:18">
      <c r="A117" s="70">
        <f t="shared" si="34"/>
        <v>65</v>
      </c>
      <c r="B117" s="2" t="s">
        <v>140</v>
      </c>
      <c r="C117" s="2"/>
      <c r="D117" s="78">
        <f t="shared" si="33"/>
        <v>-393794</v>
      </c>
      <c r="E117" s="77">
        <v>-104025</v>
      </c>
      <c r="F117" s="77">
        <v>-192213</v>
      </c>
      <c r="G117" s="77">
        <v>-97556</v>
      </c>
      <c r="H117" s="77">
        <v>0</v>
      </c>
      <c r="I117" s="77">
        <v>0</v>
      </c>
      <c r="J117" s="77">
        <v>0</v>
      </c>
      <c r="K117" s="77">
        <v>0</v>
      </c>
      <c r="L117" s="77">
        <v>0</v>
      </c>
      <c r="M117" s="77">
        <v>0</v>
      </c>
      <c r="N117" s="77">
        <v>0</v>
      </c>
      <c r="O117" s="77">
        <v>0</v>
      </c>
      <c r="P117" s="77">
        <v>0</v>
      </c>
      <c r="Q117" s="122"/>
      <c r="R117" s="123">
        <f>SUM(E117:P117)</f>
        <v>-393794</v>
      </c>
    </row>
    <row r="118" spans="1:18">
      <c r="A118" s="70">
        <f t="shared" si="34"/>
        <v>66</v>
      </c>
      <c r="B118" t="s">
        <v>141</v>
      </c>
      <c r="D118" s="78">
        <f t="shared" si="33"/>
        <v>9318161</v>
      </c>
      <c r="E118" s="77">
        <v>2299563</v>
      </c>
      <c r="F118" s="77">
        <v>2459022</v>
      </c>
      <c r="G118" s="77">
        <v>4559576</v>
      </c>
      <c r="H118" s="77">
        <v>0</v>
      </c>
      <c r="I118" s="77">
        <v>0</v>
      </c>
      <c r="J118" s="77">
        <v>0</v>
      </c>
      <c r="K118" s="77">
        <v>0</v>
      </c>
      <c r="L118" s="77">
        <v>0</v>
      </c>
      <c r="M118" s="77">
        <v>0</v>
      </c>
      <c r="N118" s="77">
        <v>0</v>
      </c>
      <c r="O118" s="77">
        <v>0</v>
      </c>
      <c r="P118" s="77">
        <v>0</v>
      </c>
      <c r="Q118" s="122"/>
      <c r="R118" s="123">
        <f t="shared" si="32"/>
        <v>9318161</v>
      </c>
    </row>
    <row r="119" spans="1:18">
      <c r="A119" s="70">
        <f t="shared" si="34"/>
        <v>67</v>
      </c>
      <c r="B119" s="2" t="s">
        <v>142</v>
      </c>
      <c r="C119" s="2"/>
      <c r="D119" s="78">
        <f t="shared" si="33"/>
        <v>2583050</v>
      </c>
      <c r="E119" s="77">
        <v>4105989</v>
      </c>
      <c r="F119" s="77">
        <v>-1177715</v>
      </c>
      <c r="G119" s="77">
        <v>-345224</v>
      </c>
      <c r="H119" s="77">
        <v>0</v>
      </c>
      <c r="I119" s="77">
        <v>0</v>
      </c>
      <c r="J119" s="77">
        <v>0</v>
      </c>
      <c r="K119" s="77">
        <v>0</v>
      </c>
      <c r="L119" s="77">
        <v>0</v>
      </c>
      <c r="M119" s="77">
        <v>0</v>
      </c>
      <c r="N119" s="77">
        <v>0</v>
      </c>
      <c r="O119" s="77">
        <v>0</v>
      </c>
      <c r="P119" s="77">
        <v>0</v>
      </c>
      <c r="Q119" s="122"/>
      <c r="R119" s="123">
        <f t="shared" si="32"/>
        <v>2583050</v>
      </c>
    </row>
    <row r="120" spans="1:18">
      <c r="A120" s="70">
        <f t="shared" si="34"/>
        <v>68</v>
      </c>
      <c r="B120" t="s">
        <v>143</v>
      </c>
      <c r="D120" s="78">
        <f t="shared" si="33"/>
        <v>-11573278</v>
      </c>
      <c r="E120" s="77">
        <v>-4261910</v>
      </c>
      <c r="F120" s="77">
        <v>-2694357</v>
      </c>
      <c r="G120" s="77">
        <v>-4617011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122"/>
      <c r="R120" s="123">
        <f t="shared" si="32"/>
        <v>-11573278</v>
      </c>
    </row>
    <row r="121" spans="1:18">
      <c r="A121" s="70">
        <f t="shared" si="34"/>
        <v>69</v>
      </c>
      <c r="B121" t="s">
        <v>144</v>
      </c>
      <c r="D121" s="78">
        <f t="shared" si="33"/>
        <v>-153690</v>
      </c>
      <c r="E121" s="77">
        <v>-45009</v>
      </c>
      <c r="F121" s="77">
        <v>-53303</v>
      </c>
      <c r="G121" s="77">
        <v>-55378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122"/>
      <c r="R121" s="123"/>
    </row>
    <row r="122" spans="1:18">
      <c r="A122" s="70">
        <f t="shared" si="34"/>
        <v>70</v>
      </c>
      <c r="B122" t="s">
        <v>145</v>
      </c>
      <c r="D122" s="78">
        <f t="shared" si="33"/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77">
        <v>0</v>
      </c>
      <c r="O122" s="77">
        <v>0</v>
      </c>
      <c r="P122" s="77">
        <v>0</v>
      </c>
      <c r="Q122" s="122"/>
      <c r="R122" s="123"/>
    </row>
    <row r="123" spans="1:18">
      <c r="A123" s="70">
        <f t="shared" si="34"/>
        <v>71</v>
      </c>
      <c r="B123" t="s">
        <v>146</v>
      </c>
      <c r="D123" s="78">
        <f t="shared" si="33"/>
        <v>-247323</v>
      </c>
      <c r="E123" s="77">
        <v>0</v>
      </c>
      <c r="F123" s="77">
        <v>-229809</v>
      </c>
      <c r="G123" s="77">
        <v>-17514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0</v>
      </c>
      <c r="O123" s="77">
        <v>0</v>
      </c>
      <c r="P123" s="77">
        <v>0</v>
      </c>
      <c r="Q123" s="122"/>
      <c r="R123" s="123">
        <f t="shared" si="32"/>
        <v>-247323</v>
      </c>
    </row>
    <row r="124" spans="1:18">
      <c r="A124" s="70">
        <f t="shared" si="34"/>
        <v>72</v>
      </c>
      <c r="B124" s="2" t="s">
        <v>147</v>
      </c>
      <c r="C124" s="2"/>
      <c r="D124" s="78">
        <f t="shared" si="33"/>
        <v>61305</v>
      </c>
      <c r="E124" s="12">
        <v>0</v>
      </c>
      <c r="F124" s="12">
        <v>39330</v>
      </c>
      <c r="G124" s="12">
        <v>21975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2"/>
      <c r="R124" s="123">
        <f>SUM(E124:P124)</f>
        <v>61305</v>
      </c>
    </row>
    <row r="125" spans="1:18">
      <c r="A125" s="70">
        <f t="shared" si="34"/>
        <v>73</v>
      </c>
      <c r="B125" s="124" t="s">
        <v>148</v>
      </c>
      <c r="C125" s="124"/>
      <c r="D125" s="78">
        <f t="shared" si="33"/>
        <v>-61305</v>
      </c>
      <c r="E125" s="144">
        <v>0</v>
      </c>
      <c r="F125" s="144">
        <v>-39330</v>
      </c>
      <c r="G125" s="144">
        <v>-21975</v>
      </c>
      <c r="H125" s="144">
        <v>0</v>
      </c>
      <c r="I125" s="144">
        <v>0</v>
      </c>
      <c r="J125" s="144">
        <v>0</v>
      </c>
      <c r="K125" s="144">
        <v>0</v>
      </c>
      <c r="L125" s="144">
        <v>0</v>
      </c>
      <c r="M125" s="144">
        <v>0</v>
      </c>
      <c r="N125" s="144">
        <v>0</v>
      </c>
      <c r="O125" s="144">
        <v>0</v>
      </c>
      <c r="P125" s="144">
        <v>0</v>
      </c>
      <c r="Q125" s="122"/>
      <c r="R125" s="126">
        <f t="shared" si="32"/>
        <v>-61305</v>
      </c>
    </row>
    <row r="126" spans="1:18" ht="22.5" customHeight="1">
      <c r="A126" s="145">
        <f>+A125+1</f>
        <v>74</v>
      </c>
      <c r="B126" s="140" t="s">
        <v>149</v>
      </c>
      <c r="C126" s="140"/>
      <c r="D126" s="88">
        <f>SUM(E126:P126)</f>
        <v>-72388</v>
      </c>
      <c r="E126" s="146">
        <f>SUM(E114:E125)</f>
        <v>1956616</v>
      </c>
      <c r="F126" s="146">
        <f t="shared" ref="F126:P126" si="35">SUM(F114:F125)</f>
        <v>-1304342</v>
      </c>
      <c r="G126" s="146">
        <f t="shared" si="35"/>
        <v>-724662</v>
      </c>
      <c r="H126" s="146">
        <f t="shared" si="35"/>
        <v>0</v>
      </c>
      <c r="I126" s="146">
        <f t="shared" si="35"/>
        <v>0</v>
      </c>
      <c r="J126" s="146">
        <f t="shared" si="35"/>
        <v>0</v>
      </c>
      <c r="K126" s="146">
        <f t="shared" si="35"/>
        <v>0</v>
      </c>
      <c r="L126" s="146">
        <f t="shared" si="35"/>
        <v>0</v>
      </c>
      <c r="M126" s="146">
        <f t="shared" si="35"/>
        <v>0</v>
      </c>
      <c r="N126" s="146">
        <f t="shared" si="35"/>
        <v>0</v>
      </c>
      <c r="O126" s="146">
        <f t="shared" si="35"/>
        <v>0</v>
      </c>
      <c r="P126" s="146">
        <f t="shared" si="35"/>
        <v>0</v>
      </c>
      <c r="Q126" s="122"/>
      <c r="R126" s="147">
        <f>SUM(R114:R125)</f>
        <v>81302</v>
      </c>
    </row>
    <row r="127" spans="1:18" ht="9" customHeight="1">
      <c r="A127" s="70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122"/>
      <c r="R127" s="123"/>
    </row>
    <row r="128" spans="1:18" ht="9" customHeight="1">
      <c r="A128" s="7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122"/>
      <c r="R128" s="123"/>
    </row>
    <row r="129" spans="1:19">
      <c r="A129" s="70">
        <f>A126+1</f>
        <v>75</v>
      </c>
      <c r="B129" s="4" t="s">
        <v>150</v>
      </c>
      <c r="C129" s="4"/>
      <c r="D129" s="148">
        <f>SUM(E129:P129)</f>
        <v>0</v>
      </c>
      <c r="E129" s="149">
        <v>0</v>
      </c>
      <c r="F129" s="149">
        <v>0</v>
      </c>
      <c r="G129" s="149">
        <v>0</v>
      </c>
      <c r="H129" s="149">
        <v>0</v>
      </c>
      <c r="I129" s="149">
        <v>0</v>
      </c>
      <c r="J129" s="149">
        <v>0</v>
      </c>
      <c r="K129" s="149">
        <v>0</v>
      </c>
      <c r="L129" s="149">
        <v>0</v>
      </c>
      <c r="M129" s="149">
        <v>0</v>
      </c>
      <c r="N129" s="149">
        <v>0</v>
      </c>
      <c r="O129" s="149">
        <v>0</v>
      </c>
      <c r="P129" s="149">
        <v>0</v>
      </c>
      <c r="Q129" s="122"/>
      <c r="R129" s="123">
        <f>SUM(E129:P129)</f>
        <v>0</v>
      </c>
    </row>
    <row r="130" spans="1:19" ht="18.75" customHeight="1">
      <c r="A130" s="145">
        <f>A129+1</f>
        <v>76</v>
      </c>
      <c r="B130" s="140" t="s">
        <v>151</v>
      </c>
      <c r="C130" s="140"/>
      <c r="D130" s="150">
        <f>SUM(E130:P130)</f>
        <v>0</v>
      </c>
      <c r="E130" s="58">
        <f t="shared" ref="E130:P130" si="36">IF(E24=0," ",E129)</f>
        <v>0</v>
      </c>
      <c r="F130" s="58">
        <f t="shared" si="36"/>
        <v>0</v>
      </c>
      <c r="G130" s="58">
        <f t="shared" si="36"/>
        <v>0</v>
      </c>
      <c r="H130" s="58" t="str">
        <f t="shared" si="36"/>
        <v xml:space="preserve"> </v>
      </c>
      <c r="I130" s="58" t="str">
        <f t="shared" si="36"/>
        <v xml:space="preserve"> </v>
      </c>
      <c r="J130" s="58" t="str">
        <f t="shared" si="36"/>
        <v xml:space="preserve"> </v>
      </c>
      <c r="K130" s="58" t="str">
        <f t="shared" si="36"/>
        <v xml:space="preserve"> </v>
      </c>
      <c r="L130" s="58" t="str">
        <f t="shared" si="36"/>
        <v xml:space="preserve"> </v>
      </c>
      <c r="M130" s="58" t="str">
        <f t="shared" si="36"/>
        <v xml:space="preserve"> </v>
      </c>
      <c r="N130" s="58" t="str">
        <f t="shared" si="36"/>
        <v xml:space="preserve"> </v>
      </c>
      <c r="O130" s="58" t="str">
        <f t="shared" si="36"/>
        <v xml:space="preserve"> </v>
      </c>
      <c r="P130" s="58" t="str">
        <f t="shared" si="36"/>
        <v xml:space="preserve"> </v>
      </c>
      <c r="Q130" s="122"/>
      <c r="R130" s="123">
        <f>SUM(E130:P130)</f>
        <v>0</v>
      </c>
    </row>
    <row r="131" spans="1:19" ht="9" customHeight="1">
      <c r="A131" s="70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122"/>
      <c r="R131" s="123"/>
    </row>
    <row r="132" spans="1:19" ht="9" customHeight="1">
      <c r="A132" s="70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122"/>
      <c r="R132" s="123"/>
    </row>
    <row r="133" spans="1:19">
      <c r="A133" s="70">
        <f>A130+1</f>
        <v>77</v>
      </c>
      <c r="B133" s="133" t="s">
        <v>152</v>
      </c>
      <c r="C133" s="133"/>
      <c r="D133" s="149">
        <f>SUM(E133:P133)</f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>
        <v>0</v>
      </c>
      <c r="P133" s="151">
        <v>0</v>
      </c>
      <c r="Q133" s="122"/>
      <c r="R133" s="123">
        <f>SUM(E133:P133)</f>
        <v>0</v>
      </c>
      <c r="S133" s="152" t="s">
        <v>64</v>
      </c>
    </row>
    <row r="134" spans="1:19">
      <c r="A134" s="142">
        <f>A133+1</f>
        <v>78</v>
      </c>
      <c r="B134" s="153" t="s">
        <v>153</v>
      </c>
      <c r="C134" s="153"/>
      <c r="D134" s="150">
        <f>SUM(E134:P134)</f>
        <v>124</v>
      </c>
      <c r="E134" s="125">
        <v>18</v>
      </c>
      <c r="F134" s="125">
        <v>51</v>
      </c>
      <c r="G134" s="125">
        <v>55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25">
        <v>0</v>
      </c>
      <c r="N134" s="125">
        <v>0</v>
      </c>
      <c r="O134" s="125">
        <v>0</v>
      </c>
      <c r="P134" s="125">
        <v>0</v>
      </c>
      <c r="Q134" s="122"/>
      <c r="R134" s="126">
        <f>SUM(E134:P134)</f>
        <v>124</v>
      </c>
    </row>
    <row r="135" spans="1:19" ht="17.25" customHeight="1">
      <c r="A135" s="70">
        <f>A134+1</f>
        <v>79</v>
      </c>
      <c r="B135" s="62" t="s">
        <v>154</v>
      </c>
      <c r="C135" s="62"/>
      <c r="D135" s="154">
        <f>SUM(E135:P135)</f>
        <v>124</v>
      </c>
      <c r="E135" s="154">
        <f>E134-E133</f>
        <v>18</v>
      </c>
      <c r="F135" s="154">
        <f t="shared" ref="F135:P135" si="37">F134-F133</f>
        <v>51</v>
      </c>
      <c r="G135" s="154">
        <f t="shared" si="37"/>
        <v>55</v>
      </c>
      <c r="H135" s="154">
        <f t="shared" si="37"/>
        <v>0</v>
      </c>
      <c r="I135" s="154">
        <f t="shared" si="37"/>
        <v>0</v>
      </c>
      <c r="J135" s="154">
        <f t="shared" si="37"/>
        <v>0</v>
      </c>
      <c r="K135" s="154">
        <f t="shared" si="37"/>
        <v>0</v>
      </c>
      <c r="L135" s="154">
        <f t="shared" si="37"/>
        <v>0</v>
      </c>
      <c r="M135" s="154">
        <f t="shared" si="37"/>
        <v>0</v>
      </c>
      <c r="N135" s="154">
        <f t="shared" si="37"/>
        <v>0</v>
      </c>
      <c r="O135" s="154">
        <f t="shared" si="37"/>
        <v>0</v>
      </c>
      <c r="P135" s="154">
        <f t="shared" si="37"/>
        <v>0</v>
      </c>
      <c r="Q135" s="122"/>
      <c r="R135" s="123">
        <f>SUM(E135:P135)</f>
        <v>124</v>
      </c>
    </row>
    <row r="136" spans="1:19" ht="17.25" customHeight="1">
      <c r="A136" s="70"/>
      <c r="B136" s="62"/>
      <c r="C136" s="62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22"/>
      <c r="R136" s="123"/>
    </row>
    <row r="137" spans="1:19">
      <c r="A137" s="70">
        <f>A135+1</f>
        <v>80</v>
      </c>
      <c r="B137" s="133" t="s">
        <v>155</v>
      </c>
      <c r="C137" s="133"/>
      <c r="D137" s="149">
        <f>SUM(E137:P137)</f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22"/>
      <c r="R137" s="123">
        <f>SUM(E137:P137)</f>
        <v>0</v>
      </c>
      <c r="S137" s="152" t="s">
        <v>64</v>
      </c>
    </row>
    <row r="138" spans="1:19">
      <c r="A138" s="70">
        <f>A137+1</f>
        <v>81</v>
      </c>
      <c r="B138" s="133" t="s">
        <v>156</v>
      </c>
      <c r="C138" s="133"/>
      <c r="D138" s="149">
        <f>SUM(E138:P138)</f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0</v>
      </c>
      <c r="M138" s="141">
        <v>0</v>
      </c>
      <c r="N138" s="141">
        <v>0</v>
      </c>
      <c r="O138" s="141">
        <v>0</v>
      </c>
      <c r="P138" s="141">
        <v>0</v>
      </c>
      <c r="Q138" s="122"/>
      <c r="R138" s="123"/>
      <c r="S138" s="152"/>
    </row>
    <row r="139" spans="1:19">
      <c r="A139" s="142">
        <f>A138+1</f>
        <v>82</v>
      </c>
      <c r="B139" s="139" t="s">
        <v>157</v>
      </c>
      <c r="C139" s="153"/>
      <c r="D139" s="150">
        <f>SUM(E139:P139)</f>
        <v>0</v>
      </c>
      <c r="E139" s="125">
        <v>0</v>
      </c>
      <c r="F139" s="125">
        <v>0</v>
      </c>
      <c r="G139" s="125">
        <v>0</v>
      </c>
      <c r="H139" s="125">
        <v>0</v>
      </c>
      <c r="I139" s="125">
        <v>0</v>
      </c>
      <c r="J139" s="125">
        <v>0</v>
      </c>
      <c r="K139" s="125">
        <v>0</v>
      </c>
      <c r="L139" s="125">
        <v>0</v>
      </c>
      <c r="M139" s="125">
        <v>0</v>
      </c>
      <c r="N139" s="125">
        <v>0</v>
      </c>
      <c r="O139" s="125">
        <v>0</v>
      </c>
      <c r="P139" s="125">
        <v>0</v>
      </c>
      <c r="Q139" s="122"/>
      <c r="R139" s="126">
        <f>SUM(E139:P139)</f>
        <v>0</v>
      </c>
    </row>
    <row r="140" spans="1:19" ht="17.25" customHeight="1">
      <c r="A140" s="70">
        <f>A139+1</f>
        <v>83</v>
      </c>
      <c r="B140" s="62" t="s">
        <v>158</v>
      </c>
      <c r="C140" s="62"/>
      <c r="D140" s="154">
        <f>E140+F140+G140+H140+I140+J140+K140</f>
        <v>0</v>
      </c>
      <c r="E140" s="154">
        <f>E137+E138+E139</f>
        <v>0</v>
      </c>
      <c r="F140" s="154">
        <f t="shared" ref="F140:P140" si="38">F137+F138+F139</f>
        <v>0</v>
      </c>
      <c r="G140" s="154">
        <f t="shared" si="38"/>
        <v>0</v>
      </c>
      <c r="H140" s="154">
        <f t="shared" si="38"/>
        <v>0</v>
      </c>
      <c r="I140" s="154">
        <f t="shared" si="38"/>
        <v>0</v>
      </c>
      <c r="J140" s="154">
        <f t="shared" si="38"/>
        <v>0</v>
      </c>
      <c r="K140" s="154">
        <f t="shared" si="38"/>
        <v>0</v>
      </c>
      <c r="L140" s="154">
        <f t="shared" si="38"/>
        <v>0</v>
      </c>
      <c r="M140" s="154">
        <f t="shared" si="38"/>
        <v>0</v>
      </c>
      <c r="N140" s="154">
        <f t="shared" si="38"/>
        <v>0</v>
      </c>
      <c r="O140" s="154">
        <f t="shared" si="38"/>
        <v>0</v>
      </c>
      <c r="P140" s="154">
        <f t="shared" si="38"/>
        <v>0</v>
      </c>
      <c r="Q140" s="154">
        <f>Q137+Q138+Q139</f>
        <v>0</v>
      </c>
      <c r="R140" s="154">
        <f>R137+R138+R139</f>
        <v>0</v>
      </c>
    </row>
    <row r="141" spans="1:19" ht="7.5" customHeight="1">
      <c r="A141" s="70"/>
      <c r="B141" s="155"/>
      <c r="C141" s="155"/>
      <c r="D141" s="156"/>
      <c r="E141" s="149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22"/>
      <c r="R141" s="123"/>
    </row>
    <row r="142" spans="1:19" ht="23.25" customHeight="1">
      <c r="A142" s="103">
        <f>A140+1</f>
        <v>84</v>
      </c>
      <c r="B142" s="87" t="s">
        <v>159</v>
      </c>
      <c r="C142" s="87"/>
      <c r="D142" s="88">
        <f>SUM(E142:P142)</f>
        <v>-72264</v>
      </c>
      <c r="E142" s="58">
        <f t="shared" ref="E142:P142" si="39">IF(E24=0," ",E126+E130+E135)</f>
        <v>1956634</v>
      </c>
      <c r="F142" s="58">
        <f t="shared" si="39"/>
        <v>-1304291</v>
      </c>
      <c r="G142" s="58">
        <f t="shared" si="39"/>
        <v>-724607</v>
      </c>
      <c r="H142" s="58" t="str">
        <f t="shared" si="39"/>
        <v xml:space="preserve"> </v>
      </c>
      <c r="I142" s="58" t="str">
        <f t="shared" si="39"/>
        <v xml:space="preserve"> </v>
      </c>
      <c r="J142" s="58" t="str">
        <f t="shared" si="39"/>
        <v xml:space="preserve"> </v>
      </c>
      <c r="K142" s="58" t="str">
        <f t="shared" si="39"/>
        <v xml:space="preserve"> </v>
      </c>
      <c r="L142" s="58" t="str">
        <f t="shared" si="39"/>
        <v xml:space="preserve"> </v>
      </c>
      <c r="M142" s="58" t="str">
        <f t="shared" si="39"/>
        <v xml:space="preserve"> </v>
      </c>
      <c r="N142" s="58" t="str">
        <f t="shared" si="39"/>
        <v xml:space="preserve"> </v>
      </c>
      <c r="O142" s="58" t="str">
        <f t="shared" si="39"/>
        <v xml:space="preserve"> </v>
      </c>
      <c r="P142" s="58" t="str">
        <f t="shared" si="39"/>
        <v xml:space="preserve"> </v>
      </c>
      <c r="Q142" s="122"/>
      <c r="R142" s="123">
        <f>SUM(F142:Q142)</f>
        <v>-2028898</v>
      </c>
    </row>
    <row r="143" spans="1:19" ht="9.75" customHeight="1">
      <c r="B143" s="2"/>
      <c r="C143" s="2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122"/>
      <c r="R143" s="123"/>
    </row>
    <row r="144" spans="1:19" s="92" customFormat="1" ht="25.5" customHeight="1" thickBot="1">
      <c r="A144" s="157">
        <f>A142+1</f>
        <v>85</v>
      </c>
      <c r="B144" s="158" t="s">
        <v>13</v>
      </c>
      <c r="C144" s="158"/>
      <c r="D144" s="159">
        <f>SUM(E144:P144)</f>
        <v>46657419.497500002</v>
      </c>
      <c r="E144" s="160">
        <f t="shared" ref="E144:P144" si="40">IF(E24=0," ",E86+E98+E104+E111+E142+E140)</f>
        <v>16360348.2368</v>
      </c>
      <c r="F144" s="160">
        <f t="shared" si="40"/>
        <v>19047246.623599999</v>
      </c>
      <c r="G144" s="160">
        <f t="shared" si="40"/>
        <v>11249824.6371</v>
      </c>
      <c r="H144" s="160" t="str">
        <f t="shared" si="40"/>
        <v xml:space="preserve"> </v>
      </c>
      <c r="I144" s="160" t="str">
        <f t="shared" si="40"/>
        <v xml:space="preserve"> </v>
      </c>
      <c r="J144" s="160" t="str">
        <f t="shared" si="40"/>
        <v xml:space="preserve"> </v>
      </c>
      <c r="K144" s="160" t="str">
        <f t="shared" si="40"/>
        <v xml:space="preserve"> </v>
      </c>
      <c r="L144" s="160" t="str">
        <f t="shared" si="40"/>
        <v xml:space="preserve"> </v>
      </c>
      <c r="M144" s="160" t="str">
        <f t="shared" si="40"/>
        <v xml:space="preserve"> </v>
      </c>
      <c r="N144" s="160" t="str">
        <f t="shared" si="40"/>
        <v xml:space="preserve"> </v>
      </c>
      <c r="O144" s="160" t="str">
        <f t="shared" si="40"/>
        <v xml:space="preserve"> </v>
      </c>
      <c r="P144" s="160" t="str">
        <f t="shared" si="40"/>
        <v xml:space="preserve"> </v>
      </c>
      <c r="Q144" s="127"/>
      <c r="R144" s="161"/>
    </row>
    <row r="145" spans="5:17" ht="13.15" thickTop="1"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105"/>
    </row>
    <row r="146" spans="5:17">
      <c r="Q146" s="105"/>
    </row>
    <row r="147" spans="5:17">
      <c r="E147" s="94"/>
      <c r="F147" s="94"/>
      <c r="G147" s="94"/>
      <c r="H147" s="94"/>
      <c r="I147" s="94"/>
      <c r="J147" s="162"/>
      <c r="K147" s="94"/>
      <c r="L147" s="94"/>
      <c r="M147" s="94"/>
      <c r="N147" s="94"/>
      <c r="O147" s="94"/>
      <c r="P147" s="94"/>
      <c r="Q147" s="105"/>
    </row>
    <row r="148" spans="5:17">
      <c r="E148" s="94"/>
      <c r="F148" s="94"/>
      <c r="G148" s="94"/>
      <c r="H148" s="94"/>
      <c r="I148" s="94"/>
      <c r="J148" s="162"/>
      <c r="K148" s="94"/>
      <c r="L148" s="94"/>
      <c r="M148" s="94"/>
      <c r="N148" s="94"/>
      <c r="O148" s="94"/>
      <c r="P148" s="94"/>
      <c r="Q148" s="105"/>
    </row>
    <row r="149" spans="5:17">
      <c r="E149" s="94"/>
      <c r="F149" s="94"/>
      <c r="G149" s="94"/>
      <c r="H149" s="94"/>
      <c r="I149" s="94"/>
      <c r="J149" s="162"/>
      <c r="K149" s="94"/>
      <c r="L149" s="94"/>
      <c r="M149" s="94"/>
      <c r="N149" s="94"/>
      <c r="O149" s="94"/>
      <c r="P149" s="94"/>
      <c r="Q149" s="105"/>
    </row>
    <row r="150" spans="5:17">
      <c r="E150" s="94"/>
      <c r="F150" s="94"/>
      <c r="G150" s="94"/>
      <c r="H150" s="94"/>
      <c r="I150" s="94"/>
      <c r="J150" s="162"/>
      <c r="K150" s="94"/>
      <c r="L150" s="94"/>
      <c r="M150" s="94"/>
      <c r="N150" s="94"/>
      <c r="O150" s="94"/>
      <c r="P150" s="94"/>
      <c r="Q150" s="105"/>
    </row>
    <row r="151" spans="5:17">
      <c r="E151" s="94"/>
      <c r="F151" s="94"/>
      <c r="G151" s="94"/>
      <c r="H151" s="94"/>
      <c r="I151" s="94"/>
      <c r="J151" s="162"/>
      <c r="K151" s="94"/>
      <c r="L151" s="94"/>
      <c r="M151" s="94"/>
      <c r="N151" s="94"/>
      <c r="O151" s="94"/>
      <c r="P151" s="94"/>
      <c r="Q151" s="105"/>
    </row>
    <row r="152" spans="5:17">
      <c r="E152" s="94"/>
      <c r="F152" s="94"/>
      <c r="G152" s="94"/>
      <c r="H152" s="94"/>
      <c r="I152" s="94"/>
      <c r="J152" s="162"/>
      <c r="K152" s="94"/>
      <c r="L152" s="94"/>
      <c r="M152" s="94"/>
      <c r="N152" s="94"/>
      <c r="O152" s="94"/>
      <c r="P152" s="94"/>
      <c r="Q152" s="105"/>
    </row>
    <row r="153" spans="5:17">
      <c r="E153" s="94"/>
      <c r="F153" s="94"/>
      <c r="G153" s="94"/>
      <c r="H153" s="94"/>
      <c r="I153" s="94"/>
      <c r="J153" s="162"/>
      <c r="K153" s="94"/>
      <c r="L153" s="94"/>
      <c r="M153" s="94"/>
      <c r="N153" s="94"/>
      <c r="O153" s="94"/>
      <c r="P153" s="94"/>
      <c r="Q153" s="105"/>
    </row>
    <row r="154" spans="5:17">
      <c r="E154" s="94"/>
      <c r="F154" s="94"/>
      <c r="G154" s="94"/>
      <c r="H154" s="94"/>
      <c r="I154" s="94"/>
      <c r="J154" s="162"/>
      <c r="K154" s="94"/>
      <c r="L154" s="94"/>
      <c r="M154" s="94"/>
      <c r="N154" s="94"/>
      <c r="O154" s="94"/>
      <c r="P154" s="94"/>
      <c r="Q154" s="105"/>
    </row>
    <row r="155" spans="5:17">
      <c r="E155" s="94"/>
      <c r="F155" s="94"/>
      <c r="G155" s="94"/>
      <c r="H155" s="94"/>
      <c r="I155" s="94"/>
      <c r="J155" s="162"/>
      <c r="K155" s="94"/>
      <c r="L155" s="94"/>
      <c r="M155" s="94"/>
      <c r="N155" s="94"/>
      <c r="O155" s="94"/>
      <c r="P155" s="94"/>
      <c r="Q155" s="105"/>
    </row>
    <row r="156" spans="5:17">
      <c r="E156" s="94"/>
      <c r="F156" s="94"/>
      <c r="G156" s="94"/>
      <c r="H156" s="94"/>
      <c r="I156" s="94"/>
      <c r="J156" s="162"/>
      <c r="K156" s="94"/>
      <c r="L156" s="94"/>
      <c r="M156" s="94"/>
      <c r="N156" s="94"/>
      <c r="O156" s="94"/>
      <c r="P156" s="94"/>
      <c r="Q156" s="105"/>
    </row>
    <row r="157" spans="5:17"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105"/>
    </row>
    <row r="158" spans="5:17"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105"/>
    </row>
    <row r="159" spans="5:17"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105"/>
    </row>
    <row r="160" spans="5:17"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105"/>
    </row>
    <row r="161" spans="5:17"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105"/>
    </row>
    <row r="162" spans="5:17"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105"/>
    </row>
    <row r="163" spans="5:17"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105"/>
    </row>
    <row r="164" spans="5:17"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105"/>
    </row>
    <row r="165" spans="5:17"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105"/>
    </row>
    <row r="166" spans="5:17"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105"/>
    </row>
    <row r="167" spans="5:17"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105"/>
    </row>
    <row r="168" spans="5:17"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105"/>
    </row>
    <row r="169" spans="5:17"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05"/>
    </row>
    <row r="170" spans="5:17"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105"/>
    </row>
    <row r="171" spans="5:17"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105"/>
    </row>
    <row r="172" spans="5:17"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105"/>
    </row>
    <row r="173" spans="5:17"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105"/>
    </row>
    <row r="174" spans="5:17"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105"/>
    </row>
    <row r="175" spans="5:17"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105"/>
    </row>
    <row r="176" spans="5:17"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105"/>
    </row>
    <row r="177" spans="5:17"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105"/>
    </row>
    <row r="178" spans="5:17"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105"/>
    </row>
    <row r="179" spans="5:17"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105"/>
    </row>
    <row r="180" spans="5:17"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105"/>
    </row>
    <row r="181" spans="5:17"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105"/>
    </row>
    <row r="182" spans="5:17"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105"/>
    </row>
    <row r="183" spans="5:17"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105"/>
    </row>
    <row r="184" spans="5:17"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105"/>
    </row>
    <row r="185" spans="5:17"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105"/>
    </row>
    <row r="186" spans="5:17"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105"/>
    </row>
    <row r="187" spans="5:17"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105"/>
    </row>
    <row r="188" spans="5:17"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105"/>
    </row>
    <row r="189" spans="5:17"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105"/>
    </row>
    <row r="190" spans="5:17"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105"/>
    </row>
    <row r="191" spans="5:17"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105"/>
    </row>
    <row r="192" spans="5:17"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105"/>
    </row>
    <row r="193" spans="5:17"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105"/>
    </row>
    <row r="194" spans="5:17"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105"/>
    </row>
    <row r="195" spans="5:17"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105"/>
    </row>
    <row r="196" spans="5:17"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105"/>
    </row>
    <row r="197" spans="5:17"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105"/>
    </row>
    <row r="198" spans="5:17"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105"/>
    </row>
    <row r="199" spans="5:17"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105"/>
    </row>
    <row r="200" spans="5:17"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105"/>
    </row>
    <row r="201" spans="5:17"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105"/>
    </row>
    <row r="202" spans="5:17"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105"/>
    </row>
    <row r="203" spans="5:17"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105"/>
    </row>
    <row r="204" spans="5:17"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105"/>
    </row>
    <row r="205" spans="5:17"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105"/>
    </row>
    <row r="206" spans="5:17"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105"/>
    </row>
    <row r="207" spans="5:17"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105"/>
    </row>
    <row r="208" spans="5:17"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105"/>
    </row>
    <row r="209" spans="5:17"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105"/>
    </row>
    <row r="210" spans="5:17"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105"/>
    </row>
    <row r="211" spans="5:17"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105"/>
    </row>
    <row r="212" spans="5:17"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105"/>
    </row>
    <row r="213" spans="5:17"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105"/>
    </row>
    <row r="214" spans="5:17"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105"/>
    </row>
    <row r="215" spans="5:17"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105"/>
    </row>
    <row r="216" spans="5:17"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105"/>
    </row>
    <row r="217" spans="5:17"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105"/>
    </row>
    <row r="218" spans="5:17"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105"/>
    </row>
    <row r="219" spans="5:17"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105"/>
    </row>
    <row r="220" spans="5:17"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105"/>
    </row>
    <row r="221" spans="5:17"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105"/>
    </row>
    <row r="222" spans="5:17"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105"/>
    </row>
    <row r="223" spans="5:17"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105"/>
    </row>
    <row r="224" spans="5:17"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105"/>
    </row>
    <row r="225" spans="5:17"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105"/>
    </row>
    <row r="226" spans="5:17"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105"/>
    </row>
    <row r="227" spans="5:17"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105"/>
    </row>
    <row r="228" spans="5:17"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105"/>
    </row>
    <row r="229" spans="5:17"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105"/>
    </row>
    <row r="230" spans="5:17"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105"/>
    </row>
    <row r="231" spans="5:17"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105"/>
    </row>
    <row r="232" spans="5:17"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105"/>
    </row>
    <row r="233" spans="5:17"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105"/>
    </row>
    <row r="234" spans="5:17"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105"/>
    </row>
    <row r="235" spans="5:17"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105"/>
    </row>
    <row r="236" spans="5:17"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105"/>
    </row>
    <row r="237" spans="5:17"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105"/>
    </row>
    <row r="238" spans="5:17"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105"/>
    </row>
    <row r="239" spans="5:17"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105"/>
    </row>
    <row r="240" spans="5:17"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105"/>
    </row>
    <row r="241" spans="5:17"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105"/>
    </row>
    <row r="242" spans="5:17"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105"/>
    </row>
    <row r="243" spans="5:17"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105"/>
    </row>
    <row r="244" spans="5:17"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105"/>
    </row>
    <row r="245" spans="5:17"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105"/>
    </row>
    <row r="246" spans="5:17"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105"/>
    </row>
    <row r="247" spans="5:17"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105"/>
    </row>
    <row r="248" spans="5:17"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105"/>
    </row>
    <row r="249" spans="5:17"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105"/>
    </row>
    <row r="250" spans="5:17"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105"/>
    </row>
    <row r="251" spans="5:17"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105"/>
    </row>
    <row r="252" spans="5:17"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105"/>
    </row>
    <row r="253" spans="5:17"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105"/>
    </row>
    <row r="254" spans="5:17"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105"/>
    </row>
    <row r="255" spans="5:17"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105"/>
    </row>
    <row r="256" spans="5:17"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105"/>
    </row>
    <row r="257" spans="6:17"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105"/>
    </row>
    <row r="258" spans="6:17"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105"/>
    </row>
    <row r="259" spans="6:17"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105"/>
    </row>
    <row r="260" spans="6:17"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105"/>
    </row>
    <row r="261" spans="6:17"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105"/>
    </row>
    <row r="262" spans="6:17"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105"/>
    </row>
    <row r="263" spans="6:17"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105"/>
    </row>
    <row r="264" spans="6:17"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105"/>
    </row>
    <row r="265" spans="6:17"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105"/>
    </row>
    <row r="266" spans="6:17"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105"/>
    </row>
    <row r="267" spans="6:17"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105"/>
    </row>
    <row r="268" spans="6:17"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105"/>
    </row>
    <row r="269" spans="6:17"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105"/>
    </row>
    <row r="270" spans="6:17"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105"/>
    </row>
    <row r="271" spans="6:17"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105"/>
    </row>
    <row r="272" spans="6:17"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105"/>
    </row>
    <row r="273" spans="6:17"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105"/>
    </row>
    <row r="274" spans="6:17"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105"/>
    </row>
    <row r="275" spans="6:17"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105"/>
    </row>
    <row r="276" spans="6:17"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105"/>
    </row>
    <row r="277" spans="6:17"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105"/>
    </row>
    <row r="278" spans="6:17"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105"/>
    </row>
    <row r="279" spans="6:17"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105"/>
    </row>
    <row r="280" spans="6:17"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105"/>
    </row>
    <row r="281" spans="6:17"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105"/>
    </row>
    <row r="282" spans="6:17"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105"/>
    </row>
    <row r="283" spans="6:17"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105"/>
    </row>
    <row r="284" spans="6:17"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105"/>
    </row>
    <row r="285" spans="6:17"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105"/>
    </row>
    <row r="286" spans="6:17"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105"/>
    </row>
    <row r="287" spans="6:17"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105"/>
    </row>
    <row r="288" spans="6:17"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105"/>
    </row>
    <row r="289" spans="6:17"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105"/>
    </row>
    <row r="290" spans="6:17"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105"/>
    </row>
    <row r="291" spans="6:17"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105"/>
    </row>
    <row r="292" spans="6:17"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105"/>
    </row>
    <row r="293" spans="6:17"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105"/>
    </row>
    <row r="294" spans="6:17"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105"/>
    </row>
    <row r="295" spans="6:17"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105"/>
    </row>
    <row r="296" spans="6:17"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105"/>
    </row>
    <row r="297" spans="6:17"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105"/>
    </row>
    <row r="298" spans="6:17"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105"/>
    </row>
    <row r="299" spans="6:17"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105"/>
    </row>
    <row r="300" spans="6:17"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105"/>
    </row>
    <row r="301" spans="6:17"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105"/>
    </row>
    <row r="302" spans="6:17"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105"/>
    </row>
    <row r="303" spans="6:17"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105"/>
    </row>
    <row r="304" spans="6:17"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105"/>
    </row>
    <row r="305" spans="6:17"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105"/>
    </row>
    <row r="306" spans="6:17"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105"/>
    </row>
    <row r="307" spans="6:17"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105"/>
    </row>
    <row r="308" spans="6:17"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105"/>
    </row>
    <row r="309" spans="6:17"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105"/>
    </row>
    <row r="310" spans="6:17"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105"/>
    </row>
    <row r="311" spans="6:17"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105"/>
    </row>
    <row r="312" spans="6:17"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105"/>
    </row>
    <row r="313" spans="6:17"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105"/>
    </row>
    <row r="314" spans="6:17"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105"/>
    </row>
    <row r="315" spans="6:17"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105"/>
    </row>
    <row r="316" spans="6:17"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105"/>
    </row>
    <row r="317" spans="6:17"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105"/>
    </row>
    <row r="318" spans="6:17"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105"/>
    </row>
    <row r="319" spans="6:17"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105"/>
    </row>
    <row r="320" spans="6:17"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105"/>
    </row>
    <row r="321" spans="6:17"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105"/>
    </row>
    <row r="322" spans="6:17"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105"/>
    </row>
    <row r="323" spans="6:17"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105"/>
    </row>
    <row r="324" spans="6:17"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105"/>
    </row>
    <row r="325" spans="6:17"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105"/>
    </row>
    <row r="326" spans="6:17"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105"/>
    </row>
    <row r="327" spans="6:17"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105"/>
    </row>
    <row r="328" spans="6:17"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105"/>
    </row>
    <row r="329" spans="6:17"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105"/>
    </row>
    <row r="330" spans="6:17"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105"/>
    </row>
    <row r="331" spans="6:17"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105"/>
    </row>
    <row r="332" spans="6:17"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105"/>
    </row>
    <row r="333" spans="6:17"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105"/>
    </row>
    <row r="334" spans="6:17"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105"/>
    </row>
    <row r="335" spans="6:17"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105"/>
    </row>
    <row r="336" spans="6:17"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105"/>
    </row>
    <row r="337" spans="6:17"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105"/>
    </row>
    <row r="338" spans="6:17"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105"/>
    </row>
    <row r="339" spans="6:17"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105"/>
    </row>
    <row r="340" spans="6:17"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105"/>
    </row>
    <row r="341" spans="6:17"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105"/>
    </row>
    <row r="342" spans="6:17"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105"/>
    </row>
    <row r="343" spans="6:17"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105"/>
    </row>
    <row r="344" spans="6:17"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105"/>
    </row>
    <row r="345" spans="6:17"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105"/>
    </row>
    <row r="346" spans="6:17"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105"/>
    </row>
    <row r="347" spans="6:17"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105"/>
    </row>
    <row r="348" spans="6:17"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105"/>
    </row>
    <row r="349" spans="6:17"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105"/>
    </row>
    <row r="350" spans="6:17"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105"/>
    </row>
    <row r="351" spans="6:17"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105"/>
    </row>
    <row r="352" spans="6:17"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105"/>
    </row>
    <row r="353" spans="6:17"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105"/>
    </row>
    <row r="354" spans="6:17"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105"/>
    </row>
    <row r="355" spans="6:17"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105"/>
    </row>
    <row r="356" spans="6:17"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105"/>
    </row>
    <row r="357" spans="6:17"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105"/>
    </row>
    <row r="358" spans="6:17"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105"/>
    </row>
    <row r="359" spans="6:17"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105"/>
    </row>
    <row r="360" spans="6:17"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105"/>
    </row>
    <row r="361" spans="6:17"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105"/>
    </row>
    <row r="362" spans="6:17"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105"/>
    </row>
    <row r="363" spans="6:17"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105"/>
    </row>
    <row r="364" spans="6:17"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105"/>
    </row>
    <row r="365" spans="6:17"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105"/>
    </row>
    <row r="366" spans="6:17"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105"/>
    </row>
    <row r="367" spans="6:17"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105"/>
    </row>
    <row r="368" spans="6:17"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105"/>
    </row>
    <row r="369" spans="6:17"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105"/>
    </row>
    <row r="370" spans="6:17"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105"/>
    </row>
    <row r="371" spans="6:17"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105"/>
    </row>
    <row r="372" spans="6:17"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105"/>
    </row>
    <row r="373" spans="6:17"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105"/>
    </row>
    <row r="374" spans="6:17"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105"/>
    </row>
    <row r="375" spans="6:17"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105"/>
    </row>
    <row r="376" spans="6:17"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105"/>
    </row>
    <row r="377" spans="6:17"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105"/>
    </row>
    <row r="378" spans="6:17"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105"/>
    </row>
    <row r="379" spans="6:17"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105"/>
    </row>
    <row r="380" spans="6:17"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105"/>
    </row>
    <row r="381" spans="6:17"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105"/>
    </row>
    <row r="382" spans="6:17"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105"/>
    </row>
    <row r="383" spans="6:17"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105"/>
    </row>
    <row r="384" spans="6:17"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105"/>
    </row>
    <row r="385" spans="6:17"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105"/>
    </row>
    <row r="386" spans="6:17"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105"/>
    </row>
    <row r="387" spans="6:17"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105"/>
    </row>
    <row r="388" spans="6:17"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105"/>
    </row>
    <row r="389" spans="6:17"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105"/>
    </row>
    <row r="390" spans="6:17"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105"/>
    </row>
    <row r="391" spans="6:17"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105"/>
    </row>
    <row r="392" spans="6:17"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105"/>
    </row>
    <row r="393" spans="6:17"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105"/>
    </row>
    <row r="394" spans="6:17"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105"/>
    </row>
    <row r="395" spans="6:17"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105"/>
    </row>
    <row r="396" spans="6:17"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105"/>
    </row>
    <row r="397" spans="6:17"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105"/>
    </row>
    <row r="398" spans="6:17"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105"/>
    </row>
    <row r="399" spans="6:17"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105"/>
    </row>
    <row r="400" spans="6:17"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105"/>
    </row>
    <row r="401" spans="6:17"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105"/>
    </row>
    <row r="402" spans="6:17"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105"/>
    </row>
    <row r="403" spans="6:17"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105"/>
    </row>
    <row r="404" spans="6:17"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105"/>
    </row>
    <row r="405" spans="6:17"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105"/>
    </row>
    <row r="406" spans="6:17"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105"/>
    </row>
    <row r="407" spans="6:17"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105"/>
    </row>
    <row r="408" spans="6:17"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105"/>
    </row>
    <row r="409" spans="6:17"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105"/>
    </row>
    <row r="410" spans="6:17"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105"/>
    </row>
    <row r="411" spans="6:17"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105"/>
    </row>
    <row r="412" spans="6:17"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105"/>
    </row>
    <row r="413" spans="6:17"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105"/>
    </row>
    <row r="414" spans="6:17"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105"/>
    </row>
    <row r="415" spans="6:17"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105"/>
    </row>
    <row r="416" spans="6:17"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105"/>
    </row>
    <row r="417" spans="6:17"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105"/>
    </row>
    <row r="418" spans="6:17"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105"/>
    </row>
    <row r="419" spans="6:17"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105"/>
    </row>
    <row r="420" spans="6:17"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105"/>
    </row>
    <row r="421" spans="6:17"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105"/>
    </row>
    <row r="422" spans="6:17"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105"/>
    </row>
    <row r="423" spans="6:17"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105"/>
    </row>
    <row r="424" spans="6:17"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105"/>
    </row>
    <row r="425" spans="6:17"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105"/>
    </row>
    <row r="426" spans="6:17"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105"/>
    </row>
    <row r="427" spans="6:17"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105"/>
    </row>
    <row r="428" spans="6:17"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105"/>
    </row>
    <row r="429" spans="6:17"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105"/>
    </row>
    <row r="430" spans="6:17"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105"/>
    </row>
    <row r="431" spans="6:17"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105"/>
    </row>
    <row r="432" spans="6:17"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105"/>
    </row>
    <row r="433" spans="6:17"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105"/>
    </row>
    <row r="434" spans="6:17"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105"/>
    </row>
    <row r="435" spans="6:17"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105"/>
    </row>
    <row r="436" spans="6:17"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105"/>
    </row>
    <row r="437" spans="6:17"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105"/>
    </row>
    <row r="438" spans="6:17"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105"/>
    </row>
    <row r="439" spans="6:17"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105"/>
    </row>
    <row r="440" spans="6:17"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105"/>
    </row>
    <row r="441" spans="6:17"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105"/>
    </row>
    <row r="442" spans="6:17"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105"/>
    </row>
    <row r="443" spans="6:17"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105"/>
    </row>
    <row r="444" spans="6:17"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105"/>
    </row>
    <row r="445" spans="6:17"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105"/>
    </row>
    <row r="446" spans="6:17"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105"/>
    </row>
    <row r="447" spans="6:17"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105"/>
    </row>
    <row r="448" spans="6:17"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105"/>
    </row>
    <row r="449" spans="6:17"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105"/>
    </row>
    <row r="450" spans="6:17"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105"/>
    </row>
    <row r="451" spans="6:17"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105"/>
    </row>
    <row r="452" spans="6:17"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105"/>
    </row>
    <row r="453" spans="6:17"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105"/>
    </row>
    <row r="454" spans="6:17"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105"/>
    </row>
    <row r="455" spans="6:17"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105"/>
    </row>
    <row r="456" spans="6:17"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105"/>
    </row>
    <row r="457" spans="6:17"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105"/>
    </row>
    <row r="458" spans="6:17"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105"/>
    </row>
    <row r="459" spans="6:17"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105"/>
    </row>
    <row r="460" spans="6:17"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105"/>
    </row>
    <row r="461" spans="6:17"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105"/>
    </row>
    <row r="462" spans="6:17"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105"/>
    </row>
    <row r="463" spans="6:17"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105"/>
    </row>
    <row r="464" spans="6:17"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105"/>
    </row>
    <row r="465" spans="6:17"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105"/>
    </row>
    <row r="466" spans="6:17"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105"/>
    </row>
    <row r="467" spans="6:17"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105"/>
    </row>
    <row r="468" spans="6:17"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105"/>
    </row>
    <row r="469" spans="6:17"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105"/>
    </row>
    <row r="470" spans="6:17"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105"/>
    </row>
    <row r="471" spans="6:17"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105"/>
    </row>
    <row r="472" spans="6:17"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105"/>
    </row>
    <row r="473" spans="6:17"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105"/>
    </row>
    <row r="474" spans="6:17"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105"/>
    </row>
    <row r="475" spans="6:17"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105"/>
    </row>
    <row r="476" spans="6:17"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105"/>
    </row>
    <row r="477" spans="6:17"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105"/>
    </row>
    <row r="478" spans="6:17"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105"/>
    </row>
    <row r="479" spans="6:17"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105"/>
    </row>
    <row r="480" spans="6:17"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105"/>
    </row>
    <row r="481" spans="6:17"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105"/>
    </row>
    <row r="482" spans="6:17"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105"/>
    </row>
    <row r="483" spans="6:17"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105"/>
    </row>
    <row r="484" spans="6:17"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105"/>
    </row>
    <row r="485" spans="6:17"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105"/>
    </row>
    <row r="486" spans="6:17"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105"/>
    </row>
    <row r="487" spans="6:17"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105"/>
    </row>
    <row r="488" spans="6:17"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105"/>
    </row>
    <row r="489" spans="6:17"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105"/>
    </row>
    <row r="490" spans="6:17"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105"/>
    </row>
    <row r="491" spans="6:17"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105"/>
    </row>
    <row r="492" spans="6:17"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105"/>
    </row>
    <row r="493" spans="6:17"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105"/>
    </row>
    <row r="494" spans="6:17"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105"/>
    </row>
    <row r="495" spans="6:17"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105"/>
    </row>
    <row r="496" spans="6:17"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105"/>
    </row>
    <row r="497" spans="6:17"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105"/>
    </row>
    <row r="498" spans="6:17"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105"/>
    </row>
    <row r="499" spans="6:17"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105"/>
    </row>
    <row r="500" spans="6:17"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105"/>
    </row>
    <row r="501" spans="6:17"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105"/>
    </row>
    <row r="502" spans="6:17"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105"/>
    </row>
    <row r="503" spans="6:17"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105"/>
    </row>
  </sheetData>
  <mergeCells count="2">
    <mergeCell ref="A1:R1"/>
    <mergeCell ref="A2:R2"/>
  </mergeCells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A02D8-B185-4C6C-B4BA-3CD6CFCBBF7D}">
  <sheetPr>
    <pageSetUpPr fitToPage="1"/>
  </sheetPr>
  <dimension ref="A1:Q32"/>
  <sheetViews>
    <sheetView zoomScale="80" zoomScaleNormal="80" workbookViewId="0">
      <selection sqref="A1:XFD1048576"/>
    </sheetView>
  </sheetViews>
  <sheetFormatPr defaultColWidth="7.73046875" defaultRowHeight="15"/>
  <cols>
    <col min="1" max="1" width="32.3984375" style="163" customWidth="1"/>
    <col min="2" max="2" width="15.73046875" style="163" bestFit="1" customWidth="1"/>
    <col min="3" max="3" width="15.86328125" style="163" bestFit="1" customWidth="1"/>
    <col min="4" max="4" width="15.1328125" style="163" bestFit="1" customWidth="1"/>
    <col min="5" max="5" width="16.3984375" style="163" bestFit="1" customWidth="1"/>
    <col min="6" max="6" width="16.59765625" style="163" bestFit="1" customWidth="1"/>
    <col min="7" max="7" width="15" style="163" bestFit="1" customWidth="1"/>
    <col min="8" max="8" width="15.1328125" style="163" bestFit="1" customWidth="1"/>
    <col min="9" max="9" width="16.3984375" style="163" bestFit="1" customWidth="1"/>
    <col min="10" max="10" width="15" style="163" bestFit="1" customWidth="1"/>
    <col min="11" max="11" width="15.1328125" style="163" bestFit="1" customWidth="1"/>
    <col min="12" max="12" width="15.59765625" style="163" customWidth="1"/>
    <col min="13" max="13" width="15" style="163" bestFit="1" customWidth="1"/>
    <col min="14" max="14" width="17" style="163" bestFit="1" customWidth="1"/>
    <col min="15" max="15" width="7.73046875" style="163"/>
    <col min="16" max="16" width="23" style="163" bestFit="1" customWidth="1"/>
    <col min="17" max="17" width="10.86328125" style="163" bestFit="1" customWidth="1"/>
    <col min="18" max="16384" width="7.73046875" style="163"/>
  </cols>
  <sheetData>
    <row r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20.65">
      <c r="A2" s="164" t="s">
        <v>160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7" ht="22.5">
      <c r="A3" s="165" t="s">
        <v>161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</row>
    <row r="4" spans="1:17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7" spans="1:17" ht="27" customHeight="1">
      <c r="A7" s="167" t="s">
        <v>162</v>
      </c>
      <c r="B7" s="168">
        <v>44592</v>
      </c>
      <c r="C7" s="168">
        <f>EOMONTH(B7,1)</f>
        <v>44620</v>
      </c>
      <c r="D7" s="168">
        <f t="shared" ref="D7:M7" si="0">EOMONTH(C7,1)</f>
        <v>44651</v>
      </c>
      <c r="E7" s="168">
        <f t="shared" si="0"/>
        <v>44681</v>
      </c>
      <c r="F7" s="168">
        <f t="shared" si="0"/>
        <v>44712</v>
      </c>
      <c r="G7" s="168">
        <f t="shared" si="0"/>
        <v>44742</v>
      </c>
      <c r="H7" s="168">
        <f t="shared" si="0"/>
        <v>44773</v>
      </c>
      <c r="I7" s="168">
        <f t="shared" si="0"/>
        <v>44804</v>
      </c>
      <c r="J7" s="168">
        <f t="shared" si="0"/>
        <v>44834</v>
      </c>
      <c r="K7" s="168">
        <f t="shared" si="0"/>
        <v>44865</v>
      </c>
      <c r="L7" s="168">
        <f t="shared" si="0"/>
        <v>44895</v>
      </c>
      <c r="M7" s="168">
        <f t="shared" si="0"/>
        <v>44926</v>
      </c>
      <c r="N7" s="169" t="s">
        <v>163</v>
      </c>
    </row>
    <row r="8" spans="1:17" ht="24.95" customHeight="1">
      <c r="A8" s="170" t="s">
        <v>164</v>
      </c>
      <c r="B8" s="171">
        <f>'[1]Input Tab'!C54</f>
        <v>570066</v>
      </c>
      <c r="C8" s="171">
        <f>'[1]Input Tab'!D54</f>
        <v>525153</v>
      </c>
      <c r="D8" s="171">
        <f>'[1]Input Tab'!E54</f>
        <v>540861</v>
      </c>
      <c r="E8" s="171">
        <f>'[1]Input Tab'!F54</f>
        <v>0</v>
      </c>
      <c r="F8" s="171">
        <f>'[1]Input Tab'!G54</f>
        <v>0</v>
      </c>
      <c r="G8" s="171">
        <f>'[1]Input Tab'!H54</f>
        <v>0</v>
      </c>
      <c r="H8" s="171">
        <f>'[1]Input Tab'!I54</f>
        <v>0</v>
      </c>
      <c r="I8" s="171">
        <f>'[1]Input Tab'!J54</f>
        <v>0</v>
      </c>
      <c r="J8" s="171">
        <f>'[1]Input Tab'!K54</f>
        <v>0</v>
      </c>
      <c r="K8" s="171">
        <f>'[1]Input Tab'!L54</f>
        <v>0</v>
      </c>
      <c r="L8" s="171">
        <f>'[1]Input Tab'!M54</f>
        <v>0</v>
      </c>
      <c r="M8" s="171">
        <f>'[1]Input Tab'!N54</f>
        <v>0</v>
      </c>
      <c r="N8" s="172">
        <f t="shared" ref="N8:N13" si="1">SUM(B8:M8)</f>
        <v>1636080</v>
      </c>
      <c r="P8" s="173"/>
    </row>
    <row r="9" spans="1:17" ht="24.95" customHeight="1">
      <c r="A9" s="174" t="s">
        <v>165</v>
      </c>
      <c r="B9" s="175">
        <f>-312074029/1000</f>
        <v>-312074.02899999998</v>
      </c>
      <c r="C9" s="176">
        <f>IF(C8=0,0,-B10)</f>
        <v>-307661</v>
      </c>
      <c r="D9" s="176">
        <f t="shared" ref="D9:M9" si="2">IF(D8=0,0,-C10)</f>
        <v>-275383</v>
      </c>
      <c r="E9" s="176">
        <f t="shared" si="2"/>
        <v>0</v>
      </c>
      <c r="F9" s="176">
        <f t="shared" si="2"/>
        <v>0</v>
      </c>
      <c r="G9" s="176">
        <f t="shared" si="2"/>
        <v>0</v>
      </c>
      <c r="H9" s="176">
        <f t="shared" si="2"/>
        <v>0</v>
      </c>
      <c r="I9" s="176">
        <f t="shared" si="2"/>
        <v>0</v>
      </c>
      <c r="J9" s="176">
        <f t="shared" si="2"/>
        <v>0</v>
      </c>
      <c r="K9" s="176">
        <f t="shared" si="2"/>
        <v>0</v>
      </c>
      <c r="L9" s="176">
        <f t="shared" si="2"/>
        <v>0</v>
      </c>
      <c r="M9" s="176">
        <f t="shared" si="2"/>
        <v>0</v>
      </c>
      <c r="N9" s="172">
        <f t="shared" si="1"/>
        <v>-895118.02899999998</v>
      </c>
    </row>
    <row r="10" spans="1:17" ht="24.95" customHeight="1">
      <c r="A10" s="174" t="s">
        <v>166</v>
      </c>
      <c r="B10" s="171">
        <f>'[1]Input Tab'!C55</f>
        <v>307661</v>
      </c>
      <c r="C10" s="171">
        <f>'[1]Input Tab'!D55</f>
        <v>275383</v>
      </c>
      <c r="D10" s="171">
        <f>'[1]Input Tab'!E55</f>
        <v>231672</v>
      </c>
      <c r="E10" s="171">
        <f>'[1]Input Tab'!F55</f>
        <v>0</v>
      </c>
      <c r="F10" s="171">
        <f>'[1]Input Tab'!G55</f>
        <v>0</v>
      </c>
      <c r="G10" s="171">
        <f>'[1]Input Tab'!H55</f>
        <v>0</v>
      </c>
      <c r="H10" s="171">
        <f>'[1]Input Tab'!I55</f>
        <v>0</v>
      </c>
      <c r="I10" s="171">
        <f>'[1]Input Tab'!J55</f>
        <v>0</v>
      </c>
      <c r="J10" s="171">
        <f>'[1]Input Tab'!K55</f>
        <v>0</v>
      </c>
      <c r="K10" s="171">
        <f>'[1]Input Tab'!L55</f>
        <v>0</v>
      </c>
      <c r="L10" s="171">
        <f>'[1]Input Tab'!M55</f>
        <v>0</v>
      </c>
      <c r="M10" s="171">
        <f>'[1]Input Tab'!N55</f>
        <v>0</v>
      </c>
      <c r="N10" s="172">
        <f t="shared" si="1"/>
        <v>814716</v>
      </c>
      <c r="P10" s="177"/>
      <c r="Q10" s="177"/>
    </row>
    <row r="11" spans="1:17" ht="30.75" customHeight="1">
      <c r="A11" s="178" t="s">
        <v>167</v>
      </c>
      <c r="B11" s="179">
        <f t="shared" ref="B11:L11" si="3">SUM(B8:B10)</f>
        <v>565652.97100000002</v>
      </c>
      <c r="C11" s="179">
        <f t="shared" si="3"/>
        <v>492875</v>
      </c>
      <c r="D11" s="179">
        <f t="shared" si="3"/>
        <v>497150</v>
      </c>
      <c r="E11" s="179">
        <f t="shared" si="3"/>
        <v>0</v>
      </c>
      <c r="F11" s="179">
        <f t="shared" si="3"/>
        <v>0</v>
      </c>
      <c r="G11" s="179">
        <f t="shared" si="3"/>
        <v>0</v>
      </c>
      <c r="H11" s="179">
        <f t="shared" si="3"/>
        <v>0</v>
      </c>
      <c r="I11" s="179">
        <f t="shared" si="3"/>
        <v>0</v>
      </c>
      <c r="J11" s="179">
        <f t="shared" si="3"/>
        <v>0</v>
      </c>
      <c r="K11" s="179">
        <f t="shared" si="3"/>
        <v>0</v>
      </c>
      <c r="L11" s="179">
        <f t="shared" si="3"/>
        <v>0</v>
      </c>
      <c r="M11" s="179">
        <f>SUM(M8:M10)</f>
        <v>0</v>
      </c>
      <c r="N11" s="180">
        <f t="shared" si="1"/>
        <v>1555677.9709999999</v>
      </c>
      <c r="P11" s="175"/>
      <c r="Q11" s="173"/>
    </row>
    <row r="12" spans="1:17" ht="32.25" customHeight="1">
      <c r="A12" s="181" t="s">
        <v>168</v>
      </c>
      <c r="B12" s="182">
        <f>'[1]Input Tab'!C56</f>
        <v>545742</v>
      </c>
      <c r="C12" s="182">
        <f>'[1]Input Tab'!D56</f>
        <v>461878</v>
      </c>
      <c r="D12" s="182">
        <f>'[1]Input Tab'!E56</f>
        <v>485113</v>
      </c>
      <c r="E12" s="182">
        <f>'[1]Input Tab'!F56</f>
        <v>413424</v>
      </c>
      <c r="F12" s="182">
        <f>'[1]Input Tab'!G56</f>
        <v>435935</v>
      </c>
      <c r="G12" s="182">
        <f>'[1]Input Tab'!H56</f>
        <v>419692</v>
      </c>
      <c r="H12" s="182">
        <f>'[1]Input Tab'!I56</f>
        <v>493733</v>
      </c>
      <c r="I12" s="182">
        <f>'[1]Input Tab'!J56</f>
        <v>470991</v>
      </c>
      <c r="J12" s="182">
        <f>'[1]Input Tab'!K56</f>
        <v>419374</v>
      </c>
      <c r="K12" s="182">
        <f>'[1]Input Tab'!L56</f>
        <v>453843</v>
      </c>
      <c r="L12" s="182">
        <f>'[1]Input Tab'!M56</f>
        <v>464733</v>
      </c>
      <c r="M12" s="182">
        <f>'[1]Input Tab'!N56</f>
        <v>551297</v>
      </c>
      <c r="N12" s="183">
        <f>SUM(B12:D12)</f>
        <v>1492733</v>
      </c>
      <c r="P12" s="116" t="s">
        <v>169</v>
      </c>
    </row>
    <row r="13" spans="1:17" ht="38.25" customHeight="1">
      <c r="A13" s="184" t="s">
        <v>170</v>
      </c>
      <c r="B13" s="185">
        <f>B11-B12</f>
        <v>19910.97100000002</v>
      </c>
      <c r="C13" s="185">
        <f>IF(C8=0," ",C11-C12)</f>
        <v>30997</v>
      </c>
      <c r="D13" s="185">
        <f t="shared" ref="D13:M13" si="4">IF(D8=0," ",D11-D12)</f>
        <v>12037</v>
      </c>
      <c r="E13" s="185" t="str">
        <f t="shared" si="4"/>
        <v xml:space="preserve"> </v>
      </c>
      <c r="F13" s="185" t="str">
        <f t="shared" si="4"/>
        <v xml:space="preserve"> </v>
      </c>
      <c r="G13" s="185" t="str">
        <f t="shared" si="4"/>
        <v xml:space="preserve"> </v>
      </c>
      <c r="H13" s="185" t="str">
        <f t="shared" si="4"/>
        <v xml:space="preserve"> </v>
      </c>
      <c r="I13" s="185" t="str">
        <f t="shared" si="4"/>
        <v xml:space="preserve"> </v>
      </c>
      <c r="J13" s="185" t="str">
        <f t="shared" si="4"/>
        <v xml:space="preserve"> </v>
      </c>
      <c r="K13" s="185" t="str">
        <f t="shared" si="4"/>
        <v xml:space="preserve"> </v>
      </c>
      <c r="L13" s="185" t="str">
        <f t="shared" si="4"/>
        <v xml:space="preserve"> </v>
      </c>
      <c r="M13" s="185" t="str">
        <f t="shared" si="4"/>
        <v xml:space="preserve"> </v>
      </c>
      <c r="N13" s="186">
        <f t="shared" si="1"/>
        <v>62944.97100000002</v>
      </c>
    </row>
    <row r="14" spans="1:17" ht="42.75" customHeight="1">
      <c r="A14" s="184" t="s">
        <v>171</v>
      </c>
      <c r="B14" s="187">
        <f>'[1]Input Tab'!C57</f>
        <v>13</v>
      </c>
      <c r="C14" s="187">
        <f>'[1]Input Tab'!D57</f>
        <v>13</v>
      </c>
      <c r="D14" s="187">
        <f>'[1]Input Tab'!E57</f>
        <v>13</v>
      </c>
      <c r="E14" s="187">
        <f>'[1]Input Tab'!F57</f>
        <v>13</v>
      </c>
      <c r="F14" s="187">
        <f>'[1]Input Tab'!G57</f>
        <v>13</v>
      </c>
      <c r="G14" s="187">
        <f>'[1]Input Tab'!H57</f>
        <v>13</v>
      </c>
      <c r="H14" s="187">
        <f>'[1]Input Tab'!I57</f>
        <v>13</v>
      </c>
      <c r="I14" s="187">
        <f>'[1]Input Tab'!J57</f>
        <v>13</v>
      </c>
      <c r="J14" s="187">
        <f>'[1]Input Tab'!K57</f>
        <v>13</v>
      </c>
      <c r="K14" s="187">
        <f>'[1]Input Tab'!L57</f>
        <v>13</v>
      </c>
      <c r="L14" s="187">
        <f>'[1]Input Tab'!M57</f>
        <v>13</v>
      </c>
      <c r="M14" s="187">
        <f>'[1]Input Tab'!N57</f>
        <v>13</v>
      </c>
      <c r="N14" s="172"/>
    </row>
    <row r="15" spans="1:17" ht="30.75" customHeight="1" thickBot="1">
      <c r="A15" s="188" t="s">
        <v>172</v>
      </c>
      <c r="B15" s="189">
        <f>B13*B14</f>
        <v>258842.62300000025</v>
      </c>
      <c r="C15" s="189">
        <f>IF(C8=0,0,C13*C14)</f>
        <v>402961</v>
      </c>
      <c r="D15" s="189">
        <f t="shared" ref="D15:M15" si="5">IF(D8=0,0,D13*D14)</f>
        <v>156481</v>
      </c>
      <c r="E15" s="189">
        <f t="shared" si="5"/>
        <v>0</v>
      </c>
      <c r="F15" s="189">
        <f t="shared" si="5"/>
        <v>0</v>
      </c>
      <c r="G15" s="189">
        <f t="shared" si="5"/>
        <v>0</v>
      </c>
      <c r="H15" s="189">
        <f t="shared" si="5"/>
        <v>0</v>
      </c>
      <c r="I15" s="189">
        <f t="shared" si="5"/>
        <v>0</v>
      </c>
      <c r="J15" s="189">
        <f t="shared" si="5"/>
        <v>0</v>
      </c>
      <c r="K15" s="189">
        <f t="shared" si="5"/>
        <v>0</v>
      </c>
      <c r="L15" s="189">
        <f t="shared" si="5"/>
        <v>0</v>
      </c>
      <c r="M15" s="189">
        <f t="shared" si="5"/>
        <v>0</v>
      </c>
      <c r="N15" s="189">
        <f>SUM(B15:M15)</f>
        <v>818284.62300000025</v>
      </c>
    </row>
    <row r="16" spans="1:17" ht="20.100000000000001" customHeight="1" thickTop="1">
      <c r="G16" s="190"/>
      <c r="N16" s="173"/>
    </row>
    <row r="17" spans="1:14" ht="20.100000000000001" customHeight="1">
      <c r="A17" s="191"/>
      <c r="N17" s="173"/>
    </row>
    <row r="18" spans="1:14" ht="36.75" customHeight="1">
      <c r="A18" s="192" t="s">
        <v>173</v>
      </c>
      <c r="B18" s="193">
        <f>B7</f>
        <v>44592</v>
      </c>
      <c r="C18" s="193">
        <f t="shared" ref="C18:N18" si="6">C7</f>
        <v>44620</v>
      </c>
      <c r="D18" s="193">
        <f t="shared" si="6"/>
        <v>44651</v>
      </c>
      <c r="E18" s="193">
        <f t="shared" si="6"/>
        <v>44681</v>
      </c>
      <c r="F18" s="193">
        <f t="shared" si="6"/>
        <v>44712</v>
      </c>
      <c r="G18" s="193">
        <f t="shared" si="6"/>
        <v>44742</v>
      </c>
      <c r="H18" s="193">
        <f t="shared" si="6"/>
        <v>44773</v>
      </c>
      <c r="I18" s="193">
        <f t="shared" si="6"/>
        <v>44804</v>
      </c>
      <c r="J18" s="193">
        <f t="shared" si="6"/>
        <v>44834</v>
      </c>
      <c r="K18" s="193">
        <f t="shared" si="6"/>
        <v>44865</v>
      </c>
      <c r="L18" s="193">
        <f t="shared" si="6"/>
        <v>44895</v>
      </c>
      <c r="M18" s="193">
        <f t="shared" si="6"/>
        <v>44926</v>
      </c>
      <c r="N18" s="168" t="str">
        <f t="shared" si="6"/>
        <v>YTD</v>
      </c>
    </row>
    <row r="19" spans="1:14" ht="29.25" customHeight="1">
      <c r="A19" s="194" t="s">
        <v>174</v>
      </c>
      <c r="B19" s="195">
        <f>IF(B8=0," ",B15*-1)</f>
        <v>-258842.62300000025</v>
      </c>
      <c r="C19" s="195">
        <f>IF(C8=0," ",C15*-1)</f>
        <v>-402961</v>
      </c>
      <c r="D19" s="195">
        <f t="shared" ref="D19:M19" si="7">IF(D8=0," ",D15*-1)</f>
        <v>-156481</v>
      </c>
      <c r="E19" s="195" t="str">
        <f t="shared" si="7"/>
        <v xml:space="preserve"> </v>
      </c>
      <c r="F19" s="195" t="str">
        <f t="shared" si="7"/>
        <v xml:space="preserve"> </v>
      </c>
      <c r="G19" s="195" t="str">
        <f t="shared" si="7"/>
        <v xml:space="preserve"> </v>
      </c>
      <c r="H19" s="195" t="str">
        <f t="shared" si="7"/>
        <v xml:space="preserve"> </v>
      </c>
      <c r="I19" s="195" t="str">
        <f t="shared" si="7"/>
        <v xml:space="preserve"> </v>
      </c>
      <c r="J19" s="195" t="str">
        <f t="shared" si="7"/>
        <v xml:space="preserve"> </v>
      </c>
      <c r="K19" s="195" t="str">
        <f t="shared" si="7"/>
        <v xml:space="preserve"> </v>
      </c>
      <c r="L19" s="195" t="str">
        <f t="shared" si="7"/>
        <v xml:space="preserve"> </v>
      </c>
      <c r="M19" s="195" t="str">
        <f t="shared" si="7"/>
        <v xml:space="preserve"> </v>
      </c>
      <c r="N19" s="195">
        <f>N15*-1</f>
        <v>-818284.62300000025</v>
      </c>
    </row>
    <row r="20" spans="1:14">
      <c r="A20" s="196"/>
      <c r="B20" s="197" t="str">
        <f>IF(B19&lt;0,"Rebate","Surcharge")</f>
        <v>Rebate</v>
      </c>
      <c r="C20" s="197" t="str">
        <f t="shared" ref="C20:N20" si="8">IF(C19&lt;0,"Rebate","Surcharge")</f>
        <v>Rebate</v>
      </c>
      <c r="D20" s="197" t="str">
        <f t="shared" si="8"/>
        <v>Rebate</v>
      </c>
      <c r="E20" s="197" t="str">
        <f t="shared" si="8"/>
        <v>Surcharge</v>
      </c>
      <c r="F20" s="197" t="str">
        <f t="shared" si="8"/>
        <v>Surcharge</v>
      </c>
      <c r="G20" s="197" t="str">
        <f t="shared" si="8"/>
        <v>Surcharge</v>
      </c>
      <c r="H20" s="197" t="str">
        <f t="shared" si="8"/>
        <v>Surcharge</v>
      </c>
      <c r="I20" s="197" t="str">
        <f t="shared" si="8"/>
        <v>Surcharge</v>
      </c>
      <c r="J20" s="197" t="str">
        <f t="shared" si="8"/>
        <v>Surcharge</v>
      </c>
      <c r="K20" s="197" t="str">
        <f t="shared" si="8"/>
        <v>Surcharge</v>
      </c>
      <c r="L20" s="197" t="str">
        <f t="shared" si="8"/>
        <v>Surcharge</v>
      </c>
      <c r="M20" s="197" t="str">
        <f t="shared" si="8"/>
        <v>Surcharge</v>
      </c>
      <c r="N20" s="197" t="str">
        <f t="shared" si="8"/>
        <v>Rebate</v>
      </c>
    </row>
    <row r="23" spans="1:14">
      <c r="G23" s="173"/>
    </row>
    <row r="32" spans="1:14" ht="15.4">
      <c r="A32" s="198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2022-04-15T07:00:00+00:00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5012174-4D2B-48C2-93A8-B15222F67C63}"/>
</file>

<file path=customXml/itemProps2.xml><?xml version="1.0" encoding="utf-8"?>
<ds:datastoreItem xmlns:ds="http://schemas.openxmlformats.org/officeDocument/2006/customXml" ds:itemID="{99A64F32-C4B1-44AF-A3EA-435283D09BE7}"/>
</file>

<file path=customXml/itemProps3.xml><?xml version="1.0" encoding="utf-8"?>
<ds:datastoreItem xmlns:ds="http://schemas.openxmlformats.org/officeDocument/2006/customXml" ds:itemID="{15007426-34F8-43B2-AEF4-48E1DB1541A5}"/>
</file>

<file path=customXml/itemProps4.xml><?xml version="1.0" encoding="utf-8"?>
<ds:datastoreItem xmlns:ds="http://schemas.openxmlformats.org/officeDocument/2006/customXml" ds:itemID="{0854F5B2-BFDF-4268-89DB-8E22F532BC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2022-04-13T21:10:36Z</dcterms:created>
  <dcterms:modified xsi:type="dcterms:W3CDTF">2022-04-13T21:11:18Z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